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세종특별자치시 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HYPERLINK("https://map.naver.com/p/search/세종특별자치시 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5.50m</t>
        </is>
      </c>
      <c r="AA2" s="3" t="inlineStr">
        <is>
          <t>2004-11-04</t>
        </is>
      </c>
    </row>
    <row r="3">
      <c r="A3" s="3" t="inlineStr">
        <is>
          <t>세종특별자치시 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HYPERLINK("https://map.naver.com/p/search/세종특별자치시 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5.50m</t>
        </is>
      </c>
      <c r="AA3" s="3" t="inlineStr">
        <is>
          <t>2004-11-04</t>
        </is>
      </c>
    </row>
    <row r="4">
      <c r="A4" s="3" t="inlineStr">
        <is>
          <t>세종특별자치시 금남면 국곡리 108-2</t>
        </is>
      </c>
      <c r="B4" s="3" t="inlineStr">
        <is>
          <t>계획관리지역</t>
        </is>
      </c>
      <c r="C4" s="3" t="inlineStr">
        <is>
          <t>대</t>
        </is>
      </c>
      <c r="D4" s="3" t="inlineStr">
        <is>
          <t>창고</t>
        </is>
      </c>
      <c r="E4" s="3" t="inlineStr">
        <is>
          <t>월세</t>
        </is>
      </c>
      <c r="F4" s="4" t="n">
        <v>1000</v>
      </c>
      <c r="G4" s="4" t="n">
        <v>90</v>
      </c>
      <c r="H4" s="4" t="n">
        <v>1152</v>
      </c>
      <c r="I4" s="4" t="n">
        <v>348</v>
      </c>
      <c r="J4" s="5" t="n">
        <v>0.3</v>
      </c>
      <c r="K4" s="4" t="n">
        <v>343</v>
      </c>
      <c r="L4" s="4" t="n">
        <v>104</v>
      </c>
      <c r="M4" s="5" t="n">
        <v>0.9</v>
      </c>
      <c r="N4" s="3" t="inlineStr">
        <is>
          <t>1</t>
        </is>
      </c>
      <c r="O4" s="3" t="inlineStr">
        <is>
          <t>-</t>
        </is>
      </c>
      <c r="P4" s="3" t="inlineStr">
        <is>
          <t>2층 서비스공간 있는 저렴한 소형창고</t>
        </is>
      </c>
      <c r="Q4" s="6">
        <f>HYPERLINK("https://fin.land.naver.com/articles/2645516947", "매물Link")</f>
        <v/>
      </c>
      <c r="R4" s="6">
        <f>HYPERLINK("https://map.naver.com/p/search/세종특별자치시 금남면 국곡리 108-2", "지도Link")</f>
        <v/>
      </c>
      <c r="S4" s="6">
        <f>HYPERLINK("http://www.eum.go.kr/web/ar/lu/luLandDet.jsp?pnu=3611034044101080002&amp;isNoScr=script&amp;mode=search", "토지이음")</f>
        <v/>
      </c>
      <c r="T4" s="3" t="inlineStr">
        <is>
          <t>탑</t>
        </is>
      </c>
      <c r="U4" s="3" t="n">
        <v>1</v>
      </c>
      <c r="V4" s="3" t="inlineStr">
        <is>
          <t>주건물</t>
        </is>
      </c>
      <c r="W4" s="4" t="n">
        <v>343</v>
      </c>
      <c r="X4" s="3" t="inlineStr">
        <is>
          <t>경량철골구조</t>
        </is>
      </c>
      <c r="Y4" s="3" t="inlineStr">
        <is>
          <t>창고시설</t>
        </is>
      </c>
      <c r="Z4" s="3" t="inlineStr">
        <is>
          <t>-m</t>
        </is>
      </c>
      <c r="AA4" s="3" t="inlineStr">
        <is>
          <t>1992-08-13</t>
        </is>
      </c>
    </row>
    <row r="5">
      <c r="A5" s="3" t="inlineStr">
        <is>
          <t>세종특별자치시 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HYPERLINK("https://map.naver.com/p/search/세종특별자치시 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-m</t>
        </is>
      </c>
      <c r="AA5" s="3" t="inlineStr">
        <is>
          <t>1992-08-13</t>
        </is>
      </c>
    </row>
    <row r="6">
      <c r="A6" s="3" t="inlineStr">
        <is>
          <t>세종특별자치시 금남면 국곡리 108-2</t>
        </is>
      </c>
      <c r="B6" s="3" t="inlineStr">
        <is>
          <t>계획관리지역</t>
        </is>
      </c>
      <c r="C6" s="3" t="inlineStr">
        <is>
          <t>대</t>
        </is>
      </c>
      <c r="D6" s="3" t="inlineStr">
        <is>
          <t>창고</t>
        </is>
      </c>
      <c r="E6" s="3" t="inlineStr">
        <is>
          <t>월세</t>
        </is>
      </c>
      <c r="F6" s="4" t="n">
        <v>1000</v>
      </c>
      <c r="G6" s="4" t="n">
        <v>90</v>
      </c>
      <c r="H6" s="4" t="n">
        <v>343</v>
      </c>
      <c r="I6" s="4" t="n">
        <v>104</v>
      </c>
      <c r="J6" s="5" t="n">
        <v>0.9</v>
      </c>
      <c r="K6" s="4" t="n">
        <v>343</v>
      </c>
      <c r="L6" s="4" t="n">
        <v>104</v>
      </c>
      <c r="M6" s="5" t="n">
        <v>0.9</v>
      </c>
      <c r="N6" s="3" t="inlineStr">
        <is>
          <t>2</t>
        </is>
      </c>
      <c r="O6" s="3" t="inlineStr">
        <is>
          <t>-</t>
        </is>
      </c>
      <c r="P6" s="3" t="inlineStr">
        <is>
          <t>저렴한금액 세종시창고 서둘러서 구경해보세요</t>
        </is>
      </c>
      <c r="Q6" s="6">
        <f>HYPERLINK("https://fin.land.naver.com/articles/2648322182", "매물Link")</f>
        <v/>
      </c>
      <c r="R6" s="6">
        <f>HYPERLINK("https://map.naver.com/p/search/세종특별자치시 금남면 국곡리 108-2", "지도Link")</f>
        <v/>
      </c>
      <c r="S6" s="6">
        <f>HYPERLINK("http://www.eum.go.kr/web/ar/lu/luLandDet.jsp?pnu=3611034044101080002&amp;isNoScr=script&amp;mode=search", "토지이음")</f>
        <v/>
      </c>
      <c r="T6" s="3" t="inlineStr">
        <is>
          <t>바로e</t>
        </is>
      </c>
      <c r="U6" s="3" t="n">
        <v>1</v>
      </c>
      <c r="V6" s="3" t="inlineStr">
        <is>
          <t>주건물</t>
        </is>
      </c>
      <c r="W6" s="4" t="n">
        <v>343</v>
      </c>
      <c r="X6" s="3" t="inlineStr">
        <is>
          <t>경량철골구조</t>
        </is>
      </c>
      <c r="Y6" s="3" t="inlineStr">
        <is>
          <t>창고시설</t>
        </is>
      </c>
      <c r="Z6" s="3" t="inlineStr">
        <is>
          <t>-m</t>
        </is>
      </c>
      <c r="AA6" s="3" t="inlineStr">
        <is>
          <t>1992-08-13</t>
        </is>
      </c>
    </row>
    <row r="7">
      <c r="A7" s="3" t="inlineStr">
        <is>
          <t>세종특별자치시 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HYPERLINK("https://map.naver.com/p/search/세종특별자치시 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-m</t>
        </is>
      </c>
      <c r="AA7" s="3" t="inlineStr">
        <is>
          <t>1992-08-13</t>
        </is>
      </c>
    </row>
    <row r="8">
      <c r="A8" s="3" t="inlineStr">
        <is>
          <t>세종특별자치시 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HYPERLINK("https://map.naver.com/p/search/세종특별자치시 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8.90m</t>
        </is>
      </c>
      <c r="AA8" s="3" t="inlineStr">
        <is>
          <t>2022-05-24</t>
        </is>
      </c>
    </row>
    <row r="9">
      <c r="A9" s="3" t="inlineStr">
        <is>
          <t>세종특별자치시 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HYPERLINK("https://map.naver.com/p/search/세종특별자치시 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8.90m</t>
        </is>
      </c>
      <c r="AA9" s="3" t="inlineStr">
        <is>
          <t>2022-05-24</t>
        </is>
      </c>
    </row>
    <row r="10">
      <c r="A10" s="3" t="inlineStr">
        <is>
          <t>세종특별자치시 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HYPERLINK("https://map.naver.com/p/search/세종특별자치시 금남면 대박리 27-1", "지도Link")</f>
        <v/>
      </c>
      <c r="S10" s="6">
        <f>HYPERLINK("http://www.eum.go.kr/web/ar/lu/luLandDet.jsp?pnu=3611034034100270001&amp;isNoScr=script&amp;mode=search", "토지이음")</f>
        <v/>
      </c>
      <c r="T10" s="3" t="inlineStr">
        <is>
          <t>담뜰</t>
        </is>
      </c>
      <c r="U10" s="3" t="n">
        <v>1</v>
      </c>
      <c r="V10" s="3" t="inlineStr">
        <is>
          <t>4동</t>
        </is>
      </c>
      <c r="W10" s="4" t="n">
        <v>848</v>
      </c>
      <c r="X10" s="3" t="inlineStr">
        <is>
          <t>일반철골구조</t>
        </is>
      </c>
      <c r="Y10" s="3" t="inlineStr">
        <is>
          <t>공장</t>
        </is>
      </c>
      <c r="Z10" s="3" t="inlineStr">
        <is>
          <t>6.80m</t>
        </is>
      </c>
      <c r="AA10" s="3" t="inlineStr">
        <is>
          <t>1998-05-26</t>
        </is>
      </c>
    </row>
    <row r="11">
      <c r="A11" s="3" t="inlineStr">
        <is>
          <t>세종특별자치시 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HYPERLINK("https://map.naver.com/p/search/세종특별자치시 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5.10m</t>
        </is>
      </c>
      <c r="AA11" s="3" t="inlineStr">
        <is>
          <t>2011-11-15</t>
        </is>
      </c>
    </row>
    <row r="12">
      <c r="A12" s="3" t="inlineStr">
        <is>
          <t>세종특별자치시 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HYPERLINK("https://map.naver.com/p/search/세종특별자치시 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9.70m</t>
        </is>
      </c>
      <c r="AA12" s="3" t="inlineStr">
        <is>
          <t>2015-01-08</t>
        </is>
      </c>
    </row>
    <row r="13">
      <c r="A13" s="3" t="inlineStr">
        <is>
          <t>세종특별자치시 금남면 두만리 537-1</t>
        </is>
      </c>
      <c r="B13" s="3" t="inlineStr">
        <is>
          <t>계획관리지역</t>
        </is>
      </c>
      <c r="C13" s="3" t="inlineStr">
        <is>
          <t>공장용지</t>
        </is>
      </c>
      <c r="D13" s="3" t="inlineStr">
        <is>
          <t>공장</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세종시 금남면 공장용도 창고 임대</t>
        </is>
      </c>
      <c r="Q13" s="6">
        <f>HYPERLINK("https://fin.land.naver.com/articles/2646173044", "매물Link")</f>
        <v/>
      </c>
      <c r="R13" s="6">
        <f>HYPERLINK("https://map.naver.com/p/search/세종특별자치시 금남면 두만리 537-1", "지도Link")</f>
        <v/>
      </c>
      <c r="S13" s="6">
        <f>HYPERLINK("http://www.eum.go.kr/web/ar/lu/luLandDet.jsp?pnu=3611034024105370001&amp;isNoScr=script&amp;mode=search", "토지이음")</f>
        <v/>
      </c>
      <c r="T13" s="3" t="inlineStr">
        <is>
          <t>비전</t>
        </is>
      </c>
      <c r="U13" s="3" t="n">
        <v>2</v>
      </c>
      <c r="V13" s="3" t="inlineStr">
        <is>
          <t>주건물</t>
        </is>
      </c>
      <c r="W13" s="4" t="n">
        <v>284</v>
      </c>
      <c r="X13" s="3" t="inlineStr">
        <is>
          <t>일반철골구조</t>
        </is>
      </c>
      <c r="Y13" s="3" t="inlineStr">
        <is>
          <t>공장</t>
        </is>
      </c>
      <c r="Z13" s="3" t="inlineStr">
        <is>
          <t>7.00m</t>
        </is>
      </c>
      <c r="AA13" s="3" t="inlineStr">
        <is>
          <t>1997-05-07</t>
        </is>
      </c>
    </row>
    <row r="14">
      <c r="A14" s="3" t="inlineStr">
        <is>
          <t>세종특별자치시 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B1</t>
        </is>
      </c>
      <c r="P14" s="3" t="inlineStr">
        <is>
          <t>실내 높이 6미터 호이스트 설치된 공장 임대 다양한 업종 가능</t>
        </is>
      </c>
      <c r="Q14" s="6">
        <f>HYPERLINK("https://fin.land.naver.com/articles/2646417337", "매물Link")</f>
        <v/>
      </c>
      <c r="R14" s="6">
        <f>HYPERLINK("https://map.naver.com/p/search/세종특별자치시 금남면 두만리 537-1", "지도Link")</f>
        <v/>
      </c>
      <c r="S14" s="6">
        <f>HYPERLINK("http://www.eum.go.kr/web/ar/lu/luLandDet.jsp?pnu=3611034024105370001&amp;isNoScr=script&amp;mode=search", "토지이음")</f>
        <v/>
      </c>
      <c r="T14" s="3" t="inlineStr">
        <is>
          <t>도안드림우미린트리쉐이드</t>
        </is>
      </c>
      <c r="U14" s="3" t="n">
        <v>2</v>
      </c>
      <c r="V14" s="3" t="inlineStr">
        <is>
          <t>주건물</t>
        </is>
      </c>
      <c r="W14" s="4" t="n">
        <v>284</v>
      </c>
      <c r="X14" s="3" t="inlineStr">
        <is>
          <t>일반철골구조</t>
        </is>
      </c>
      <c r="Y14" s="3" t="inlineStr">
        <is>
          <t>공장</t>
        </is>
      </c>
      <c r="Z14" s="3" t="inlineStr">
        <is>
          <t>7.00m</t>
        </is>
      </c>
      <c r="AA14" s="3" t="inlineStr">
        <is>
          <t>1997-05-07</t>
        </is>
      </c>
    </row>
    <row r="15">
      <c r="A15" s="3" t="inlineStr">
        <is>
          <t>세종특별자치시 금남면 두만리 537-1</t>
        </is>
      </c>
      <c r="B15" s="3" t="inlineStr">
        <is>
          <t>계획관리지역</t>
        </is>
      </c>
      <c r="C15" s="3" t="inlineStr">
        <is>
          <t>공장용지</t>
        </is>
      </c>
      <c r="D15" s="3" t="inlineStr">
        <is>
          <t>창고</t>
        </is>
      </c>
      <c r="E15" s="3" t="inlineStr">
        <is>
          <t>월세</t>
        </is>
      </c>
      <c r="F15" s="4" t="n">
        <v>3000</v>
      </c>
      <c r="G15" s="4" t="n">
        <v>200</v>
      </c>
      <c r="H15" s="4" t="n">
        <v>1620</v>
      </c>
      <c r="I15" s="4" t="n">
        <v>490</v>
      </c>
      <c r="J15" s="5" t="n">
        <v>0.4</v>
      </c>
      <c r="K15" s="4" t="n">
        <v>284</v>
      </c>
      <c r="L15" s="4" t="n">
        <v>86</v>
      </c>
      <c r="M15" s="5" t="n">
        <v>2.3</v>
      </c>
      <c r="N15" s="3" t="inlineStr">
        <is>
          <t>1</t>
        </is>
      </c>
      <c r="O15" s="3" t="inlineStr">
        <is>
          <t>-</t>
        </is>
      </c>
      <c r="P15" s="3" t="inlineStr">
        <is>
          <t>호이스트 이용가능한 공장창고 대형차도 문제없어요</t>
        </is>
      </c>
      <c r="Q15" s="6">
        <f>HYPERLINK("https://fin.land.naver.com/articles/2645502347", "매물Link")</f>
        <v/>
      </c>
      <c r="R15" s="6">
        <f>HYPERLINK("https://map.naver.com/p/search/세종특별자치시 금남면 두만리 537-1", "지도Link")</f>
        <v/>
      </c>
      <c r="S15" s="6">
        <f>HYPERLINK("http://www.eum.go.kr/web/ar/lu/luLandDet.jsp?pnu=3611034024105370001&amp;isNoScr=script&amp;mode=search", "토지이음")</f>
        <v/>
      </c>
      <c r="T15" s="3" t="inlineStr">
        <is>
          <t>탑</t>
        </is>
      </c>
      <c r="U15" s="3" t="n">
        <v>1</v>
      </c>
      <c r="V15" s="3" t="inlineStr">
        <is>
          <t>주건물</t>
        </is>
      </c>
      <c r="W15" s="4" t="n">
        <v>284</v>
      </c>
      <c r="X15" s="3" t="inlineStr">
        <is>
          <t>일반철골구조</t>
        </is>
      </c>
      <c r="Y15" s="3" t="inlineStr">
        <is>
          <t>공장</t>
        </is>
      </c>
      <c r="Z15" s="3" t="inlineStr">
        <is>
          <t>7.00m</t>
        </is>
      </c>
      <c r="AA15" s="3" t="inlineStr">
        <is>
          <t>1997-05-07</t>
        </is>
      </c>
    </row>
    <row r="16">
      <c r="A16" s="3" t="inlineStr">
        <is>
          <t>세종특별자치시 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HYPERLINK("https://map.naver.com/p/search/세종특별자치시 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6.90m</t>
        </is>
      </c>
      <c r="AA16" s="3" t="inlineStr">
        <is>
          <t>2020-09-23</t>
        </is>
      </c>
    </row>
    <row r="17">
      <c r="A17" s="3" t="inlineStr">
        <is>
          <t>세종특별자치시 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HYPERLINK("https://map.naver.com/p/search/세종특별자치시 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9.40m</t>
        </is>
      </c>
      <c r="AA17" s="3" t="inlineStr">
        <is>
          <t>2009-05-18</t>
        </is>
      </c>
    </row>
    <row r="18">
      <c r="A18" s="3" t="inlineStr">
        <is>
          <t>세종특별자치시 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HYPERLINK("https://map.naver.com/p/search/세종특별자치시 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6.80m</t>
        </is>
      </c>
      <c r="AA18" s="3" t="inlineStr">
        <is>
          <t>2022-12-20</t>
        </is>
      </c>
    </row>
    <row r="19">
      <c r="A19" s="3" t="inlineStr">
        <is>
          <t>세종특별자치시 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HYPERLINK("https://map.naver.com/p/search/세종특별자치시 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6.80m</t>
        </is>
      </c>
      <c r="AA19" s="3" t="inlineStr">
        <is>
          <t>2023-07-07</t>
        </is>
      </c>
    </row>
    <row r="20">
      <c r="A20" s="3" t="inlineStr">
        <is>
          <t>세종특별자치시 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HYPERLINK("https://map.naver.com/p/search/세종특별자치시 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-m</t>
        </is>
      </c>
      <c r="AA20" s="3" t="inlineStr">
        <is>
          <t>1972</t>
        </is>
      </c>
    </row>
    <row r="21">
      <c r="A21" s="3" t="inlineStr">
        <is>
          <t>세종특별자치시 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HYPERLINK("https://map.naver.com/p/search/세종특별자치시 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10.35m</t>
        </is>
      </c>
      <c r="AA21" s="3" t="inlineStr">
        <is>
          <t>2017-01-03</t>
        </is>
      </c>
    </row>
    <row r="22">
      <c r="A22" s="3" t="inlineStr">
        <is>
          <t>세종특별자치시 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HYPERLINK("https://map.naver.com/p/search/세종특별자치시 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7.65m</t>
        </is>
      </c>
      <c r="AA22" s="3" t="inlineStr">
        <is>
          <t>2022-07-27</t>
        </is>
      </c>
    </row>
    <row r="23">
      <c r="A23" s="3" t="inlineStr">
        <is>
          <t>세종특별자치시 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HYPERLINK("https://map.naver.com/p/search/세종특별자치시 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5.40m</t>
        </is>
      </c>
      <c r="AA23" s="3" t="inlineStr">
        <is>
          <t>2012-12-12</t>
        </is>
      </c>
    </row>
    <row r="24">
      <c r="A24" s="3" t="inlineStr">
        <is>
          <t>세종특별자치시 나성동 829</t>
        </is>
      </c>
      <c r="B24" s="3" t="inlineStr">
        <is>
          <t>중심상업지역</t>
        </is>
      </c>
      <c r="C24" s="3" t="inlineStr">
        <is>
          <t>대</t>
        </is>
      </c>
      <c r="D24" s="3" t="inlineStr">
        <is>
          <t>공장</t>
        </is>
      </c>
      <c r="E24" s="3" t="inlineStr">
        <is>
          <t>매매</t>
        </is>
      </c>
      <c r="F24" s="4" t="n">
        <v>350000</v>
      </c>
      <c r="G24" s="4" t="n">
        <v>0</v>
      </c>
      <c r="H24" s="4" t="n">
        <v>5474</v>
      </c>
      <c r="I24" s="4" t="n">
        <v>1656</v>
      </c>
      <c r="J24" s="5" t="n">
        <v>211.4</v>
      </c>
      <c r="K24" s="4" t="n">
        <v>661</v>
      </c>
      <c r="L24" s="4" t="n">
        <v>200</v>
      </c>
      <c r="M24" s="5" t="n">
        <v>1750</v>
      </c>
      <c r="N24" s="3" t="inlineStr">
        <is>
          <t>1</t>
        </is>
      </c>
      <c r="O24" s="3" t="inlineStr">
        <is>
          <t>-</t>
        </is>
      </c>
      <c r="P24" s="3" t="inlineStr">
        <is>
          <t>청주sk하이닉스2공장맞은편에 위치 신축공장매매</t>
        </is>
      </c>
      <c r="Q24" s="6">
        <f>HYPERLINK("https://fin.land.naver.com/articles/2650053173", "매물Link")</f>
        <v/>
      </c>
      <c r="R24" s="6">
        <f>HYPERLINK("https://map.naver.com/p/search/세종특별자치시 나성동 829", "지도Link")</f>
        <v/>
      </c>
      <c r="S24" s="6">
        <f>HYPERLINK("http://www.eum.go.kr/web/ar/lu/luLandDet.jsp?pnu=3611010700108290000&amp;isNoScr=script&amp;mode=search", "토지이음")</f>
        <v/>
      </c>
      <c r="T24" s="3" t="inlineStr">
        <is>
          <t>지웰에스테이트</t>
        </is>
      </c>
      <c r="U24" s="3" t="n">
        <v>1</v>
      </c>
      <c r="V24" s="3" t="inlineStr">
        <is>
          <t>803</t>
        </is>
      </c>
      <c r="W24" s="4" t="n">
        <v>661</v>
      </c>
      <c r="X24" s="3" t="inlineStr">
        <is>
          <t>철근콘크리트구조</t>
        </is>
      </c>
      <c r="Y24" s="3" t="inlineStr">
        <is>
          <t>제2종근린생활시설</t>
        </is>
      </c>
      <c r="Z24" s="3" t="inlineStr">
        <is>
          <t>-m</t>
        </is>
      </c>
      <c r="AA24" s="3" t="inlineStr">
        <is>
          <t>2021-08-20</t>
        </is>
      </c>
    </row>
    <row r="25">
      <c r="A25" s="3" t="inlineStr">
        <is>
          <t>세종특별자치시 나성동 829</t>
        </is>
      </c>
      <c r="B25" s="3" t="inlineStr">
        <is>
          <t>중심상업지역</t>
        </is>
      </c>
      <c r="C25" s="3" t="inlineStr">
        <is>
          <t>대</t>
        </is>
      </c>
      <c r="D25" s="3" t="inlineStr">
        <is>
          <t>공장</t>
        </is>
      </c>
      <c r="E25" s="3" t="inlineStr">
        <is>
          <t>월세</t>
        </is>
      </c>
      <c r="F25" s="4" t="n">
        <v>5000</v>
      </c>
      <c r="G25" s="4" t="n">
        <v>400</v>
      </c>
      <c r="H25" s="4" t="n">
        <v>2415</v>
      </c>
      <c r="I25" s="4" t="n">
        <v>731</v>
      </c>
      <c r="J25" s="5" t="n">
        <v>0.5</v>
      </c>
      <c r="K25" s="4" t="n">
        <v>362</v>
      </c>
      <c r="L25" s="4" t="n">
        <v>110</v>
      </c>
      <c r="M25" s="5" t="n">
        <v>3.6</v>
      </c>
      <c r="N25" s="3" t="inlineStr">
        <is>
          <t>1</t>
        </is>
      </c>
      <c r="O25" s="3" t="inlineStr">
        <is>
          <t>-</t>
        </is>
      </c>
      <c r="P25" s="3" t="inlineStr">
        <is>
          <t>3순환로 및 서청주ic 접근성 좋아 청주 전지역 이동 편리</t>
        </is>
      </c>
      <c r="Q25" s="6">
        <f>HYPERLINK("https://fin.land.naver.com/articles/2647588362", "매물Link")</f>
        <v/>
      </c>
      <c r="R25" s="6">
        <f>HYPERLINK("https://map.naver.com/p/search/세종특별자치시 나성동 829", "지도Link")</f>
        <v/>
      </c>
      <c r="S25" s="6">
        <f>HYPERLINK("http://www.eum.go.kr/web/ar/lu/luLandDet.jsp?pnu=3611010700108290000&amp;isNoScr=script&amp;mode=search", "토지이음")</f>
        <v/>
      </c>
      <c r="T25" s="3" t="inlineStr">
        <is>
          <t>더원</t>
        </is>
      </c>
      <c r="U25" s="3" t="n">
        <v>1</v>
      </c>
      <c r="V25" s="3" t="inlineStr">
        <is>
          <t>전망공간 기계실</t>
        </is>
      </c>
      <c r="W25" s="4" t="n">
        <v>362</v>
      </c>
      <c r="X25" s="3" t="inlineStr">
        <is>
          <t>철근콘크리트구조</t>
        </is>
      </c>
      <c r="Y25" s="3" t="inlineStr">
        <is>
          <t>제2종근린생활시설</t>
        </is>
      </c>
      <c r="Z25" s="3" t="inlineStr">
        <is>
          <t>-m</t>
        </is>
      </c>
      <c r="AA25" s="3" t="inlineStr">
        <is>
          <t>2021-08-20</t>
        </is>
      </c>
    </row>
    <row r="26">
      <c r="A26" s="3" t="inlineStr">
        <is>
          <t>세종특별자치시 나성동 829</t>
        </is>
      </c>
      <c r="B26" s="3" t="inlineStr">
        <is>
          <t>중심상업지역</t>
        </is>
      </c>
      <c r="C26" s="3" t="inlineStr">
        <is>
          <t>대</t>
        </is>
      </c>
      <c r="D26" s="3" t="inlineStr">
        <is>
          <t>공장</t>
        </is>
      </c>
      <c r="E26" s="3" t="inlineStr">
        <is>
          <t>월세</t>
        </is>
      </c>
      <c r="F26" s="4" t="n">
        <v>4000</v>
      </c>
      <c r="G26" s="4" t="n">
        <v>600</v>
      </c>
      <c r="H26" s="4" t="n">
        <v>2874</v>
      </c>
      <c r="I26" s="4" t="n">
        <v>869</v>
      </c>
      <c r="J26" s="5" t="n">
        <v>0.7</v>
      </c>
      <c r="K26" s="4" t="n">
        <v>496</v>
      </c>
      <c r="L26" s="4" t="n">
        <v>150</v>
      </c>
      <c r="M26" s="5" t="n">
        <v>4</v>
      </c>
      <c r="N26" s="3" t="inlineStr">
        <is>
          <t>1</t>
        </is>
      </c>
      <c r="O26" s="3" t="inlineStr">
        <is>
          <t>-</t>
        </is>
      </c>
      <c r="P26" s="3" t="inlineStr">
        <is>
          <t>신축,서청주IC,청주역5분거리,하이닉스10분거리 , 청주산업단지이동교통편</t>
        </is>
      </c>
      <c r="Q26" s="6">
        <f>HYPERLINK("https://fin.land.naver.com/articles/2646372132", "매물Link")</f>
        <v/>
      </c>
      <c r="R26" s="6">
        <f>HYPERLINK("https://map.naver.com/p/search/세종특별자치시 나성동 829", "지도Link")</f>
        <v/>
      </c>
      <c r="S26" s="6">
        <f>HYPERLINK("http://www.eum.go.kr/web/ar/lu/luLandDet.jsp?pnu=3611010700108290000&amp;isNoScr=script&amp;mode=search", "토지이음")</f>
        <v/>
      </c>
      <c r="T26" s="3" t="inlineStr">
        <is>
          <t>다온</t>
        </is>
      </c>
      <c r="U26" s="3" t="n">
        <v>1</v>
      </c>
      <c r="V26" s="3" t="inlineStr">
        <is>
          <t>전망공간 기계실</t>
        </is>
      </c>
      <c r="W26" s="4" t="n">
        <v>496</v>
      </c>
      <c r="X26" s="3" t="inlineStr">
        <is>
          <t>철근콘크리트구조</t>
        </is>
      </c>
      <c r="Y26" s="3" t="inlineStr">
        <is>
          <t>제2종근린생활시설</t>
        </is>
      </c>
      <c r="Z26" s="3" t="inlineStr">
        <is>
          <t>-m</t>
        </is>
      </c>
      <c r="AA26" s="3" t="inlineStr">
        <is>
          <t>2021-08-20</t>
        </is>
      </c>
    </row>
    <row r="27">
      <c r="A27" s="3" t="inlineStr">
        <is>
          <t>세종특별자치시 나성동 829</t>
        </is>
      </c>
      <c r="B27" s="3" t="inlineStr">
        <is>
          <t>중심상업지역</t>
        </is>
      </c>
      <c r="C27" s="3" t="inlineStr">
        <is>
          <t>대</t>
        </is>
      </c>
      <c r="D27" s="3" t="inlineStr">
        <is>
          <t>창고</t>
        </is>
      </c>
      <c r="E27" s="3" t="inlineStr">
        <is>
          <t>월세</t>
        </is>
      </c>
      <c r="F27" s="4" t="n">
        <v>3000</v>
      </c>
      <c r="G27" s="4" t="n">
        <v>440</v>
      </c>
      <c r="H27" s="4" t="n">
        <v>1215</v>
      </c>
      <c r="I27" s="4" t="n">
        <v>368</v>
      </c>
      <c r="J27" s="5" t="n">
        <v>1.2</v>
      </c>
      <c r="K27" s="4" t="n">
        <v>444</v>
      </c>
      <c r="L27" s="4" t="n">
        <v>134</v>
      </c>
      <c r="M27" s="5" t="n">
        <v>3.3</v>
      </c>
      <c r="N27" s="3" t="inlineStr">
        <is>
          <t>2</t>
        </is>
      </c>
      <c r="O27" s="3" t="inlineStr">
        <is>
          <t>-</t>
        </is>
      </c>
      <c r="P27" s="3" t="inlineStr">
        <is>
          <t>1층창고,2층사무실.</t>
        </is>
      </c>
      <c r="Q27" s="6">
        <f>HYPERLINK("https://fin.land.naver.com/articles/2646606345", "매물Link")</f>
        <v/>
      </c>
      <c r="R27" s="6">
        <f>HYPERLINK("https://map.naver.com/p/search/세종특별자치시 나성동 829", "지도Link")</f>
        <v/>
      </c>
      <c r="S27" s="6">
        <f>HYPERLINK("http://www.eum.go.kr/web/ar/lu/luLandDet.jsp?pnu=3611010700108290000&amp;isNoScr=script&amp;mode=search", "토지이음")</f>
        <v/>
      </c>
      <c r="T27" s="3" t="inlineStr">
        <is>
          <t>청주합동</t>
        </is>
      </c>
      <c r="U27" s="3" t="n">
        <v>1</v>
      </c>
      <c r="V27" s="3" t="inlineStr">
        <is>
          <t>전망공간 기계실</t>
        </is>
      </c>
      <c r="W27" s="4" t="n">
        <v>444</v>
      </c>
      <c r="X27" s="3" t="inlineStr">
        <is>
          <t>철근콘크리트구조</t>
        </is>
      </c>
      <c r="Y27" s="3" t="inlineStr">
        <is>
          <t>제2종근린생활시설</t>
        </is>
      </c>
      <c r="Z27" s="3" t="inlineStr">
        <is>
          <t>-m</t>
        </is>
      </c>
      <c r="AA27" s="3" t="inlineStr">
        <is>
          <t>2021-08-20</t>
        </is>
      </c>
    </row>
    <row r="28">
      <c r="A28" s="3" t="inlineStr">
        <is>
          <t>세종특별자치시 나성동 829</t>
        </is>
      </c>
      <c r="B28" s="3" t="inlineStr">
        <is>
          <t>중심상업지역</t>
        </is>
      </c>
      <c r="C28" s="3" t="inlineStr">
        <is>
          <t>대</t>
        </is>
      </c>
      <c r="D28" s="3" t="inlineStr">
        <is>
          <t>창고</t>
        </is>
      </c>
      <c r="E28" s="3" t="inlineStr">
        <is>
          <t>월세</t>
        </is>
      </c>
      <c r="F28" s="4" t="n">
        <v>1000</v>
      </c>
      <c r="G28" s="4" t="n">
        <v>100</v>
      </c>
      <c r="H28" s="4" t="n">
        <v>715</v>
      </c>
      <c r="I28" s="4" t="n">
        <v>216</v>
      </c>
      <c r="J28" s="5" t="n">
        <v>0.5</v>
      </c>
      <c r="K28" s="4" t="n">
        <v>140</v>
      </c>
      <c r="L28" s="4" t="n">
        <v>42</v>
      </c>
      <c r="M28" s="5" t="n">
        <v>2.4</v>
      </c>
      <c r="N28" s="3" t="inlineStr">
        <is>
          <t>1</t>
        </is>
      </c>
      <c r="O28" s="3" t="inlineStr">
        <is>
          <t>-</t>
        </is>
      </c>
      <c r="P28" s="3" t="inlineStr">
        <is>
          <t>청주역인근,창고및사무실,2층</t>
        </is>
      </c>
      <c r="Q28" s="6">
        <f>HYPERLINK("https://fin.land.naver.com/articles/2649533466", "매물Link")</f>
        <v/>
      </c>
      <c r="R28" s="6">
        <f>HYPERLINK("https://map.naver.com/p/search/세종특별자치시 나성동 829", "지도Link")</f>
        <v/>
      </c>
      <c r="S28" s="6">
        <f>HYPERLINK("http://www.eum.go.kr/web/ar/lu/luLandDet.jsp?pnu=3611010700108290000&amp;isNoScr=script&amp;mode=search", "토지이음")</f>
        <v/>
      </c>
      <c r="T28" s="3" t="inlineStr">
        <is>
          <t>LBA리치아노합동사무소</t>
        </is>
      </c>
      <c r="U28" s="3" t="n">
        <v>2</v>
      </c>
      <c r="V28" s="3" t="inlineStr">
        <is>
          <t>공동주택 경로당</t>
        </is>
      </c>
      <c r="W28" s="4" t="n">
        <v>140</v>
      </c>
      <c r="X28" s="3" t="inlineStr">
        <is>
          <t>철근콘크리트구조</t>
        </is>
      </c>
      <c r="Y28" s="3" t="inlineStr">
        <is>
          <t>공동주택</t>
        </is>
      </c>
      <c r="Z28" s="3" t="inlineStr">
        <is>
          <t>-m</t>
        </is>
      </c>
      <c r="AA28" s="3" t="inlineStr">
        <is>
          <t>2021-08-20</t>
        </is>
      </c>
    </row>
    <row r="29">
      <c r="A29" s="3" t="inlineStr">
        <is>
          <t>세종특별자치시 나성동 829</t>
        </is>
      </c>
      <c r="B29" s="3" t="inlineStr">
        <is>
          <t>중심상업지역</t>
        </is>
      </c>
      <c r="C29" s="3" t="inlineStr">
        <is>
          <t>대</t>
        </is>
      </c>
      <c r="D29" s="3" t="inlineStr">
        <is>
          <t>공장</t>
        </is>
      </c>
      <c r="E29" s="3" t="inlineStr">
        <is>
          <t>월세</t>
        </is>
      </c>
      <c r="F29" s="4" t="n">
        <v>5000</v>
      </c>
      <c r="G29" s="4" t="n">
        <v>400</v>
      </c>
      <c r="H29" s="4" t="n">
        <v>2555</v>
      </c>
      <c r="I29" s="4" t="n">
        <v>773</v>
      </c>
      <c r="J29" s="5" t="n">
        <v>0.5</v>
      </c>
      <c r="K29" s="4" t="n">
        <v>492</v>
      </c>
      <c r="L29" s="4" t="n">
        <v>149</v>
      </c>
      <c r="M29" s="5" t="n">
        <v>2.7</v>
      </c>
      <c r="N29" s="3" t="inlineStr">
        <is>
          <t>1</t>
        </is>
      </c>
      <c r="O29" s="3" t="inlineStr">
        <is>
          <t>-</t>
        </is>
      </c>
      <c r="P29" s="3" t="inlineStr">
        <is>
          <t>SK하이닉스인근,제조업소및창고,호이스트3톤</t>
        </is>
      </c>
      <c r="Q29" s="6">
        <f>HYPERLINK("https://fin.land.naver.com/articles/2649539365", "매물Link")</f>
        <v/>
      </c>
      <c r="R29" s="6">
        <f>HYPERLINK("https://map.naver.com/p/search/세종특별자치시 나성동 829", "지도Link")</f>
        <v/>
      </c>
      <c r="S29" s="6">
        <f>HYPERLINK("http://www.eum.go.kr/web/ar/lu/luLandDet.jsp?pnu=3611010700108290000&amp;isNoScr=script&amp;mode=search", "토지이음")</f>
        <v/>
      </c>
      <c r="T29" s="3" t="inlineStr">
        <is>
          <t>LBA리치아노합동사무소</t>
        </is>
      </c>
      <c r="U29" s="3" t="n">
        <v>1</v>
      </c>
      <c r="V29" s="3" t="inlineStr">
        <is>
          <t>전망공간 기계실</t>
        </is>
      </c>
      <c r="W29" s="4" t="n">
        <v>492</v>
      </c>
      <c r="X29" s="3" t="inlineStr">
        <is>
          <t>철근콘크리트구조</t>
        </is>
      </c>
      <c r="Y29" s="3" t="inlineStr">
        <is>
          <t>제2종근린생활시설</t>
        </is>
      </c>
      <c r="Z29" s="3" t="inlineStr">
        <is>
          <t>-m</t>
        </is>
      </c>
      <c r="AA29" s="3" t="inlineStr">
        <is>
          <t>2021-08-20</t>
        </is>
      </c>
    </row>
    <row r="30">
      <c r="A30" s="3" t="inlineStr">
        <is>
          <t>세종특별자치시 나성동 829</t>
        </is>
      </c>
      <c r="B30" s="3" t="inlineStr">
        <is>
          <t>중심상업지역</t>
        </is>
      </c>
      <c r="C30" s="3" t="inlineStr">
        <is>
          <t>대</t>
        </is>
      </c>
      <c r="D30" s="3" t="inlineStr">
        <is>
          <t>공장</t>
        </is>
      </c>
      <c r="E30" s="3" t="inlineStr">
        <is>
          <t>월세</t>
        </is>
      </c>
      <c r="F30" s="4" t="n">
        <v>3000</v>
      </c>
      <c r="G30" s="4" t="n">
        <v>280</v>
      </c>
      <c r="H30" s="4" t="n">
        <v>2439</v>
      </c>
      <c r="I30" s="4" t="n">
        <v>738</v>
      </c>
      <c r="J30" s="5" t="n">
        <v>0.4</v>
      </c>
      <c r="K30" s="4" t="n">
        <v>231</v>
      </c>
      <c r="L30" s="4" t="n">
        <v>70</v>
      </c>
      <c r="M30" s="5" t="n">
        <v>4</v>
      </c>
      <c r="N30" s="3" t="inlineStr">
        <is>
          <t>1</t>
        </is>
      </c>
      <c r="O30" s="3" t="inlineStr">
        <is>
          <t>-</t>
        </is>
      </c>
      <c r="P30" s="3" t="inlineStr">
        <is>
          <t>nan</t>
        </is>
      </c>
      <c r="Q30" s="6">
        <f>HYPERLINK("https://fin.land.naver.com/articles/2647810982", "매물Link")</f>
        <v/>
      </c>
      <c r="R30" s="6">
        <f>HYPERLINK("https://map.naver.com/p/search/세종특별자치시 나성동 829", "지도Link")</f>
        <v/>
      </c>
      <c r="S30" s="6">
        <f>HYPERLINK("http://www.eum.go.kr/web/ar/lu/luLandDet.jsp?pnu=3611010700108290000&amp;isNoScr=script&amp;mode=search", "토지이음")</f>
        <v/>
      </c>
      <c r="T30" s="3" t="inlineStr">
        <is>
          <t>청주합동</t>
        </is>
      </c>
      <c r="U30" s="3" t="n">
        <v>1</v>
      </c>
      <c r="V30" s="3" t="inlineStr">
        <is>
          <t>공동주택 보육시설</t>
        </is>
      </c>
      <c r="W30" s="4" t="n">
        <v>231</v>
      </c>
      <c r="X30" s="3" t="inlineStr">
        <is>
          <t>철근콘크리트구조</t>
        </is>
      </c>
      <c r="Y30" s="3" t="inlineStr">
        <is>
          <t>공동주택</t>
        </is>
      </c>
      <c r="Z30" s="3" t="inlineStr">
        <is>
          <t>-m</t>
        </is>
      </c>
      <c r="AA30" s="3" t="inlineStr">
        <is>
          <t>2021-08-20</t>
        </is>
      </c>
    </row>
    <row r="31">
      <c r="A31" s="3" t="inlineStr">
        <is>
          <t>세종특별자치시 나성동 829</t>
        </is>
      </c>
      <c r="B31" s="3" t="inlineStr">
        <is>
          <t>중심상업지역</t>
        </is>
      </c>
      <c r="C31" s="3" t="inlineStr">
        <is>
          <t>대</t>
        </is>
      </c>
      <c r="D31" s="3" t="inlineStr">
        <is>
          <t>공장</t>
        </is>
      </c>
      <c r="E31" s="3" t="inlineStr">
        <is>
          <t>매매</t>
        </is>
      </c>
      <c r="F31" s="4" t="n">
        <v>150000</v>
      </c>
      <c r="G31" s="4" t="n">
        <v>0</v>
      </c>
      <c r="H31" s="4" t="n">
        <v>1211</v>
      </c>
      <c r="I31" s="4" t="n">
        <v>366</v>
      </c>
      <c r="J31" s="5" t="n">
        <v>409.8</v>
      </c>
      <c r="K31" s="4" t="n">
        <v>474</v>
      </c>
      <c r="L31" s="4" t="n">
        <v>143</v>
      </c>
      <c r="M31" s="5" t="n">
        <v>1049</v>
      </c>
      <c r="N31" s="3" t="inlineStr">
        <is>
          <t>2</t>
        </is>
      </c>
      <c r="O31" s="3" t="inlineStr">
        <is>
          <t>-</t>
        </is>
      </c>
      <c r="P31" s="3" t="inlineStr">
        <is>
          <t>nan</t>
        </is>
      </c>
      <c r="Q31" s="6">
        <f>HYPERLINK("https://fin.land.naver.com/articles/2647723060", "매물Link")</f>
        <v/>
      </c>
      <c r="R31" s="6">
        <f>HYPERLINK("https://map.naver.com/p/search/세종특별자치시 나성동 829", "지도Link")</f>
        <v/>
      </c>
      <c r="S31" s="6">
        <f>HYPERLINK("http://www.eum.go.kr/web/ar/lu/luLandDet.jsp?pnu=3611010700108290000&amp;isNoScr=script&amp;mode=search", "토지이음")</f>
        <v/>
      </c>
      <c r="T31" s="3" t="inlineStr">
        <is>
          <t>청주합동</t>
        </is>
      </c>
      <c r="U31" s="3" t="n">
        <v>1</v>
      </c>
      <c r="V31" s="3" t="inlineStr">
        <is>
          <t>전망공간 기계실</t>
        </is>
      </c>
      <c r="W31" s="4" t="n">
        <v>474</v>
      </c>
      <c r="X31" s="3" t="inlineStr">
        <is>
          <t>철근콘크리트구조</t>
        </is>
      </c>
      <c r="Y31" s="3" t="inlineStr">
        <is>
          <t>제2종근린생활시설</t>
        </is>
      </c>
      <c r="Z31" s="3" t="inlineStr">
        <is>
          <t>-m</t>
        </is>
      </c>
      <c r="AA31" s="3" t="inlineStr">
        <is>
          <t>2021-08-20</t>
        </is>
      </c>
    </row>
    <row r="32">
      <c r="A32" s="3" t="inlineStr">
        <is>
          <t>세종특별자치시 나성동 829</t>
        </is>
      </c>
      <c r="B32" s="3" t="inlineStr">
        <is>
          <t>중심상업지역</t>
        </is>
      </c>
      <c r="C32" s="3" t="inlineStr">
        <is>
          <t>대</t>
        </is>
      </c>
      <c r="D32" s="3" t="inlineStr">
        <is>
          <t>공장</t>
        </is>
      </c>
      <c r="E32" s="3" t="inlineStr">
        <is>
          <t>월세</t>
        </is>
      </c>
      <c r="F32" s="4" t="n">
        <v>2000</v>
      </c>
      <c r="G32" s="4" t="n">
        <v>180</v>
      </c>
      <c r="H32" s="4" t="n">
        <v>1164</v>
      </c>
      <c r="I32" s="4" t="n">
        <v>352</v>
      </c>
      <c r="J32" s="5" t="n">
        <v>0.5</v>
      </c>
      <c r="K32" s="4" t="n">
        <v>191</v>
      </c>
      <c r="L32" s="4" t="n">
        <v>58</v>
      </c>
      <c r="M32" s="5" t="n">
        <v>3.1</v>
      </c>
      <c r="N32" s="3" t="inlineStr">
        <is>
          <t>1</t>
        </is>
      </c>
      <c r="O32" s="3" t="inlineStr">
        <is>
          <t>-</t>
        </is>
      </c>
      <c r="P32" s="3" t="inlineStr">
        <is>
          <t>nan</t>
        </is>
      </c>
      <c r="Q32" s="6">
        <f>HYPERLINK("https://fin.land.naver.com/articles/2647728487", "매물Link")</f>
        <v/>
      </c>
      <c r="R32" s="6">
        <f>HYPERLINK("https://map.naver.com/p/search/세종특별자치시 나성동 829", "지도Link")</f>
        <v/>
      </c>
      <c r="S32" s="6">
        <f>HYPERLINK("http://www.eum.go.kr/web/ar/lu/luLandDet.jsp?pnu=3611010700108290000&amp;isNoScr=script&amp;mode=search", "토지이음")</f>
        <v/>
      </c>
      <c r="T32" s="3" t="inlineStr">
        <is>
          <t>청주합동</t>
        </is>
      </c>
      <c r="U32" s="3" t="n">
        <v>1</v>
      </c>
      <c r="V32" s="3" t="inlineStr">
        <is>
          <t>701</t>
        </is>
      </c>
      <c r="W32" s="4" t="n">
        <v>191</v>
      </c>
      <c r="X32" s="3" t="inlineStr">
        <is>
          <t>철근콘크리트구조</t>
        </is>
      </c>
      <c r="Y32" s="3" t="inlineStr">
        <is>
          <t>판매시설</t>
        </is>
      </c>
      <c r="Z32" s="3" t="inlineStr">
        <is>
          <t>-m</t>
        </is>
      </c>
      <c r="AA32" s="3" t="inlineStr">
        <is>
          <t>2021-08-20</t>
        </is>
      </c>
    </row>
    <row r="33">
      <c r="A33" s="3" t="inlineStr">
        <is>
          <t>세종특별자치시 나성동 829</t>
        </is>
      </c>
      <c r="B33" s="3" t="inlineStr">
        <is>
          <t>중심상업지역</t>
        </is>
      </c>
      <c r="C33" s="3" t="inlineStr">
        <is>
          <t>대</t>
        </is>
      </c>
      <c r="D33" s="3" t="inlineStr">
        <is>
          <t>창고</t>
        </is>
      </c>
      <c r="E33" s="3" t="inlineStr">
        <is>
          <t>월세</t>
        </is>
      </c>
      <c r="F33" s="4" t="n">
        <v>2000</v>
      </c>
      <c r="G33" s="4" t="n">
        <v>200</v>
      </c>
      <c r="H33" s="4" t="n">
        <v>1686</v>
      </c>
      <c r="I33" s="4" t="n">
        <v>510</v>
      </c>
      <c r="J33" s="5" t="n">
        <v>0.4</v>
      </c>
      <c r="K33" s="4" t="n">
        <v>336</v>
      </c>
      <c r="L33" s="4" t="n">
        <v>102</v>
      </c>
      <c r="M33" s="5" t="n">
        <v>2</v>
      </c>
      <c r="N33" s="3" t="inlineStr">
        <is>
          <t>1</t>
        </is>
      </c>
      <c r="O33" s="3" t="inlineStr">
        <is>
          <t>-</t>
        </is>
      </c>
      <c r="P33" s="3" t="inlineStr">
        <is>
          <t>nan</t>
        </is>
      </c>
      <c r="Q33" s="6">
        <f>HYPERLINK("https://fin.land.naver.com/articles/2646692097", "매물Link")</f>
        <v/>
      </c>
      <c r="R33" s="6">
        <f>HYPERLINK("https://map.naver.com/p/search/세종특별자치시 나성동 829", "지도Link")</f>
        <v/>
      </c>
      <c r="S33" s="6">
        <f>HYPERLINK("http://www.eum.go.kr/web/ar/lu/luLandDet.jsp?pnu=3611010700108290000&amp;isNoScr=script&amp;mode=search", "토지이음")</f>
        <v/>
      </c>
      <c r="T33" s="3" t="inlineStr">
        <is>
          <t>수풀림</t>
        </is>
      </c>
      <c r="U33" s="3" t="n">
        <v>1</v>
      </c>
      <c r="V33" s="3" t="inlineStr">
        <is>
          <t>801</t>
        </is>
      </c>
      <c r="W33" s="4" t="n">
        <v>336</v>
      </c>
      <c r="X33" s="3" t="inlineStr">
        <is>
          <t>철근콘크리트구조</t>
        </is>
      </c>
      <c r="Y33" s="3" t="inlineStr">
        <is>
          <t>제2종근린생활시설</t>
        </is>
      </c>
      <c r="Z33" s="3" t="inlineStr">
        <is>
          <t>-m</t>
        </is>
      </c>
      <c r="AA33" s="3" t="inlineStr">
        <is>
          <t>2021-08-20</t>
        </is>
      </c>
    </row>
    <row r="34">
      <c r="A34" s="3" t="inlineStr">
        <is>
          <t>세종특별자치시 나성동 829</t>
        </is>
      </c>
      <c r="B34" s="3" t="inlineStr">
        <is>
          <t>중심상업지역</t>
        </is>
      </c>
      <c r="C34" s="3" t="inlineStr">
        <is>
          <t>대</t>
        </is>
      </c>
      <c r="D34" s="3" t="inlineStr">
        <is>
          <t>공장</t>
        </is>
      </c>
      <c r="E34" s="3" t="inlineStr">
        <is>
          <t>매매</t>
        </is>
      </c>
      <c r="F34" s="4" t="n">
        <v>360000</v>
      </c>
      <c r="G34" s="4" t="n">
        <v>0</v>
      </c>
      <c r="H34" s="4" t="n">
        <v>4710</v>
      </c>
      <c r="I34" s="4" t="n">
        <v>1425</v>
      </c>
      <c r="J34" s="5" t="n">
        <v>252.6</v>
      </c>
      <c r="K34" s="4" t="n">
        <v>767</v>
      </c>
      <c r="L34" s="4" t="n">
        <v>232</v>
      </c>
      <c r="M34" s="5" t="n">
        <v>1551.7</v>
      </c>
      <c r="N34" s="3" t="inlineStr">
        <is>
          <t>2</t>
        </is>
      </c>
      <c r="O34" s="3" t="inlineStr">
        <is>
          <t>-</t>
        </is>
      </c>
      <c r="P34" s="3" t="inlineStr">
        <is>
          <t>하이닉스 서청주ic접근성 좋음 대형차 진출입용이 마당넓어 야적장최적</t>
        </is>
      </c>
      <c r="Q34" s="6">
        <f>HYPERLINK("https://fin.land.naver.com/articles/2646667955", "매물Link")</f>
        <v/>
      </c>
      <c r="R34" s="6">
        <f>HYPERLINK("https://map.naver.com/p/search/세종특별자치시 나성동 829", "지도Link")</f>
        <v/>
      </c>
      <c r="S34" s="6">
        <f>HYPERLINK("http://www.eum.go.kr/web/ar/lu/luLandDet.jsp?pnu=3611010700108290000&amp;isNoScr=script&amp;mode=search", "토지이음")</f>
        <v/>
      </c>
      <c r="T34" s="3" t="inlineStr">
        <is>
          <t>더원</t>
        </is>
      </c>
      <c r="U34" s="3" t="n">
        <v>1</v>
      </c>
      <c r="V34" s="3" t="inlineStr">
        <is>
          <t>공동주택 휘트니스</t>
        </is>
      </c>
      <c r="W34" s="4" t="n">
        <v>767</v>
      </c>
      <c r="X34" s="3" t="inlineStr">
        <is>
          <t>철근콘크리트구조</t>
        </is>
      </c>
      <c r="Y34" s="3" t="inlineStr">
        <is>
          <t>공동주택</t>
        </is>
      </c>
      <c r="Z34" s="3" t="inlineStr">
        <is>
          <t>-m</t>
        </is>
      </c>
      <c r="AA34" s="3" t="inlineStr">
        <is>
          <t>2021-08-20</t>
        </is>
      </c>
    </row>
    <row r="35">
      <c r="A35" s="3" t="inlineStr">
        <is>
          <t>세종특별자치시 나성동 829</t>
        </is>
      </c>
      <c r="B35" s="3" t="inlineStr">
        <is>
          <t>중심상업지역</t>
        </is>
      </c>
      <c r="C35" s="3" t="inlineStr">
        <is>
          <t>대</t>
        </is>
      </c>
      <c r="D35" s="3" t="inlineStr">
        <is>
          <t>공장</t>
        </is>
      </c>
      <c r="E35" s="3" t="inlineStr">
        <is>
          <t>월세</t>
        </is>
      </c>
      <c r="F35" s="4" t="n">
        <v>4000</v>
      </c>
      <c r="G35" s="4" t="n">
        <v>320</v>
      </c>
      <c r="H35" s="4" t="n">
        <v>2613</v>
      </c>
      <c r="I35" s="4" t="n">
        <v>790</v>
      </c>
      <c r="J35" s="5" t="n">
        <v>0.4</v>
      </c>
      <c r="K35" s="4" t="n">
        <v>482</v>
      </c>
      <c r="L35" s="4" t="n">
        <v>146</v>
      </c>
      <c r="M35" s="5" t="n">
        <v>2.2</v>
      </c>
      <c r="N35" s="3" t="inlineStr">
        <is>
          <t>1</t>
        </is>
      </c>
      <c r="O35" s="3" t="inlineStr">
        <is>
          <t>-</t>
        </is>
      </c>
      <c r="P35" s="3" t="inlineStr">
        <is>
          <t>청주역,제조업소및창고,별도기숙사</t>
        </is>
      </c>
      <c r="Q35" s="6">
        <f>HYPERLINK("https://fin.land.naver.com/articles/2646082629", "매물Link")</f>
        <v/>
      </c>
      <c r="R35" s="6">
        <f>HYPERLINK("https://map.naver.com/p/search/세종특별자치시 나성동 829", "지도Link")</f>
        <v/>
      </c>
      <c r="S35" s="6">
        <f>HYPERLINK("http://www.eum.go.kr/web/ar/lu/luLandDet.jsp?pnu=3611010700108290000&amp;isNoScr=script&amp;mode=search", "토지이음")</f>
        <v/>
      </c>
      <c r="T35" s="3" t="inlineStr">
        <is>
          <t>LBA리치아노합동사무소</t>
        </is>
      </c>
      <c r="U35" s="3" t="n">
        <v>1</v>
      </c>
      <c r="V35" s="3" t="inlineStr">
        <is>
          <t>전망공간 기계실</t>
        </is>
      </c>
      <c r="W35" s="4" t="n">
        <v>482</v>
      </c>
      <c r="X35" s="3" t="inlineStr">
        <is>
          <t>철근콘크리트구조</t>
        </is>
      </c>
      <c r="Y35" s="3" t="inlineStr">
        <is>
          <t>제2종근린생활시설</t>
        </is>
      </c>
      <c r="Z35" s="3" t="inlineStr">
        <is>
          <t>-m</t>
        </is>
      </c>
      <c r="AA35" s="3" t="inlineStr">
        <is>
          <t>2021-08-20</t>
        </is>
      </c>
    </row>
    <row r="36">
      <c r="A36" s="3" t="inlineStr">
        <is>
          <t>세종특별자치시 나성동 829</t>
        </is>
      </c>
      <c r="B36" s="3" t="inlineStr">
        <is>
          <t>중심상업지역</t>
        </is>
      </c>
      <c r="C36" s="3" t="inlineStr">
        <is>
          <t>대</t>
        </is>
      </c>
      <c r="D36" s="3" t="inlineStr">
        <is>
          <t>공장</t>
        </is>
      </c>
      <c r="E36" s="3" t="inlineStr">
        <is>
          <t>매매</t>
        </is>
      </c>
      <c r="F36" s="4" t="n">
        <v>180000</v>
      </c>
      <c r="G36" s="4" t="n">
        <v>0</v>
      </c>
      <c r="H36" s="4" t="n">
        <v>1978</v>
      </c>
      <c r="I36" s="4" t="n">
        <v>598</v>
      </c>
      <c r="J36" s="5" t="n">
        <v>301</v>
      </c>
      <c r="K36" s="4" t="n">
        <v>395</v>
      </c>
      <c r="L36" s="4" t="n">
        <v>119</v>
      </c>
      <c r="M36" s="5" t="n">
        <v>1512.6</v>
      </c>
      <c r="N36" s="3" t="inlineStr">
        <is>
          <t>1</t>
        </is>
      </c>
      <c r="O36" s="3" t="inlineStr">
        <is>
          <t>-</t>
        </is>
      </c>
      <c r="P36" s="3" t="inlineStr">
        <is>
          <t>서청주ic주변이어서 제조공장으로 합당함 ,태양열설치되어있으므로 수입있음</t>
        </is>
      </c>
      <c r="Q36" s="6">
        <f>HYPERLINK("https://fin.land.naver.com/articles/2645968359", "매물Link")</f>
        <v/>
      </c>
      <c r="R36" s="6">
        <f>HYPERLINK("https://map.naver.com/p/search/세종특별자치시 나성동 829", "지도Link")</f>
        <v/>
      </c>
      <c r="S36" s="6">
        <f>HYPERLINK("http://www.eum.go.kr/web/ar/lu/luLandDet.jsp?pnu=3611010700108290000&amp;isNoScr=script&amp;mode=search", "토지이음")</f>
        <v/>
      </c>
      <c r="T36" s="3" t="inlineStr">
        <is>
          <t>황금빛</t>
        </is>
      </c>
      <c r="U36" s="3" t="n">
        <v>1</v>
      </c>
      <c r="V36" s="3" t="inlineStr">
        <is>
          <t>전망공간 기계실</t>
        </is>
      </c>
      <c r="W36" s="4" t="n">
        <v>395</v>
      </c>
      <c r="X36" s="3" t="inlineStr">
        <is>
          <t>철근콘크리트구조</t>
        </is>
      </c>
      <c r="Y36" s="3" t="inlineStr">
        <is>
          <t>제2종근린생활시설</t>
        </is>
      </c>
      <c r="Z36" s="3" t="inlineStr">
        <is>
          <t>-m</t>
        </is>
      </c>
      <c r="AA36" s="3" t="inlineStr">
        <is>
          <t>2021-08-20</t>
        </is>
      </c>
    </row>
    <row r="37">
      <c r="A37" s="3" t="inlineStr">
        <is>
          <t>세종특별자치시 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HYPERLINK("https://map.naver.com/p/search/세종특별자치시 나성동 829", "지도Link")</f>
        <v/>
      </c>
      <c r="S37" s="6">
        <f>HYPERLINK("http://www.eum.go.kr/web/ar/lu/luLandDet.jsp?pnu=3611010700108290000&amp;isNoScr=script&amp;mode=search", "토지이음")</f>
        <v/>
      </c>
      <c r="T37" s="3" t="inlineStr">
        <is>
          <t>청주합동</t>
        </is>
      </c>
      <c r="U37" s="3" t="n">
        <v>1</v>
      </c>
      <c r="V37" s="3" t="inlineStr">
        <is>
          <t>801</t>
        </is>
      </c>
      <c r="W37" s="4" t="n">
        <v>336</v>
      </c>
      <c r="X37" s="3" t="inlineStr">
        <is>
          <t>철근콘크리트구조</t>
        </is>
      </c>
      <c r="Y37" s="3" t="inlineStr">
        <is>
          <t>제2종근린생활시설</t>
        </is>
      </c>
      <c r="Z37" s="3" t="inlineStr">
        <is>
          <t>-m</t>
        </is>
      </c>
      <c r="AA37" s="3" t="inlineStr">
        <is>
          <t>2021-08-20</t>
        </is>
      </c>
    </row>
    <row r="38">
      <c r="A38" s="3" t="inlineStr">
        <is>
          <t>세종특별자치시 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HYPERLINK("https://map.naver.com/p/search/세종특별자치시 나성동 829", "지도Link")</f>
        <v/>
      </c>
      <c r="S38" s="6">
        <f>HYPERLINK("http://www.eum.go.kr/web/ar/lu/luLandDet.jsp?pnu=3611010700108290000&amp;isNoScr=script&amp;mode=search", "토지이음")</f>
        <v/>
      </c>
      <c r="T38" s="3" t="inlineStr">
        <is>
          <t>명진</t>
        </is>
      </c>
      <c r="U38" s="3" t="n">
        <v>1</v>
      </c>
      <c r="V38" s="3" t="inlineStr">
        <is>
          <t>공동주택 기계실/열교환기실/펌프실</t>
        </is>
      </c>
      <c r="W38" s="4" t="n">
        <v>273</v>
      </c>
      <c r="X38" s="3" t="inlineStr">
        <is>
          <t>철근콘크리트구조</t>
        </is>
      </c>
      <c r="Y38" s="3" t="inlineStr">
        <is>
          <t>공동주택</t>
        </is>
      </c>
      <c r="Z38" s="3" t="inlineStr">
        <is>
          <t>-m</t>
        </is>
      </c>
      <c r="AA38" s="3" t="inlineStr">
        <is>
          <t>2021-08-20</t>
        </is>
      </c>
    </row>
    <row r="39">
      <c r="A39" s="3" t="inlineStr">
        <is>
          <t>세종특별자치시 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HYPERLINK("https://map.naver.com/p/search/세종특별자치시 나성동 829", "지도Link")</f>
        <v/>
      </c>
      <c r="S39" s="6">
        <f>HYPERLINK("http://www.eum.go.kr/web/ar/lu/luLandDet.jsp?pnu=3611010700108290000&amp;isNoScr=script&amp;mode=search", "토지이음")</f>
        <v/>
      </c>
      <c r="T39" s="3" t="inlineStr">
        <is>
          <t>나인</t>
        </is>
      </c>
      <c r="U39" s="3" t="n">
        <v>1</v>
      </c>
      <c r="V39" s="3" t="inlineStr">
        <is>
          <t>공동주택 휘트니스</t>
        </is>
      </c>
      <c r="W39" s="4" t="n">
        <v>842</v>
      </c>
      <c r="X39" s="3" t="inlineStr">
        <is>
          <t>철근콘크리트구조</t>
        </is>
      </c>
      <c r="Y39" s="3" t="inlineStr">
        <is>
          <t>공동주택</t>
        </is>
      </c>
      <c r="Z39" s="3" t="inlineStr">
        <is>
          <t>-m</t>
        </is>
      </c>
      <c r="AA39" s="3" t="inlineStr">
        <is>
          <t>2021-08-20</t>
        </is>
      </c>
    </row>
    <row r="40">
      <c r="A40" s="3" t="inlineStr">
        <is>
          <t>세종특별자치시 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HYPERLINK("https://map.naver.com/p/search/세종특별자치시 나성동 829", "지도Link")</f>
        <v/>
      </c>
      <c r="S40" s="6">
        <f>HYPERLINK("http://www.eum.go.kr/web/ar/lu/luLandDet.jsp?pnu=3611010700108290000&amp;isNoScr=script&amp;mode=search", "토지이음")</f>
        <v/>
      </c>
      <c r="T40" s="3" t="inlineStr">
        <is>
          <t>다온</t>
        </is>
      </c>
      <c r="U40" s="3" t="n">
        <v>1</v>
      </c>
      <c r="V40" s="3" t="inlineStr">
        <is>
          <t>전망공간 기계실</t>
        </is>
      </c>
      <c r="W40" s="4" t="n">
        <v>397</v>
      </c>
      <c r="X40" s="3" t="inlineStr">
        <is>
          <t>철근콘크리트구조</t>
        </is>
      </c>
      <c r="Y40" s="3" t="inlineStr">
        <is>
          <t>제2종근린생활시설</t>
        </is>
      </c>
      <c r="Z40" s="3" t="inlineStr">
        <is>
          <t>-m</t>
        </is>
      </c>
      <c r="AA40" s="3" t="inlineStr">
        <is>
          <t>2021-08-20</t>
        </is>
      </c>
    </row>
    <row r="41">
      <c r="A41" s="3" t="inlineStr">
        <is>
          <t>세종특별자치시 나성동 829</t>
        </is>
      </c>
      <c r="B41" s="3" t="inlineStr">
        <is>
          <t>중심상업지역</t>
        </is>
      </c>
      <c r="C41" s="3" t="inlineStr">
        <is>
          <t>대</t>
        </is>
      </c>
      <c r="D41" s="3" t="inlineStr">
        <is>
          <t>공장</t>
        </is>
      </c>
      <c r="E41" s="3" t="inlineStr">
        <is>
          <t>매매</t>
        </is>
      </c>
      <c r="F41" s="4" t="n">
        <v>89000</v>
      </c>
      <c r="G41" s="4" t="n">
        <v>0</v>
      </c>
      <c r="H41" s="4" t="n">
        <v>751</v>
      </c>
      <c r="I41" s="4" t="n">
        <v>227</v>
      </c>
      <c r="J41" s="5" t="n">
        <v>392.1</v>
      </c>
      <c r="K41" s="4" t="n">
        <v>427</v>
      </c>
      <c r="L41" s="4" t="n">
        <v>129</v>
      </c>
      <c r="M41" s="5" t="n">
        <v>689.9</v>
      </c>
      <c r="N41" s="3" t="inlineStr">
        <is>
          <t>2</t>
        </is>
      </c>
      <c r="O41" s="3" t="inlineStr">
        <is>
          <t>-</t>
        </is>
      </c>
      <c r="P41" s="3" t="inlineStr">
        <is>
          <t>청주sk하이닉스2공장앞공장창고 2개동 위치좋고내부상태최상주택별도있음</t>
        </is>
      </c>
      <c r="Q41" s="6">
        <f>HYPERLINK("https://fin.land.naver.com/articles/2650052417", "매물Link")</f>
        <v/>
      </c>
      <c r="R41" s="6">
        <f>HYPERLINK("https://map.naver.com/p/search/세종특별자치시 나성동 829", "지도Link")</f>
        <v/>
      </c>
      <c r="S41" s="6">
        <f>HYPERLINK("http://www.eum.go.kr/web/ar/lu/luLandDet.jsp?pnu=3611010700108290000&amp;isNoScr=script&amp;mode=search", "토지이음")</f>
        <v/>
      </c>
      <c r="T41" s="3" t="inlineStr">
        <is>
          <t>지웰에스테이트</t>
        </is>
      </c>
      <c r="U41" s="3" t="n">
        <v>1</v>
      </c>
      <c r="V41" s="3" t="inlineStr">
        <is>
          <t>전망공간 기계실</t>
        </is>
      </c>
      <c r="W41" s="4" t="n">
        <v>427</v>
      </c>
      <c r="X41" s="3" t="inlineStr">
        <is>
          <t>철근콘크리트구조</t>
        </is>
      </c>
      <c r="Y41" s="3" t="inlineStr">
        <is>
          <t>제2종근린생활시설</t>
        </is>
      </c>
      <c r="Z41" s="3" t="inlineStr">
        <is>
          <t>-m</t>
        </is>
      </c>
      <c r="AA41" s="3" t="inlineStr">
        <is>
          <t>2021-08-20</t>
        </is>
      </c>
    </row>
    <row r="42">
      <c r="A42" s="3" t="inlineStr">
        <is>
          <t>세종특별자치시 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HYPERLINK("https://map.naver.com/p/search/세종특별자치시 나성동 829", "지도Link")</f>
        <v/>
      </c>
      <c r="S42" s="6">
        <f>HYPERLINK("http://www.eum.go.kr/web/ar/lu/luLandDet.jsp?pnu=3611010700108290000&amp;isNoScr=script&amp;mode=search", "토지이음")</f>
        <v/>
      </c>
      <c r="T42" s="3" t="inlineStr">
        <is>
          <t>청주합동</t>
        </is>
      </c>
      <c r="U42" s="3" t="n">
        <v>1</v>
      </c>
      <c r="V42" s="3" t="inlineStr">
        <is>
          <t>701</t>
        </is>
      </c>
      <c r="W42" s="4" t="n">
        <v>183</v>
      </c>
      <c r="X42" s="3" t="inlineStr">
        <is>
          <t>철근콘크리트구조</t>
        </is>
      </c>
      <c r="Y42" s="3" t="inlineStr">
        <is>
          <t>판매시설</t>
        </is>
      </c>
      <c r="Z42" s="3" t="inlineStr">
        <is>
          <t>-m</t>
        </is>
      </c>
      <c r="AA42" s="3" t="inlineStr">
        <is>
          <t>2021-08-20</t>
        </is>
      </c>
    </row>
    <row r="43">
      <c r="A43" s="3" t="inlineStr">
        <is>
          <t>세종특별자치시 나성동 829</t>
        </is>
      </c>
      <c r="B43" s="3" t="inlineStr">
        <is>
          <t>중심상업지역</t>
        </is>
      </c>
      <c r="C43" s="3" t="inlineStr">
        <is>
          <t>대</t>
        </is>
      </c>
      <c r="D43" s="3" t="inlineStr">
        <is>
          <t>창고</t>
        </is>
      </c>
      <c r="E43" s="3" t="inlineStr">
        <is>
          <t>월세</t>
        </is>
      </c>
      <c r="F43" s="4" t="n">
        <v>3000</v>
      </c>
      <c r="G43" s="4" t="n">
        <v>235</v>
      </c>
      <c r="H43" s="4" t="n">
        <v>496</v>
      </c>
      <c r="I43" s="4" t="n">
        <v>150</v>
      </c>
      <c r="J43" s="5" t="n">
        <v>1.6</v>
      </c>
      <c r="K43" s="4" t="n">
        <v>192</v>
      </c>
      <c r="L43" s="4" t="n">
        <v>58</v>
      </c>
      <c r="M43" s="5" t="n">
        <v>4.1</v>
      </c>
      <c r="N43" s="3" t="inlineStr">
        <is>
          <t>1</t>
        </is>
      </c>
      <c r="O43" s="3" t="inlineStr">
        <is>
          <t>-</t>
        </is>
      </c>
      <c r="P43" s="3" t="inlineStr">
        <is>
          <t>SK하이닉스인근,사무실,창고</t>
        </is>
      </c>
      <c r="Q43" s="6">
        <f>HYPERLINK("https://fin.land.naver.com/articles/2648892669", "매물Link")</f>
        <v/>
      </c>
      <c r="R43" s="6">
        <f>HYPERLINK("https://map.naver.com/p/search/세종특별자치시 나성동 829", "지도Link")</f>
        <v/>
      </c>
      <c r="S43" s="6">
        <f>HYPERLINK("http://www.eum.go.kr/web/ar/lu/luLandDet.jsp?pnu=3611010700108290000&amp;isNoScr=script&amp;mode=search", "토지이음")</f>
        <v/>
      </c>
      <c r="T43" s="3" t="inlineStr">
        <is>
          <t>LBA리치아노합동사무소</t>
        </is>
      </c>
      <c r="U43" s="3" t="n">
        <v>1</v>
      </c>
      <c r="V43" s="3" t="inlineStr">
        <is>
          <t>공동주택 주민공동시설</t>
        </is>
      </c>
      <c r="W43" s="4" t="n">
        <v>192</v>
      </c>
      <c r="X43" s="3" t="inlineStr">
        <is>
          <t>철근콘크리트구조</t>
        </is>
      </c>
      <c r="Y43" s="3" t="inlineStr">
        <is>
          <t>공동주택</t>
        </is>
      </c>
      <c r="Z43" s="3" t="inlineStr">
        <is>
          <t>-m</t>
        </is>
      </c>
      <c r="AA43" s="3" t="inlineStr">
        <is>
          <t>2021-08-20</t>
        </is>
      </c>
    </row>
    <row r="44">
      <c r="A44" s="3" t="inlineStr">
        <is>
          <t>세종특별자치시 나성동 829</t>
        </is>
      </c>
      <c r="B44" s="3" t="inlineStr">
        <is>
          <t>중심상업지역</t>
        </is>
      </c>
      <c r="C44" s="3" t="inlineStr">
        <is>
          <t>대</t>
        </is>
      </c>
      <c r="D44" s="3" t="inlineStr">
        <is>
          <t>공장</t>
        </is>
      </c>
      <c r="E44" s="3" t="inlineStr">
        <is>
          <t>월세</t>
        </is>
      </c>
      <c r="F44" s="4" t="n">
        <v>2000</v>
      </c>
      <c r="G44" s="4" t="n">
        <v>180</v>
      </c>
      <c r="H44" s="4" t="n">
        <v>2202</v>
      </c>
      <c r="I44" s="4" t="n">
        <v>666</v>
      </c>
      <c r="J44" s="5" t="n">
        <v>0.3</v>
      </c>
      <c r="K44" s="4" t="n">
        <v>223</v>
      </c>
      <c r="L44" s="4" t="n">
        <v>67</v>
      </c>
      <c r="M44" s="5" t="n">
        <v>2.7</v>
      </c>
      <c r="N44" s="3" t="inlineStr">
        <is>
          <t>1</t>
        </is>
      </c>
      <c r="O44" s="3" t="inlineStr">
        <is>
          <t>-</t>
        </is>
      </c>
      <c r="P44" s="3" t="inlineStr">
        <is>
          <t>nan</t>
        </is>
      </c>
      <c r="Q44" s="6">
        <f>HYPERLINK("https://fin.land.naver.com/articles/2647737576", "매물Link")</f>
        <v/>
      </c>
      <c r="R44" s="6">
        <f>HYPERLINK("https://map.naver.com/p/search/세종특별자치시 나성동 829", "지도Link")</f>
        <v/>
      </c>
      <c r="S44" s="6">
        <f>HYPERLINK("http://www.eum.go.kr/web/ar/lu/luLandDet.jsp?pnu=3611010700108290000&amp;isNoScr=script&amp;mode=search", "토지이음")</f>
        <v/>
      </c>
      <c r="T44" s="3" t="inlineStr">
        <is>
          <t>청주합동</t>
        </is>
      </c>
      <c r="U44" s="3" t="n">
        <v>1</v>
      </c>
      <c r="V44" s="3" t="inlineStr">
        <is>
          <t>공동주택 주민공동시설</t>
        </is>
      </c>
      <c r="W44" s="4" t="n">
        <v>223</v>
      </c>
      <c r="X44" s="3" t="inlineStr">
        <is>
          <t>철근콘크리트구조</t>
        </is>
      </c>
      <c r="Y44" s="3" t="inlineStr">
        <is>
          <t>공동주택</t>
        </is>
      </c>
      <c r="Z44" s="3" t="inlineStr">
        <is>
          <t>-m</t>
        </is>
      </c>
      <c r="AA44" s="3" t="inlineStr">
        <is>
          <t>2021-08-20</t>
        </is>
      </c>
    </row>
    <row r="45">
      <c r="A45" s="3" t="inlineStr">
        <is>
          <t>세종특별자치시 나성동 829</t>
        </is>
      </c>
      <c r="B45" s="3" t="inlineStr">
        <is>
          <t>중심상업지역</t>
        </is>
      </c>
      <c r="C45" s="3" t="inlineStr">
        <is>
          <t>대</t>
        </is>
      </c>
      <c r="D45" s="3" t="inlineStr">
        <is>
          <t>공장</t>
        </is>
      </c>
      <c r="E45" s="3" t="inlineStr">
        <is>
          <t>월세</t>
        </is>
      </c>
      <c r="F45" s="4" t="n">
        <v>5000</v>
      </c>
      <c r="G45" s="4" t="n">
        <v>350</v>
      </c>
      <c r="H45" s="4" t="n">
        <v>610</v>
      </c>
      <c r="I45" s="4" t="n">
        <v>185</v>
      </c>
      <c r="J45" s="5" t="n">
        <v>1.9</v>
      </c>
      <c r="K45" s="4" t="n">
        <v>477</v>
      </c>
      <c r="L45" s="4" t="n">
        <v>144</v>
      </c>
      <c r="M45" s="5" t="n">
        <v>2.4</v>
      </c>
      <c r="N45" s="3" t="inlineStr">
        <is>
          <t>2</t>
        </is>
      </c>
      <c r="O45" s="3" t="inlineStr">
        <is>
          <t>-</t>
        </is>
      </c>
      <c r="P45" s="3" t="inlineStr">
        <is>
          <t>nan</t>
        </is>
      </c>
      <c r="Q45" s="6">
        <f>HYPERLINK("https://fin.land.naver.com/articles/2649457857", "매물Link")</f>
        <v/>
      </c>
      <c r="R45" s="6">
        <f>HYPERLINK("https://map.naver.com/p/search/세종특별자치시 나성동 829", "지도Link")</f>
        <v/>
      </c>
      <c r="S45" s="6">
        <f>HYPERLINK("http://www.eum.go.kr/web/ar/lu/luLandDet.jsp?pnu=3611010700108290000&amp;isNoScr=script&amp;mode=search", "토지이음")</f>
        <v/>
      </c>
      <c r="T45" s="3" t="inlineStr">
        <is>
          <t>청주합동</t>
        </is>
      </c>
      <c r="U45" s="3" t="n">
        <v>1</v>
      </c>
      <c r="V45" s="3" t="inlineStr">
        <is>
          <t>전망공간 기계실</t>
        </is>
      </c>
      <c r="W45" s="4" t="n">
        <v>477</v>
      </c>
      <c r="X45" s="3" t="inlineStr">
        <is>
          <t>철근콘크리트구조</t>
        </is>
      </c>
      <c r="Y45" s="3" t="inlineStr">
        <is>
          <t>제2종근린생활시설</t>
        </is>
      </c>
      <c r="Z45" s="3" t="inlineStr">
        <is>
          <t>-m</t>
        </is>
      </c>
      <c r="AA45" s="3" t="inlineStr">
        <is>
          <t>2021-08-20</t>
        </is>
      </c>
    </row>
    <row r="46">
      <c r="A46" s="3" t="inlineStr">
        <is>
          <t>세종특별자치시 나성동 829</t>
        </is>
      </c>
      <c r="B46" s="3" t="inlineStr">
        <is>
          <t>중심상업지역</t>
        </is>
      </c>
      <c r="C46" s="3" t="inlineStr">
        <is>
          <t>대</t>
        </is>
      </c>
      <c r="D46" s="3" t="inlineStr">
        <is>
          <t>창고</t>
        </is>
      </c>
      <c r="E46" s="3" t="inlineStr">
        <is>
          <t>월세</t>
        </is>
      </c>
      <c r="F46" s="4" t="n">
        <v>2000</v>
      </c>
      <c r="G46" s="4" t="n">
        <v>200</v>
      </c>
      <c r="H46" s="4" t="n">
        <v>1637</v>
      </c>
      <c r="I46" s="4" t="n">
        <v>495</v>
      </c>
      <c r="J46" s="5" t="n">
        <v>0.4</v>
      </c>
      <c r="K46" s="4" t="n">
        <v>324</v>
      </c>
      <c r="L46" s="4" t="n">
        <v>98</v>
      </c>
      <c r="M46" s="5" t="n">
        <v>2</v>
      </c>
      <c r="N46" s="3" t="inlineStr">
        <is>
          <t>1</t>
        </is>
      </c>
      <c r="O46" s="3" t="inlineStr">
        <is>
          <t>-</t>
        </is>
      </c>
      <c r="P46" s="3" t="inlineStr">
        <is>
          <t>청주역,2층,냉온풍기설치완료,신축,창고및사무실</t>
        </is>
      </c>
      <c r="Q46" s="6">
        <f>HYPERLINK("https://fin.land.naver.com/articles/2649540285", "매물Link")</f>
        <v/>
      </c>
      <c r="R46" s="6">
        <f>HYPERLINK("https://map.naver.com/p/search/세종특별자치시 나성동 829", "지도Link")</f>
        <v/>
      </c>
      <c r="S46" s="6">
        <f>HYPERLINK("http://www.eum.go.kr/web/ar/lu/luLandDet.jsp?pnu=3611010700108290000&amp;isNoScr=script&amp;mode=search", "토지이음")</f>
        <v/>
      </c>
      <c r="T46" s="3" t="inlineStr">
        <is>
          <t>LBA리치아노합동사무소</t>
        </is>
      </c>
      <c r="U46" s="3" t="n">
        <v>1</v>
      </c>
      <c r="V46" s="3" t="inlineStr">
        <is>
          <t>801</t>
        </is>
      </c>
      <c r="W46" s="4" t="n">
        <v>324</v>
      </c>
      <c r="X46" s="3" t="inlineStr">
        <is>
          <t>철근콘크리트구조</t>
        </is>
      </c>
      <c r="Y46" s="3" t="inlineStr">
        <is>
          <t>제2종근린생활시설</t>
        </is>
      </c>
      <c r="Z46" s="3" t="inlineStr">
        <is>
          <t>-m</t>
        </is>
      </c>
      <c r="AA46" s="3" t="inlineStr">
        <is>
          <t>2021-08-20</t>
        </is>
      </c>
    </row>
    <row r="47">
      <c r="A47" s="3" t="inlineStr">
        <is>
          <t>세종특별자치시 나성동 829</t>
        </is>
      </c>
      <c r="B47" s="3" t="inlineStr">
        <is>
          <t>중심상업지역</t>
        </is>
      </c>
      <c r="C47" s="3" t="inlineStr">
        <is>
          <t>대</t>
        </is>
      </c>
      <c r="D47" s="3" t="inlineStr">
        <is>
          <t>공장</t>
        </is>
      </c>
      <c r="E47" s="3" t="inlineStr">
        <is>
          <t>매매</t>
        </is>
      </c>
      <c r="F47" s="4" t="n">
        <v>180000</v>
      </c>
      <c r="G47" s="4" t="n">
        <v>0</v>
      </c>
      <c r="H47" s="4" t="n">
        <v>2204</v>
      </c>
      <c r="I47" s="4" t="n">
        <v>667</v>
      </c>
      <c r="J47" s="5" t="n">
        <v>269.9</v>
      </c>
      <c r="K47" s="4" t="n">
        <v>468</v>
      </c>
      <c r="L47" s="4" t="n">
        <v>142</v>
      </c>
      <c r="M47" s="5" t="n">
        <v>1267.6</v>
      </c>
      <c r="N47" s="3" t="inlineStr">
        <is>
          <t>2</t>
        </is>
      </c>
      <c r="O47" s="3" t="inlineStr">
        <is>
          <t>-</t>
        </is>
      </c>
      <c r="P47" s="3" t="inlineStr">
        <is>
          <t>nan</t>
        </is>
      </c>
      <c r="Q47" s="6">
        <f>HYPERLINK("https://fin.land.naver.com/articles/2646979567", "매물Link")</f>
        <v/>
      </c>
      <c r="R47" s="6">
        <f>HYPERLINK("https://map.naver.com/p/search/세종특별자치시 나성동 829", "지도Link")</f>
        <v/>
      </c>
      <c r="S47" s="6">
        <f>HYPERLINK("http://www.eum.go.kr/web/ar/lu/luLandDet.jsp?pnu=3611010700108290000&amp;isNoScr=script&amp;mode=search", "토지이음")</f>
        <v/>
      </c>
      <c r="T47" s="3" t="inlineStr">
        <is>
          <t>교차로</t>
        </is>
      </c>
      <c r="U47" s="3" t="n">
        <v>1</v>
      </c>
      <c r="V47" s="3" t="inlineStr">
        <is>
          <t>전망공간 기계실</t>
        </is>
      </c>
      <c r="W47" s="4" t="n">
        <v>468</v>
      </c>
      <c r="X47" s="3" t="inlineStr">
        <is>
          <t>철근콘크리트구조</t>
        </is>
      </c>
      <c r="Y47" s="3" t="inlineStr">
        <is>
          <t>제2종근린생활시설</t>
        </is>
      </c>
      <c r="Z47" s="3" t="inlineStr">
        <is>
          <t>-m</t>
        </is>
      </c>
      <c r="AA47" s="3" t="inlineStr">
        <is>
          <t>2021-08-20</t>
        </is>
      </c>
    </row>
    <row r="48">
      <c r="A48" s="3" t="inlineStr">
        <is>
          <t>세종특별자치시 나성동 829</t>
        </is>
      </c>
      <c r="B48" s="3" t="inlineStr">
        <is>
          <t>중심상업지역</t>
        </is>
      </c>
      <c r="C48" s="3" t="inlineStr">
        <is>
          <t>대</t>
        </is>
      </c>
      <c r="D48" s="3" t="inlineStr">
        <is>
          <t>공장</t>
        </is>
      </c>
      <c r="E48" s="3" t="inlineStr">
        <is>
          <t>매매</t>
        </is>
      </c>
      <c r="F48" s="4" t="n">
        <v>260000</v>
      </c>
      <c r="G48" s="4" t="n">
        <v>0</v>
      </c>
      <c r="H48" s="4" t="n">
        <v>2600</v>
      </c>
      <c r="I48" s="4" t="n">
        <v>786</v>
      </c>
      <c r="J48" s="5" t="n">
        <v>330.8</v>
      </c>
      <c r="K48" s="4" t="n">
        <v>640</v>
      </c>
      <c r="L48" s="4" t="n">
        <v>194</v>
      </c>
      <c r="M48" s="5" t="n">
        <v>1340.2</v>
      </c>
      <c r="N48" s="3" t="inlineStr">
        <is>
          <t>2</t>
        </is>
      </c>
      <c r="O48" s="3" t="inlineStr">
        <is>
          <t>-</t>
        </is>
      </c>
      <c r="P48" s="3" t="inlineStr">
        <is>
          <t>nan</t>
        </is>
      </c>
      <c r="Q48" s="6">
        <f>HYPERLINK("https://fin.land.naver.com/articles/2648225938", "매물Link")</f>
        <v/>
      </c>
      <c r="R48" s="6">
        <f>HYPERLINK("https://map.naver.com/p/search/세종특별자치시 나성동 829", "지도Link")</f>
        <v/>
      </c>
      <c r="S48" s="6">
        <f>HYPERLINK("http://www.eum.go.kr/web/ar/lu/luLandDet.jsp?pnu=3611010700108290000&amp;isNoScr=script&amp;mode=search", "토지이음")</f>
        <v/>
      </c>
      <c r="T48" s="3" t="inlineStr">
        <is>
          <t>좋은터</t>
        </is>
      </c>
      <c r="U48" s="3" t="n">
        <v>1</v>
      </c>
      <c r="V48" s="3" t="inlineStr">
        <is>
          <t>803</t>
        </is>
      </c>
      <c r="W48" s="4" t="n">
        <v>640</v>
      </c>
      <c r="X48" s="3" t="inlineStr">
        <is>
          <t>철근콘크리트구조</t>
        </is>
      </c>
      <c r="Y48" s="3" t="inlineStr">
        <is>
          <t>제2종근린생활시설</t>
        </is>
      </c>
      <c r="Z48" s="3" t="inlineStr">
        <is>
          <t>-m</t>
        </is>
      </c>
      <c r="AA48" s="3" t="inlineStr">
        <is>
          <t>2021-08-20</t>
        </is>
      </c>
    </row>
    <row r="49">
      <c r="A49" s="3" t="inlineStr">
        <is>
          <t>세종특별자치시 나성동 829</t>
        </is>
      </c>
      <c r="B49" s="3" t="inlineStr">
        <is>
          <t>중심상업지역</t>
        </is>
      </c>
      <c r="C49" s="3" t="inlineStr">
        <is>
          <t>대</t>
        </is>
      </c>
      <c r="D49" s="3" t="inlineStr">
        <is>
          <t>공장</t>
        </is>
      </c>
      <c r="E49" s="3" t="inlineStr">
        <is>
          <t>월세</t>
        </is>
      </c>
      <c r="F49" s="4" t="n">
        <v>3000</v>
      </c>
      <c r="G49" s="4" t="n">
        <v>350</v>
      </c>
      <c r="H49" s="4" t="n">
        <v>1873</v>
      </c>
      <c r="I49" s="4" t="n">
        <v>567</v>
      </c>
      <c r="J49" s="5" t="n">
        <v>0.6</v>
      </c>
      <c r="K49" s="4" t="n">
        <v>373</v>
      </c>
      <c r="L49" s="4" t="n">
        <v>113</v>
      </c>
      <c r="M49" s="5" t="n">
        <v>3.1</v>
      </c>
      <c r="N49" s="3" t="inlineStr">
        <is>
          <t>1</t>
        </is>
      </c>
      <c r="O49" s="3" t="inlineStr">
        <is>
          <t>-</t>
        </is>
      </c>
      <c r="P49" s="3" t="inlineStr">
        <is>
          <t>nan</t>
        </is>
      </c>
      <c r="Q49" s="6">
        <f>HYPERLINK("https://fin.land.naver.com/articles/2647747502", "매물Link")</f>
        <v/>
      </c>
      <c r="R49" s="6">
        <f>HYPERLINK("https://map.naver.com/p/search/세종특별자치시 나성동 829", "지도Link")</f>
        <v/>
      </c>
      <c r="S49" s="6">
        <f>HYPERLINK("http://www.eum.go.kr/web/ar/lu/luLandDet.jsp?pnu=3611010700108290000&amp;isNoScr=script&amp;mode=search", "토지이음")</f>
        <v/>
      </c>
      <c r="T49" s="3" t="inlineStr">
        <is>
          <t>청주합동</t>
        </is>
      </c>
      <c r="U49" s="3" t="n">
        <v>1</v>
      </c>
      <c r="V49" s="3" t="inlineStr">
        <is>
          <t>전망공간 기계실</t>
        </is>
      </c>
      <c r="W49" s="4" t="n">
        <v>373</v>
      </c>
      <c r="X49" s="3" t="inlineStr">
        <is>
          <t>철근콘크리트구조</t>
        </is>
      </c>
      <c r="Y49" s="3" t="inlineStr">
        <is>
          <t>제2종근린생활시설</t>
        </is>
      </c>
      <c r="Z49" s="3" t="inlineStr">
        <is>
          <t>-m</t>
        </is>
      </c>
      <c r="AA49" s="3" t="inlineStr">
        <is>
          <t>2021-08-20</t>
        </is>
      </c>
    </row>
    <row r="50">
      <c r="A50" s="3" t="inlineStr">
        <is>
          <t>세종특별자치시 나성동 829</t>
        </is>
      </c>
      <c r="B50" s="3" t="inlineStr">
        <is>
          <t>중심상업지역</t>
        </is>
      </c>
      <c r="C50" s="3" t="inlineStr">
        <is>
          <t>대</t>
        </is>
      </c>
      <c r="D50" s="3" t="inlineStr">
        <is>
          <t>공장</t>
        </is>
      </c>
      <c r="E50" s="3" t="inlineStr">
        <is>
          <t>월세</t>
        </is>
      </c>
      <c r="F50" s="4" t="n">
        <v>2000</v>
      </c>
      <c r="G50" s="4" t="n">
        <v>120</v>
      </c>
      <c r="H50" s="4" t="n">
        <v>661</v>
      </c>
      <c r="I50" s="4" t="n">
        <v>200</v>
      </c>
      <c r="J50" s="5" t="n">
        <v>0.6</v>
      </c>
      <c r="K50" s="4" t="n">
        <v>133</v>
      </c>
      <c r="L50" s="4" t="n">
        <v>40</v>
      </c>
      <c r="M50" s="5" t="n">
        <v>3</v>
      </c>
      <c r="N50" s="3" t="inlineStr">
        <is>
          <t>1</t>
        </is>
      </c>
      <c r="O50" s="3" t="inlineStr">
        <is>
          <t>-</t>
        </is>
      </c>
      <c r="P50" s="3" t="inlineStr">
        <is>
          <t>nan</t>
        </is>
      </c>
      <c r="Q50" s="6">
        <f>HYPERLINK("https://fin.land.naver.com/articles/2648783419", "매물Link")</f>
        <v/>
      </c>
      <c r="R50" s="6">
        <f>HYPERLINK("https://map.naver.com/p/search/세종특별자치시 나성동 829", "지도Link")</f>
        <v/>
      </c>
      <c r="S50" s="6">
        <f>HYPERLINK("http://www.eum.go.kr/web/ar/lu/luLandDet.jsp?pnu=3611010700108290000&amp;isNoScr=script&amp;mode=search", "토지이음")</f>
        <v/>
      </c>
      <c r="T50" s="3" t="inlineStr">
        <is>
          <t>청주합동</t>
        </is>
      </c>
      <c r="U50" s="3" t="n">
        <v>1</v>
      </c>
      <c r="V50" s="3" t="inlineStr">
        <is>
          <t>근린생활시설 전기/발전기실</t>
        </is>
      </c>
      <c r="W50" s="4" t="n">
        <v>133</v>
      </c>
      <c r="X50" s="3" t="inlineStr">
        <is>
          <t>철근콘크리트구조</t>
        </is>
      </c>
      <c r="Y50" s="3" t="inlineStr">
        <is>
          <t>제2종근린생활시설</t>
        </is>
      </c>
      <c r="Z50" s="3" t="inlineStr">
        <is>
          <t>-m</t>
        </is>
      </c>
      <c r="AA50" s="3" t="inlineStr">
        <is>
          <t>2021-08-20</t>
        </is>
      </c>
    </row>
    <row r="51">
      <c r="A51" s="3" t="inlineStr">
        <is>
          <t>세종특별자치시 나성동 829</t>
        </is>
      </c>
      <c r="B51" s="3" t="inlineStr">
        <is>
          <t>중심상업지역</t>
        </is>
      </c>
      <c r="C51" s="3" t="inlineStr">
        <is>
          <t>대</t>
        </is>
      </c>
      <c r="D51" s="3" t="inlineStr">
        <is>
          <t>공장</t>
        </is>
      </c>
      <c r="E51" s="3" t="inlineStr">
        <is>
          <t>매매</t>
        </is>
      </c>
      <c r="F51" s="4" t="n">
        <v>200000</v>
      </c>
      <c r="G51" s="4" t="n">
        <v>0</v>
      </c>
      <c r="H51" s="4" t="n">
        <v>2702</v>
      </c>
      <c r="I51" s="4" t="n">
        <v>817</v>
      </c>
      <c r="J51" s="5" t="n">
        <v>244.8</v>
      </c>
      <c r="K51" s="4" t="n">
        <v>539</v>
      </c>
      <c r="L51" s="4" t="n">
        <v>163</v>
      </c>
      <c r="M51" s="5" t="n">
        <v>1227</v>
      </c>
      <c r="N51" s="3" t="inlineStr">
        <is>
          <t>1</t>
        </is>
      </c>
      <c r="O51" s="3" t="inlineStr">
        <is>
          <t>-</t>
        </is>
      </c>
      <c r="P51" s="3" t="inlineStr">
        <is>
          <t>nan</t>
        </is>
      </c>
      <c r="Q51" s="6">
        <f>HYPERLINK("https://fin.land.naver.com/articles/2648827464", "매물Link")</f>
        <v/>
      </c>
      <c r="R51" s="6">
        <f>HYPERLINK("https://map.naver.com/p/search/세종특별자치시 나성동 829", "지도Link")</f>
        <v/>
      </c>
      <c r="S51" s="6">
        <f>HYPERLINK("http://www.eum.go.kr/web/ar/lu/luLandDet.jsp?pnu=3611010700108290000&amp;isNoScr=script&amp;mode=search", "토지이음")</f>
        <v/>
      </c>
      <c r="T51" s="3" t="inlineStr">
        <is>
          <t>청솔</t>
        </is>
      </c>
      <c r="U51" s="3" t="n">
        <v>1</v>
      </c>
      <c r="V51" s="3" t="inlineStr">
        <is>
          <t>전망공간 기계실</t>
        </is>
      </c>
      <c r="W51" s="4" t="n">
        <v>539</v>
      </c>
      <c r="X51" s="3" t="inlineStr">
        <is>
          <t>철근콘크리트구조</t>
        </is>
      </c>
      <c r="Y51" s="3" t="inlineStr">
        <is>
          <t>제2종근린생활시설</t>
        </is>
      </c>
      <c r="Z51" s="3" t="inlineStr">
        <is>
          <t>-m</t>
        </is>
      </c>
      <c r="AA51" s="3" t="inlineStr">
        <is>
          <t>2021-08-20</t>
        </is>
      </c>
    </row>
    <row r="52">
      <c r="A52" s="3" t="inlineStr">
        <is>
          <t>세종특별자치시 나성동 829</t>
        </is>
      </c>
      <c r="B52" s="3" t="inlineStr">
        <is>
          <t>중심상업지역</t>
        </is>
      </c>
      <c r="C52" s="3" t="inlineStr">
        <is>
          <t>대</t>
        </is>
      </c>
      <c r="D52" s="3" t="inlineStr">
        <is>
          <t>공장</t>
        </is>
      </c>
      <c r="E52" s="3" t="inlineStr">
        <is>
          <t>월세</t>
        </is>
      </c>
      <c r="F52" s="4" t="n">
        <v>1000</v>
      </c>
      <c r="G52" s="4" t="n">
        <v>100</v>
      </c>
      <c r="H52" s="4" t="n">
        <v>1637</v>
      </c>
      <c r="I52" s="4" t="n">
        <v>495</v>
      </c>
      <c r="J52" s="5" t="n">
        <v>0.2</v>
      </c>
      <c r="K52" s="4" t="n">
        <v>165</v>
      </c>
      <c r="L52" s="4" t="n">
        <v>50</v>
      </c>
      <c r="M52" s="5" t="n">
        <v>2</v>
      </c>
      <c r="N52" s="3" t="inlineStr">
        <is>
          <t>2</t>
        </is>
      </c>
      <c r="O52" s="3" t="inlineStr">
        <is>
          <t>-</t>
        </is>
      </c>
      <c r="P52" s="3" t="inlineStr">
        <is>
          <t>2층 사무실 임대 천정냉난방기 설치 즉시 입주가 마당주차넓음</t>
        </is>
      </c>
      <c r="Q52" s="6">
        <f>HYPERLINK("https://fin.land.naver.com/articles/2646668937", "매물Link")</f>
        <v/>
      </c>
      <c r="R52" s="6">
        <f>HYPERLINK("https://map.naver.com/p/search/세종특별자치시 나성동 829", "지도Link")</f>
        <v/>
      </c>
      <c r="S52" s="6">
        <f>HYPERLINK("http://www.eum.go.kr/web/ar/lu/luLandDet.jsp?pnu=3611010700108290000&amp;isNoScr=script&amp;mode=search", "토지이음")</f>
        <v/>
      </c>
      <c r="T52" s="3" t="inlineStr">
        <is>
          <t>더원</t>
        </is>
      </c>
      <c r="U52" s="3" t="n">
        <v>1</v>
      </c>
      <c r="V52" s="3" t="inlineStr">
        <is>
          <t>공동주택 관리사무소</t>
        </is>
      </c>
      <c r="W52" s="4" t="n">
        <v>165</v>
      </c>
      <c r="X52" s="3" t="inlineStr">
        <is>
          <t>철근콘크리트구조</t>
        </is>
      </c>
      <c r="Y52" s="3" t="inlineStr">
        <is>
          <t>공동주택</t>
        </is>
      </c>
      <c r="Z52" s="3" t="inlineStr">
        <is>
          <t>-m</t>
        </is>
      </c>
      <c r="AA52" s="3" t="inlineStr">
        <is>
          <t>2021-08-20</t>
        </is>
      </c>
    </row>
    <row r="53">
      <c r="A53" s="3" t="inlineStr">
        <is>
          <t>세종특별자치시 나성동 829</t>
        </is>
      </c>
      <c r="B53" s="3" t="inlineStr">
        <is>
          <t>중심상업지역</t>
        </is>
      </c>
      <c r="C53" s="3" t="inlineStr">
        <is>
          <t>대</t>
        </is>
      </c>
      <c r="D53" s="3" t="inlineStr">
        <is>
          <t>창고</t>
        </is>
      </c>
      <c r="E53" s="3" t="inlineStr">
        <is>
          <t>월세</t>
        </is>
      </c>
      <c r="F53" s="4" t="n">
        <v>5000</v>
      </c>
      <c r="G53" s="4" t="n">
        <v>250</v>
      </c>
      <c r="H53" s="4" t="n">
        <v>768</v>
      </c>
      <c r="I53" s="4" t="n">
        <v>232</v>
      </c>
      <c r="J53" s="5" t="n">
        <v>1.1</v>
      </c>
      <c r="K53" s="4" t="n">
        <v>153</v>
      </c>
      <c r="L53" s="4" t="n">
        <v>46</v>
      </c>
      <c r="M53" s="5" t="n">
        <v>5.4</v>
      </c>
      <c r="N53" s="3" t="inlineStr">
        <is>
          <t>1</t>
        </is>
      </c>
      <c r="O53" s="3" t="inlineStr">
        <is>
          <t>-</t>
        </is>
      </c>
      <c r="P53" s="3" t="inlineStr">
        <is>
          <t>서청주ic4분 청주ic9분 하이닉스 접근성 좋은 위치의 대로변 공장 창고</t>
        </is>
      </c>
      <c r="Q53" s="6">
        <f>HYPERLINK("https://fin.land.naver.com/articles/2646669055", "매물Link")</f>
        <v/>
      </c>
      <c r="R53" s="6">
        <f>HYPERLINK("https://map.naver.com/p/search/세종특별자치시 나성동 829", "지도Link")</f>
        <v/>
      </c>
      <c r="S53" s="6">
        <f>HYPERLINK("http://www.eum.go.kr/web/ar/lu/luLandDet.jsp?pnu=3611010700108290000&amp;isNoScr=script&amp;mode=search", "토지이음")</f>
        <v/>
      </c>
      <c r="T53" s="3" t="inlineStr">
        <is>
          <t>더원</t>
        </is>
      </c>
      <c r="U53" s="3" t="n">
        <v>1</v>
      </c>
      <c r="V53" s="3" t="inlineStr">
        <is>
          <t>공동주택 관리사무소</t>
        </is>
      </c>
      <c r="W53" s="4" t="n">
        <v>153</v>
      </c>
      <c r="X53" s="3" t="inlineStr">
        <is>
          <t>철근콘크리트구조</t>
        </is>
      </c>
      <c r="Y53" s="3" t="inlineStr">
        <is>
          <t>공동주택</t>
        </is>
      </c>
      <c r="Z53" s="3" t="inlineStr">
        <is>
          <t>-m</t>
        </is>
      </c>
      <c r="AA53" s="3" t="inlineStr">
        <is>
          <t>2021-08-20</t>
        </is>
      </c>
    </row>
    <row r="54">
      <c r="A54" s="3" t="inlineStr">
        <is>
          <t>세종특별자치시 나성동 829</t>
        </is>
      </c>
      <c r="B54" s="3" t="inlineStr">
        <is>
          <t>중심상업지역</t>
        </is>
      </c>
      <c r="C54" s="3" t="inlineStr">
        <is>
          <t>대</t>
        </is>
      </c>
      <c r="D54" s="3" t="inlineStr">
        <is>
          <t>공장</t>
        </is>
      </c>
      <c r="E54" s="3" t="inlineStr">
        <is>
          <t>월세</t>
        </is>
      </c>
      <c r="F54" s="4" t="n">
        <v>3000</v>
      </c>
      <c r="G54" s="4" t="n">
        <v>320</v>
      </c>
      <c r="H54" s="4" t="n">
        <v>1806</v>
      </c>
      <c r="I54" s="4" t="n">
        <v>546</v>
      </c>
      <c r="J54" s="5" t="n">
        <v>0.6</v>
      </c>
      <c r="K54" s="4" t="n">
        <v>352</v>
      </c>
      <c r="L54" s="4" t="n">
        <v>106</v>
      </c>
      <c r="M54" s="5" t="n">
        <v>3</v>
      </c>
      <c r="N54" s="3" t="inlineStr">
        <is>
          <t>1</t>
        </is>
      </c>
      <c r="O54" s="3" t="inlineStr">
        <is>
          <t>-</t>
        </is>
      </c>
      <c r="P54" s="3" t="inlineStr">
        <is>
          <t>서청주ic 5분, 하이닉스 5분 접근성좋은 위치의 신축 마당넓은 공장 창</t>
        </is>
      </c>
      <c r="Q54" s="6">
        <f>HYPERLINK("https://fin.land.naver.com/articles/2646669281", "매물Link")</f>
        <v/>
      </c>
      <c r="R54" s="6">
        <f>HYPERLINK("https://map.naver.com/p/search/세종특별자치시 나성동 829", "지도Link")</f>
        <v/>
      </c>
      <c r="S54" s="6">
        <f>HYPERLINK("http://www.eum.go.kr/web/ar/lu/luLandDet.jsp?pnu=3611010700108290000&amp;isNoScr=script&amp;mode=search", "토지이음")</f>
        <v/>
      </c>
      <c r="T54" s="3" t="inlineStr">
        <is>
          <t>더원</t>
        </is>
      </c>
      <c r="U54" s="3" t="n">
        <v>1</v>
      </c>
      <c r="V54" s="3" t="inlineStr">
        <is>
          <t>801</t>
        </is>
      </c>
      <c r="W54" s="4" t="n">
        <v>352</v>
      </c>
      <c r="X54" s="3" t="inlineStr">
        <is>
          <t>철근콘크리트구조</t>
        </is>
      </c>
      <c r="Y54" s="3" t="inlineStr">
        <is>
          <t>제2종근린생활시설</t>
        </is>
      </c>
      <c r="Z54" s="3" t="inlineStr">
        <is>
          <t>-m</t>
        </is>
      </c>
      <c r="AA54" s="3" t="inlineStr">
        <is>
          <t>2021-08-20</t>
        </is>
      </c>
    </row>
    <row r="55">
      <c r="A55" s="3" t="inlineStr">
        <is>
          <t>세종특별자치시 나성동 829</t>
        </is>
      </c>
      <c r="B55" s="3" t="inlineStr">
        <is>
          <t>중심상업지역</t>
        </is>
      </c>
      <c r="C55" s="3" t="inlineStr">
        <is>
          <t>대</t>
        </is>
      </c>
      <c r="D55" s="3" t="inlineStr">
        <is>
          <t>창고</t>
        </is>
      </c>
      <c r="E55" s="3" t="inlineStr">
        <is>
          <t>월세</t>
        </is>
      </c>
      <c r="F55" s="4" t="n">
        <v>5000</v>
      </c>
      <c r="G55" s="4" t="n">
        <v>440</v>
      </c>
      <c r="H55" s="4" t="n">
        <v>2449</v>
      </c>
      <c r="I55" s="4" t="n">
        <v>741</v>
      </c>
      <c r="J55" s="5" t="n">
        <v>0.6</v>
      </c>
      <c r="K55" s="4" t="n">
        <v>487</v>
      </c>
      <c r="L55" s="4" t="n">
        <v>147</v>
      </c>
      <c r="M55" s="5" t="n">
        <v>3</v>
      </c>
      <c r="N55" s="3" t="inlineStr">
        <is>
          <t>1</t>
        </is>
      </c>
      <c r="O55" s="3" t="inlineStr">
        <is>
          <t>-</t>
        </is>
      </c>
      <c r="P55" s="3" t="inlineStr">
        <is>
          <t>SK하이닉스인근,창고,입주협의</t>
        </is>
      </c>
      <c r="Q55" s="6">
        <f>HYPERLINK("https://fin.land.naver.com/articles/2648121996", "매물Link")</f>
        <v/>
      </c>
      <c r="R55" s="6">
        <f>HYPERLINK("https://map.naver.com/p/search/세종특별자치시 나성동 829", "지도Link")</f>
        <v/>
      </c>
      <c r="S55" s="6">
        <f>HYPERLINK("http://www.eum.go.kr/web/ar/lu/luLandDet.jsp?pnu=3611010700108290000&amp;isNoScr=script&amp;mode=search", "토지이음")</f>
        <v/>
      </c>
      <c r="T55" s="3" t="inlineStr">
        <is>
          <t>LBA리치아노합동사무소</t>
        </is>
      </c>
      <c r="U55" s="3" t="n">
        <v>1</v>
      </c>
      <c r="V55" s="3" t="inlineStr">
        <is>
          <t>전망공간 기계실</t>
        </is>
      </c>
      <c r="W55" s="4" t="n">
        <v>487</v>
      </c>
      <c r="X55" s="3" t="inlineStr">
        <is>
          <t>철근콘크리트구조</t>
        </is>
      </c>
      <c r="Y55" s="3" t="inlineStr">
        <is>
          <t>제2종근린생활시설</t>
        </is>
      </c>
      <c r="Z55" s="3" t="inlineStr">
        <is>
          <t>-m</t>
        </is>
      </c>
      <c r="AA55" s="3" t="inlineStr">
        <is>
          <t>2021-08-20</t>
        </is>
      </c>
    </row>
    <row r="56">
      <c r="A56" s="3" t="inlineStr">
        <is>
          <t>세종특별자치시 나성동 829</t>
        </is>
      </c>
      <c r="B56" s="3" t="inlineStr">
        <is>
          <t>중심상업지역</t>
        </is>
      </c>
      <c r="C56" s="3" t="inlineStr">
        <is>
          <t>대</t>
        </is>
      </c>
      <c r="D56" s="3" t="inlineStr">
        <is>
          <t>공장</t>
        </is>
      </c>
      <c r="E56" s="3" t="inlineStr">
        <is>
          <t>매매</t>
        </is>
      </c>
      <c r="F56" s="4" t="n">
        <v>360000</v>
      </c>
      <c r="G56" s="4" t="n">
        <v>0</v>
      </c>
      <c r="H56" s="4" t="n">
        <v>2703</v>
      </c>
      <c r="I56" s="4" t="n">
        <v>818</v>
      </c>
      <c r="J56" s="5" t="n">
        <v>440.1</v>
      </c>
      <c r="K56" s="4" t="n">
        <v>498</v>
      </c>
      <c r="L56" s="4" t="n">
        <v>151</v>
      </c>
      <c r="M56" s="5" t="n">
        <v>2384.1</v>
      </c>
      <c r="N56" s="3" t="inlineStr">
        <is>
          <t>1</t>
        </is>
      </c>
      <c r="O56" s="3" t="inlineStr">
        <is>
          <t>-</t>
        </is>
      </c>
      <c r="P56" s="3" t="inlineStr">
        <is>
          <t>실내 낚시터 매매</t>
        </is>
      </c>
      <c r="Q56" s="6">
        <f>HYPERLINK("https://fin.land.naver.com/articles/2648906972", "매물Link")</f>
        <v/>
      </c>
      <c r="R56" s="6">
        <f>HYPERLINK("https://map.naver.com/p/search/세종특별자치시 나성동 829", "지도Link")</f>
        <v/>
      </c>
      <c r="S56" s="6">
        <f>HYPERLINK("http://www.eum.go.kr/web/ar/lu/luLandDet.jsp?pnu=3611010700108290000&amp;isNoScr=script&amp;mode=search", "토지이음")</f>
        <v/>
      </c>
      <c r="T56" s="3" t="inlineStr">
        <is>
          <t>사거리</t>
        </is>
      </c>
      <c r="U56" s="3" t="n">
        <v>1</v>
      </c>
      <c r="V56" s="3" t="inlineStr">
        <is>
          <t>전망공간 기계실</t>
        </is>
      </c>
      <c r="W56" s="4" t="n">
        <v>498</v>
      </c>
      <c r="X56" s="3" t="inlineStr">
        <is>
          <t>철근콘크리트구조</t>
        </is>
      </c>
      <c r="Y56" s="3" t="inlineStr">
        <is>
          <t>제2종근린생활시설</t>
        </is>
      </c>
      <c r="Z56" s="3" t="inlineStr">
        <is>
          <t>-m</t>
        </is>
      </c>
      <c r="AA56" s="3" t="inlineStr">
        <is>
          <t>2021-08-20</t>
        </is>
      </c>
    </row>
    <row r="57">
      <c r="A57" s="3" t="inlineStr">
        <is>
          <t>세종특별자치시 나성동 829</t>
        </is>
      </c>
      <c r="B57" s="3" t="inlineStr">
        <is>
          <t>중심상업지역</t>
        </is>
      </c>
      <c r="C57" s="3" t="inlineStr">
        <is>
          <t>대</t>
        </is>
      </c>
      <c r="D57" s="3" t="inlineStr">
        <is>
          <t>공장</t>
        </is>
      </c>
      <c r="E57" s="3" t="inlineStr">
        <is>
          <t>월세</t>
        </is>
      </c>
      <c r="F57" s="4" t="n">
        <v>3000</v>
      </c>
      <c r="G57" s="4" t="n">
        <v>260</v>
      </c>
      <c r="H57" s="4" t="n">
        <v>3079</v>
      </c>
      <c r="I57" s="4" t="n">
        <v>931</v>
      </c>
      <c r="J57" s="5" t="n">
        <v>0.3</v>
      </c>
      <c r="K57" s="4" t="n">
        <v>251</v>
      </c>
      <c r="L57" s="4" t="n">
        <v>76</v>
      </c>
      <c r="M57" s="5" t="n">
        <v>3.4</v>
      </c>
      <c r="N57" s="3" t="inlineStr">
        <is>
          <t>1</t>
        </is>
      </c>
      <c r="O57" s="3" t="inlineStr">
        <is>
          <t>-</t>
        </is>
      </c>
      <c r="P57" s="3" t="inlineStr">
        <is>
          <t>nan</t>
        </is>
      </c>
      <c r="Q57" s="6">
        <f>HYPERLINK("https://fin.land.naver.com/articles/2649234524", "매물Link")</f>
        <v/>
      </c>
      <c r="R57" s="6">
        <f>HYPERLINK("https://map.naver.com/p/search/세종특별자치시 나성동 829", "지도Link")</f>
        <v/>
      </c>
      <c r="S57" s="6">
        <f>HYPERLINK("http://www.eum.go.kr/web/ar/lu/luLandDet.jsp?pnu=3611010700108290000&amp;isNoScr=script&amp;mode=search", "토지이음")</f>
        <v/>
      </c>
      <c r="T57" s="3" t="inlineStr">
        <is>
          <t>청주합동</t>
        </is>
      </c>
      <c r="U57" s="3" t="n">
        <v>1</v>
      </c>
      <c r="V57" s="3" t="inlineStr">
        <is>
          <t>공동주택 보육시설</t>
        </is>
      </c>
      <c r="W57" s="4" t="n">
        <v>251</v>
      </c>
      <c r="X57" s="3" t="inlineStr">
        <is>
          <t>철근콘크리트구조</t>
        </is>
      </c>
      <c r="Y57" s="3" t="inlineStr">
        <is>
          <t>공동주택</t>
        </is>
      </c>
      <c r="Z57" s="3" t="inlineStr">
        <is>
          <t>-m</t>
        </is>
      </c>
      <c r="AA57" s="3" t="inlineStr">
        <is>
          <t>2021-08-20</t>
        </is>
      </c>
    </row>
    <row r="58">
      <c r="A58" s="3" t="inlineStr">
        <is>
          <t>세종특별자치시 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HYPERLINK("https://map.naver.com/p/search/세종특별자치시 나성동 829", "지도Link")</f>
        <v/>
      </c>
      <c r="S58" s="6">
        <f>HYPERLINK("http://www.eum.go.kr/web/ar/lu/luLandDet.jsp?pnu=3611010700108290000&amp;isNoScr=script&amp;mode=search", "토지이음")</f>
        <v/>
      </c>
      <c r="T58" s="3" t="inlineStr">
        <is>
          <t>청와대합동사무소</t>
        </is>
      </c>
      <c r="U58" s="3" t="n">
        <v>1</v>
      </c>
      <c r="V58" s="3" t="inlineStr">
        <is>
          <t>801</t>
        </is>
      </c>
      <c r="W58" s="4" t="n">
        <v>329</v>
      </c>
      <c r="X58" s="3" t="inlineStr">
        <is>
          <t>철근콘크리트구조</t>
        </is>
      </c>
      <c r="Y58" s="3" t="inlineStr">
        <is>
          <t>제2종근린생활시설</t>
        </is>
      </c>
      <c r="Z58" s="3" t="inlineStr">
        <is>
          <t>-m</t>
        </is>
      </c>
      <c r="AA58" s="3" t="inlineStr">
        <is>
          <t>2021-08-20</t>
        </is>
      </c>
    </row>
    <row r="59">
      <c r="A59" s="3" t="inlineStr">
        <is>
          <t>세종특별자치시 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HYPERLINK("https://map.naver.com/p/search/세종특별자치시 나성동 829", "지도Link")</f>
        <v/>
      </c>
      <c r="S59" s="6">
        <f>HYPERLINK("http://www.eum.go.kr/web/ar/lu/luLandDet.jsp?pnu=3611010700108290000&amp;isNoScr=script&amp;mode=search", "토지이음")</f>
        <v/>
      </c>
      <c r="T59" s="3" t="inlineStr">
        <is>
          <t>LBA리치아노합동사무소</t>
        </is>
      </c>
      <c r="U59" s="3" t="n">
        <v>1</v>
      </c>
      <c r="V59" s="3" t="inlineStr">
        <is>
          <t>판매시설 지하주차장</t>
        </is>
      </c>
      <c r="W59" s="4" t="n">
        <v>122</v>
      </c>
      <c r="X59" s="3" t="inlineStr">
        <is>
          <t>철근콘크리트구조</t>
        </is>
      </c>
      <c r="Y59" s="3" t="inlineStr">
        <is>
          <t>판매시설</t>
        </is>
      </c>
      <c r="Z59" s="3" t="inlineStr">
        <is>
          <t>-m</t>
        </is>
      </c>
      <c r="AA59" s="3" t="inlineStr">
        <is>
          <t>2021-08-20</t>
        </is>
      </c>
    </row>
    <row r="60">
      <c r="A60" s="3" t="inlineStr">
        <is>
          <t>세종특별자치시 나성동 829</t>
        </is>
      </c>
      <c r="B60" s="3" t="inlineStr">
        <is>
          <t>중심상업지역</t>
        </is>
      </c>
      <c r="C60" s="3" t="inlineStr">
        <is>
          <t>대</t>
        </is>
      </c>
      <c r="D60" s="3" t="inlineStr">
        <is>
          <t>공장</t>
        </is>
      </c>
      <c r="E60" s="3" t="inlineStr">
        <is>
          <t>월세</t>
        </is>
      </c>
      <c r="F60" s="4" t="n">
        <v>3000</v>
      </c>
      <c r="G60" s="4" t="n">
        <v>300</v>
      </c>
      <c r="H60" s="4" t="n">
        <v>1600</v>
      </c>
      <c r="I60" s="4" t="n">
        <v>484</v>
      </c>
      <c r="J60" s="5" t="n">
        <v>0.6</v>
      </c>
      <c r="K60" s="4" t="n">
        <v>624</v>
      </c>
      <c r="L60" s="4" t="n">
        <v>189</v>
      </c>
      <c r="M60" s="5" t="n">
        <v>1.6</v>
      </c>
      <c r="N60" s="3" t="inlineStr">
        <is>
          <t>1</t>
        </is>
      </c>
      <c r="O60" s="3" t="inlineStr">
        <is>
          <t>-</t>
        </is>
      </c>
      <c r="P60" s="3" t="inlineStr">
        <is>
          <t>SK하이닉스인근,단독,제조업소및창고,냉온풍기설치완료</t>
        </is>
      </c>
      <c r="Q60" s="6">
        <f>HYPERLINK("https://fin.land.naver.com/articles/2649533301", "매물Link")</f>
        <v/>
      </c>
      <c r="R60" s="6">
        <f>HYPERLINK("https://map.naver.com/p/search/세종특별자치시 나성동 829", "지도Link")</f>
        <v/>
      </c>
      <c r="S60" s="6">
        <f>HYPERLINK("http://www.eum.go.kr/web/ar/lu/luLandDet.jsp?pnu=3611010700108290000&amp;isNoScr=script&amp;mode=search", "토지이음")</f>
        <v/>
      </c>
      <c r="T60" s="3" t="inlineStr">
        <is>
          <t>LBA리치아노합동사무소</t>
        </is>
      </c>
      <c r="U60" s="3" t="n">
        <v>1</v>
      </c>
      <c r="V60" s="3" t="inlineStr">
        <is>
          <t>803</t>
        </is>
      </c>
      <c r="W60" s="4" t="n">
        <v>624</v>
      </c>
      <c r="X60" s="3" t="inlineStr">
        <is>
          <t>철근콘크리트구조</t>
        </is>
      </c>
      <c r="Y60" s="3" t="inlineStr">
        <is>
          <t>제2종근린생활시설</t>
        </is>
      </c>
      <c r="Z60" s="3" t="inlineStr">
        <is>
          <t>-m</t>
        </is>
      </c>
      <c r="AA60" s="3" t="inlineStr">
        <is>
          <t>2021-08-20</t>
        </is>
      </c>
    </row>
    <row r="61">
      <c r="A61" s="3" t="inlineStr">
        <is>
          <t>세종특별자치시 나성동 829</t>
        </is>
      </c>
      <c r="B61" s="3" t="inlineStr">
        <is>
          <t>중심상업지역</t>
        </is>
      </c>
      <c r="C61" s="3" t="inlineStr">
        <is>
          <t>대</t>
        </is>
      </c>
      <c r="D61" s="3" t="inlineStr">
        <is>
          <t>공장</t>
        </is>
      </c>
      <c r="E61" s="3" t="inlineStr">
        <is>
          <t>월세</t>
        </is>
      </c>
      <c r="F61" s="4" t="n">
        <v>11000</v>
      </c>
      <c r="G61" s="4" t="n">
        <v>0</v>
      </c>
      <c r="H61" s="4" t="n">
        <v>6481</v>
      </c>
      <c r="I61" s="4" t="n">
        <v>1961</v>
      </c>
      <c r="J61" s="5" t="n">
        <v>0</v>
      </c>
      <c r="K61" s="4" t="n">
        <v>640</v>
      </c>
      <c r="L61" s="4" t="n">
        <v>194</v>
      </c>
      <c r="M61" s="5" t="n">
        <v>0</v>
      </c>
      <c r="N61" s="3" t="inlineStr">
        <is>
          <t>1</t>
        </is>
      </c>
      <c r="O61" s="3" t="inlineStr">
        <is>
          <t>-</t>
        </is>
      </c>
      <c r="P61" s="3" t="inlineStr">
        <is>
          <t>오송 산업단지  야드 넓은 단독 공장 호이스트 5톤 설치  전력140kw</t>
        </is>
      </c>
      <c r="Q61" s="6">
        <f>HYPERLINK("https://fin.land.naver.com/articles/2646501320", "매물Link")</f>
        <v/>
      </c>
      <c r="R61" s="6">
        <f>HYPERLINK("https://map.naver.com/p/search/세종특별자치시 나성동 829", "지도Link")</f>
        <v/>
      </c>
      <c r="S61" s="6">
        <f>HYPERLINK("http://www.eum.go.kr/web/ar/lu/luLandDet.jsp?pnu=3611010700108290000&amp;isNoScr=script&amp;mode=search", "토지이음")</f>
        <v/>
      </c>
      <c r="T61" s="3" t="inlineStr">
        <is>
          <t>더원</t>
        </is>
      </c>
      <c r="U61" s="3" t="n">
        <v>1</v>
      </c>
      <c r="V61" s="3" t="inlineStr">
        <is>
          <t>803</t>
        </is>
      </c>
      <c r="W61" s="4" t="n">
        <v>640</v>
      </c>
      <c r="X61" s="3" t="inlineStr">
        <is>
          <t>철근콘크리트구조</t>
        </is>
      </c>
      <c r="Y61" s="3" t="inlineStr">
        <is>
          <t>제2종근린생활시설</t>
        </is>
      </c>
      <c r="Z61" s="3" t="inlineStr">
        <is>
          <t>-m</t>
        </is>
      </c>
      <c r="AA61" s="3" t="inlineStr">
        <is>
          <t>2021-08-20</t>
        </is>
      </c>
    </row>
    <row r="62">
      <c r="A62" s="3" t="inlineStr">
        <is>
          <t>세종특별자치시 나성동 829</t>
        </is>
      </c>
      <c r="B62" s="3" t="inlineStr">
        <is>
          <t>중심상업지역</t>
        </is>
      </c>
      <c r="C62" s="3" t="inlineStr">
        <is>
          <t>대</t>
        </is>
      </c>
      <c r="D62" s="3" t="inlineStr">
        <is>
          <t>창고</t>
        </is>
      </c>
      <c r="E62" s="3" t="inlineStr">
        <is>
          <t>매매</t>
        </is>
      </c>
      <c r="F62" s="4" t="n">
        <v>140000</v>
      </c>
      <c r="G62" s="4" t="n">
        <v>0</v>
      </c>
      <c r="H62" s="4" t="n">
        <v>2382</v>
      </c>
      <c r="I62" s="4" t="n">
        <v>721</v>
      </c>
      <c r="J62" s="5" t="n">
        <v>194.2</v>
      </c>
      <c r="K62" s="4" t="n">
        <v>696</v>
      </c>
      <c r="L62" s="4" t="n">
        <v>211</v>
      </c>
      <c r="M62" s="5" t="n">
        <v>663.5</v>
      </c>
      <c r="N62" s="3" t="inlineStr">
        <is>
          <t>1</t>
        </is>
      </c>
      <c r="O62" s="3" t="inlineStr">
        <is>
          <t>B1</t>
        </is>
      </c>
      <c r="P62" s="3" t="inlineStr">
        <is>
          <t>창고,공장,6미터도로접,다세대,다가구주택,주택지인접</t>
        </is>
      </c>
      <c r="Q62" s="6">
        <f>HYPERLINK("https://fin.land.naver.com/articles/2649051596", "매물Link")</f>
        <v/>
      </c>
      <c r="R62" s="6">
        <f>HYPERLINK("https://map.naver.com/p/search/세종특별자치시 나성동 829", "지도Link")</f>
        <v/>
      </c>
      <c r="S62" s="6">
        <f>HYPERLINK("http://www.eum.go.kr/web/ar/lu/luLandDet.jsp?pnu=3611010700108290000&amp;isNoScr=script&amp;mode=search", "토지이음")</f>
        <v/>
      </c>
      <c r="T62" s="3" t="inlineStr">
        <is>
          <t>이박사</t>
        </is>
      </c>
      <c r="U62" s="3" t="n">
        <v>1</v>
      </c>
      <c r="V62" s="3" t="inlineStr">
        <is>
          <t>803</t>
        </is>
      </c>
      <c r="W62" s="4" t="n">
        <v>696</v>
      </c>
      <c r="X62" s="3" t="inlineStr">
        <is>
          <t>철근콘크리트구조</t>
        </is>
      </c>
      <c r="Y62" s="3" t="inlineStr">
        <is>
          <t>제2종근린생활시설</t>
        </is>
      </c>
      <c r="Z62" s="3" t="inlineStr">
        <is>
          <t>-m</t>
        </is>
      </c>
      <c r="AA62" s="3" t="inlineStr">
        <is>
          <t>2021-08-20</t>
        </is>
      </c>
    </row>
    <row r="63">
      <c r="A63" s="3" t="inlineStr">
        <is>
          <t>세종특별자치시 나성동 829</t>
        </is>
      </c>
      <c r="B63" s="3" t="inlineStr">
        <is>
          <t>중심상업지역</t>
        </is>
      </c>
      <c r="C63" s="3" t="inlineStr">
        <is>
          <t>대</t>
        </is>
      </c>
      <c r="D63" s="3" t="inlineStr">
        <is>
          <t>공장</t>
        </is>
      </c>
      <c r="E63" s="3" t="inlineStr">
        <is>
          <t>매매</t>
        </is>
      </c>
      <c r="F63" s="4" t="n">
        <v>363000</v>
      </c>
      <c r="G63" s="4" t="n">
        <v>0</v>
      </c>
      <c r="H63" s="4" t="n">
        <v>2000</v>
      </c>
      <c r="I63" s="4" t="n">
        <v>605</v>
      </c>
      <c r="J63" s="5" t="n">
        <v>600</v>
      </c>
      <c r="K63" s="4" t="n">
        <v>501</v>
      </c>
      <c r="L63" s="4" t="n">
        <v>152</v>
      </c>
      <c r="M63" s="5" t="n">
        <v>2388.2</v>
      </c>
      <c r="N63" s="3" t="inlineStr">
        <is>
          <t>1</t>
        </is>
      </c>
      <c r="O63" s="3" t="inlineStr">
        <is>
          <t>-</t>
        </is>
      </c>
      <c r="P63" s="3" t="inlineStr">
        <is>
          <t>오송2산단 금속가공제품등 첨단관련업종 입주가능한 소형 공장매매</t>
        </is>
      </c>
      <c r="Q63" s="6">
        <f>HYPERLINK("https://fin.land.naver.com/articles/2649475819", "매물Link")</f>
        <v/>
      </c>
      <c r="R63" s="6">
        <f>HYPERLINK("https://map.naver.com/p/search/세종특별자치시 나성동 829", "지도Link")</f>
        <v/>
      </c>
      <c r="S63" s="6">
        <f>HYPERLINK("http://www.eum.go.kr/web/ar/lu/luLandDet.jsp?pnu=3611010700108290000&amp;isNoScr=script&amp;mode=search", "토지이음")</f>
        <v/>
      </c>
      <c r="T63" s="3" t="inlineStr">
        <is>
          <t>더원</t>
        </is>
      </c>
      <c r="U63" s="3" t="n">
        <v>1</v>
      </c>
      <c r="V63" s="3" t="inlineStr">
        <is>
          <t>전망공간 기계실</t>
        </is>
      </c>
      <c r="W63" s="4" t="n">
        <v>501</v>
      </c>
      <c r="X63" s="3" t="inlineStr">
        <is>
          <t>철근콘크리트구조</t>
        </is>
      </c>
      <c r="Y63" s="3" t="inlineStr">
        <is>
          <t>제2종근린생활시설</t>
        </is>
      </c>
      <c r="Z63" s="3" t="inlineStr">
        <is>
          <t>-m</t>
        </is>
      </c>
      <c r="AA63" s="3" t="inlineStr">
        <is>
          <t>2021-08-20</t>
        </is>
      </c>
    </row>
    <row r="64">
      <c r="A64" s="3" t="inlineStr">
        <is>
          <t>세종특별자치시 나성동 829</t>
        </is>
      </c>
      <c r="B64" s="3" t="inlineStr">
        <is>
          <t>중심상업지역</t>
        </is>
      </c>
      <c r="C64" s="3" t="inlineStr">
        <is>
          <t>대</t>
        </is>
      </c>
      <c r="D64" s="3" t="inlineStr">
        <is>
          <t>창고</t>
        </is>
      </c>
      <c r="E64" s="3" t="inlineStr">
        <is>
          <t>매매</t>
        </is>
      </c>
      <c r="F64" s="4" t="n">
        <v>95000</v>
      </c>
      <c r="G64" s="4" t="n">
        <v>0</v>
      </c>
      <c r="H64" s="4" t="n">
        <v>3028</v>
      </c>
      <c r="I64" s="4" t="n">
        <v>916</v>
      </c>
      <c r="J64" s="5" t="n">
        <v>103.7</v>
      </c>
      <c r="K64" s="4" t="n">
        <v>128</v>
      </c>
      <c r="L64" s="4" t="n">
        <v>39</v>
      </c>
      <c r="M64" s="5" t="n">
        <v>2435.9</v>
      </c>
      <c r="N64" s="3" t="inlineStr">
        <is>
          <t>1</t>
        </is>
      </c>
      <c r="O64" s="3" t="inlineStr">
        <is>
          <t>-</t>
        </is>
      </c>
      <c r="P64" s="3" t="inlineStr">
        <is>
          <t>상정리 농업용창고및 인근 답 일괄매매 1차선 도로접함</t>
        </is>
      </c>
      <c r="Q64" s="6">
        <f>HYPERLINK("https://fin.land.naver.com/articles/2649736654", "매물Link")</f>
        <v/>
      </c>
      <c r="R64" s="6">
        <f>HYPERLINK("https://map.naver.com/p/search/세종특별자치시 나성동 829", "지도Link")</f>
        <v/>
      </c>
      <c r="S64" s="6">
        <f>HYPERLINK("http://www.eum.go.kr/web/ar/lu/luLandDet.jsp?pnu=3611010700108290000&amp;isNoScr=script&amp;mode=search", "토지이음")</f>
        <v/>
      </c>
      <c r="T64" s="3" t="inlineStr">
        <is>
          <t>오송휴먼캐슬</t>
        </is>
      </c>
      <c r="U64" s="3" t="n">
        <v>1</v>
      </c>
      <c r="V64" s="3" t="inlineStr">
        <is>
          <t>판매시설 지하주차장</t>
        </is>
      </c>
      <c r="W64" s="4" t="n">
        <v>128</v>
      </c>
      <c r="X64" s="3" t="inlineStr">
        <is>
          <t>철근콘크리트구조</t>
        </is>
      </c>
      <c r="Y64" s="3" t="inlineStr">
        <is>
          <t>판매시설</t>
        </is>
      </c>
      <c r="Z64" s="3" t="inlineStr">
        <is>
          <t>-m</t>
        </is>
      </c>
      <c r="AA64" s="3" t="inlineStr">
        <is>
          <t>2021-08-20</t>
        </is>
      </c>
    </row>
    <row r="65">
      <c r="A65" s="3" t="inlineStr">
        <is>
          <t>세종특별자치시 나성동 829</t>
        </is>
      </c>
      <c r="B65" s="3" t="inlineStr">
        <is>
          <t>중심상업지역</t>
        </is>
      </c>
      <c r="C65" s="3" t="inlineStr">
        <is>
          <t>대</t>
        </is>
      </c>
      <c r="D65" s="3" t="inlineStr">
        <is>
          <t>창고</t>
        </is>
      </c>
      <c r="E65" s="3" t="inlineStr">
        <is>
          <t>매매</t>
        </is>
      </c>
      <c r="F65" s="4" t="n">
        <v>95000</v>
      </c>
      <c r="G65" s="4" t="n">
        <v>0</v>
      </c>
      <c r="H65" s="4" t="n">
        <v>3028</v>
      </c>
      <c r="I65" s="4" t="n">
        <v>916</v>
      </c>
      <c r="J65" s="5" t="n">
        <v>103.7</v>
      </c>
      <c r="K65" s="4" t="n">
        <v>128</v>
      </c>
      <c r="L65" s="4" t="n">
        <v>39</v>
      </c>
      <c r="M65" s="5" t="n">
        <v>2435.9</v>
      </c>
      <c r="N65" s="3" t="inlineStr">
        <is>
          <t>1</t>
        </is>
      </c>
      <c r="O65" s="3" t="inlineStr">
        <is>
          <t>-</t>
        </is>
      </c>
      <c r="P65" s="3" t="inlineStr">
        <is>
          <t>상정리 창고용지및 답 일괄매매 상세설명참조</t>
        </is>
      </c>
      <c r="Q65" s="6">
        <f>HYPERLINK("https://fin.land.naver.com/articles/2649755622", "매물Link")</f>
        <v/>
      </c>
      <c r="R65" s="6">
        <f>HYPERLINK("https://map.naver.com/p/search/세종특별자치시 나성동 829", "지도Link")</f>
        <v/>
      </c>
      <c r="S65" s="6">
        <f>HYPERLINK("http://www.eum.go.kr/web/ar/lu/luLandDet.jsp?pnu=3611010700108290000&amp;isNoScr=script&amp;mode=search", "토지이음")</f>
        <v/>
      </c>
      <c r="T65" s="3" t="inlineStr">
        <is>
          <t>자이원</t>
        </is>
      </c>
      <c r="U65" s="3" t="n">
        <v>1</v>
      </c>
      <c r="V65" s="3" t="inlineStr">
        <is>
          <t>판매시설 지하주차장</t>
        </is>
      </c>
      <c r="W65" s="4" t="n">
        <v>128</v>
      </c>
      <c r="X65" s="3" t="inlineStr">
        <is>
          <t>철근콘크리트구조</t>
        </is>
      </c>
      <c r="Y65" s="3" t="inlineStr">
        <is>
          <t>판매시설</t>
        </is>
      </c>
      <c r="Z65" s="3" t="inlineStr">
        <is>
          <t>-m</t>
        </is>
      </c>
      <c r="AA65" s="3" t="inlineStr">
        <is>
          <t>2021-08-20</t>
        </is>
      </c>
    </row>
    <row r="66">
      <c r="A66" s="3" t="inlineStr">
        <is>
          <t>세종특별자치시 나성동 829</t>
        </is>
      </c>
      <c r="B66" s="3" t="inlineStr">
        <is>
          <t>중심상업지역</t>
        </is>
      </c>
      <c r="C66" s="3" t="inlineStr">
        <is>
          <t>대</t>
        </is>
      </c>
      <c r="D66" s="3" t="inlineStr">
        <is>
          <t>공장</t>
        </is>
      </c>
      <c r="E66" s="3" t="inlineStr">
        <is>
          <t>월세</t>
        </is>
      </c>
      <c r="F66" s="4" t="n">
        <v>30000</v>
      </c>
      <c r="G66" s="4" t="n">
        <v>0</v>
      </c>
      <c r="H66" s="4" t="n">
        <v>4999</v>
      </c>
      <c r="I66" s="4" t="n">
        <v>1512</v>
      </c>
      <c r="J66" s="5" t="n">
        <v>0</v>
      </c>
      <c r="K66" s="4" t="n">
        <v>3062</v>
      </c>
      <c r="L66" s="4" t="n">
        <v>926</v>
      </c>
      <c r="M66" s="5" t="n">
        <v>0</v>
      </c>
      <c r="N66" s="3" t="inlineStr">
        <is>
          <t>1</t>
        </is>
      </c>
      <c r="O66" s="3" t="inlineStr">
        <is>
          <t>-</t>
        </is>
      </c>
      <c r="P66" s="3" t="inlineStr">
        <is>
          <t>nan</t>
        </is>
      </c>
      <c r="Q66" s="6">
        <f>HYPERLINK("https://fin.land.naver.com/articles/2648268088", "매물Link")</f>
        <v/>
      </c>
      <c r="R66" s="6">
        <f>HYPERLINK("https://map.naver.com/p/search/세종특별자치시 나성동 829", "지도Link")</f>
        <v/>
      </c>
      <c r="S66" s="6">
        <f>HYPERLINK("http://www.eum.go.kr/web/ar/lu/luLandDet.jsp?pnu=3611010700108290000&amp;isNoScr=script&amp;mode=search", "토지이음")</f>
        <v/>
      </c>
      <c r="T66" s="3" t="inlineStr">
        <is>
          <t>더원</t>
        </is>
      </c>
      <c r="U66" s="3" t="n">
        <v>1</v>
      </c>
      <c r="V66" s="3" t="inlineStr">
        <is>
          <t>802</t>
        </is>
      </c>
      <c r="W66" s="4" t="n">
        <v>3062</v>
      </c>
      <c r="X66" s="3" t="inlineStr">
        <is>
          <t>철근콘크리트구조</t>
        </is>
      </c>
      <c r="Y66" s="3" t="inlineStr">
        <is>
          <t>제2종근린생활시설</t>
        </is>
      </c>
      <c r="Z66" s="3" t="inlineStr">
        <is>
          <t>-m</t>
        </is>
      </c>
      <c r="AA66" s="3" t="inlineStr">
        <is>
          <t>2021-08-20</t>
        </is>
      </c>
    </row>
    <row r="67">
      <c r="A67" s="3" t="inlineStr">
        <is>
          <t>세종특별자치시 나성동 829</t>
        </is>
      </c>
      <c r="B67" s="3" t="inlineStr">
        <is>
          <t>중심상업지역</t>
        </is>
      </c>
      <c r="C67" s="3" t="inlineStr">
        <is>
          <t>대</t>
        </is>
      </c>
      <c r="D67" s="3" t="inlineStr">
        <is>
          <t>창고</t>
        </is>
      </c>
      <c r="E67" s="3" t="inlineStr">
        <is>
          <t>월세</t>
        </is>
      </c>
      <c r="F67" s="4" t="n">
        <v>1000</v>
      </c>
      <c r="G67" s="4" t="n">
        <v>100</v>
      </c>
      <c r="H67" s="4" t="n">
        <v>780</v>
      </c>
      <c r="I67" s="4" t="n">
        <v>236</v>
      </c>
      <c r="J67" s="5" t="n">
        <v>0.4</v>
      </c>
      <c r="K67" s="4" t="n">
        <v>171</v>
      </c>
      <c r="L67" s="4" t="n">
        <v>52</v>
      </c>
      <c r="M67" s="5" t="n">
        <v>1.9</v>
      </c>
      <c r="N67" s="3" t="inlineStr">
        <is>
          <t>1</t>
        </is>
      </c>
      <c r="O67" s="3" t="inlineStr">
        <is>
          <t>-</t>
        </is>
      </c>
      <c r="P67" s="3" t="inlineStr">
        <is>
          <t>오송역 ktx 주차장 대로변 광고효과 좋은위치이며 전면주차가능</t>
        </is>
      </c>
      <c r="Q67" s="6">
        <f>HYPERLINK("https://fin.land.naver.com/articles/2644707379", "매물Link")</f>
        <v/>
      </c>
      <c r="R67" s="6">
        <f>HYPERLINK("https://map.naver.com/p/search/세종특별자치시 나성동 829", "지도Link")</f>
        <v/>
      </c>
      <c r="S67" s="6">
        <f>HYPERLINK("http://www.eum.go.kr/web/ar/lu/luLandDet.jsp?pnu=3611010700108290000&amp;isNoScr=script&amp;mode=search", "토지이음")</f>
        <v/>
      </c>
      <c r="T67" s="3" t="inlineStr">
        <is>
          <t>더원</t>
        </is>
      </c>
      <c r="U67" s="3" t="n">
        <v>1</v>
      </c>
      <c r="V67" s="3" t="inlineStr">
        <is>
          <t>공동주택 작은도서관</t>
        </is>
      </c>
      <c r="W67" s="4" t="n">
        <v>171</v>
      </c>
      <c r="X67" s="3" t="inlineStr">
        <is>
          <t>철근콘크리트구조</t>
        </is>
      </c>
      <c r="Y67" s="3" t="inlineStr">
        <is>
          <t>공동주택</t>
        </is>
      </c>
      <c r="Z67" s="3" t="inlineStr">
        <is>
          <t>-m</t>
        </is>
      </c>
      <c r="AA67" s="3" t="inlineStr">
        <is>
          <t>2021-08-20</t>
        </is>
      </c>
    </row>
    <row r="68">
      <c r="A68" s="3" t="inlineStr">
        <is>
          <t>세종특별자치시 나성동 829</t>
        </is>
      </c>
      <c r="B68" s="3" t="inlineStr">
        <is>
          <t>중심상업지역</t>
        </is>
      </c>
      <c r="C68" s="3" t="inlineStr">
        <is>
          <t>대</t>
        </is>
      </c>
      <c r="D68" s="3" t="inlineStr">
        <is>
          <t>공장</t>
        </is>
      </c>
      <c r="E68" s="3" t="inlineStr">
        <is>
          <t>매매</t>
        </is>
      </c>
      <c r="F68" s="4" t="n">
        <v>55000</v>
      </c>
      <c r="G68" s="4" t="n">
        <v>0</v>
      </c>
      <c r="H68" s="4" t="n">
        <v>672</v>
      </c>
      <c r="I68" s="4" t="n">
        <v>203</v>
      </c>
      <c r="J68" s="5" t="n">
        <v>270.9</v>
      </c>
      <c r="K68" s="4" t="n">
        <v>202</v>
      </c>
      <c r="L68" s="4" t="n">
        <v>61</v>
      </c>
      <c r="M68" s="5" t="n">
        <v>901.6</v>
      </c>
      <c r="N68" s="3" t="inlineStr">
        <is>
          <t>1</t>
        </is>
      </c>
      <c r="O68" s="3" t="inlineStr">
        <is>
          <t>-</t>
        </is>
      </c>
      <c r="P68" s="3" t="inlineStr">
        <is>
          <t>공장제조업소, 2차선에서 100m 거리라 이동시 편리</t>
        </is>
      </c>
      <c r="Q68" s="6">
        <f>HYPERLINK("https://fin.land.naver.com/articles/2649696714", "매물Link")</f>
        <v/>
      </c>
      <c r="R68" s="6">
        <f>HYPERLINK("https://map.naver.com/p/search/세종특별자치시 나성동 829", "지도Link")</f>
        <v/>
      </c>
      <c r="S68" s="6">
        <f>HYPERLINK("http://www.eum.go.kr/web/ar/lu/luLandDet.jsp?pnu=3611010700108290000&amp;isNoScr=script&amp;mode=search", "토지이음")</f>
        <v/>
      </c>
      <c r="T68" s="3" t="inlineStr">
        <is>
          <t>하경</t>
        </is>
      </c>
      <c r="U68" s="3" t="n">
        <v>1</v>
      </c>
      <c r="V68" s="3" t="inlineStr">
        <is>
          <t>공동주택 주민공동시설</t>
        </is>
      </c>
      <c r="W68" s="4" t="n">
        <v>202</v>
      </c>
      <c r="X68" s="3" t="inlineStr">
        <is>
          <t>철근콘크리트구조</t>
        </is>
      </c>
      <c r="Y68" s="3" t="inlineStr">
        <is>
          <t>공동주택</t>
        </is>
      </c>
      <c r="Z68" s="3" t="inlineStr">
        <is>
          <t>-m</t>
        </is>
      </c>
      <c r="AA68" s="3" t="inlineStr">
        <is>
          <t>2021-08-20</t>
        </is>
      </c>
    </row>
    <row r="69">
      <c r="A69" s="3" t="inlineStr">
        <is>
          <t>세종특별자치시 나성동 829</t>
        </is>
      </c>
      <c r="B69" s="3" t="inlineStr">
        <is>
          <t>중심상업지역</t>
        </is>
      </c>
      <c r="C69" s="3" t="inlineStr">
        <is>
          <t>대</t>
        </is>
      </c>
      <c r="D69" s="3" t="inlineStr">
        <is>
          <t>창고</t>
        </is>
      </c>
      <c r="E69" s="3" t="inlineStr">
        <is>
          <t>월세</t>
        </is>
      </c>
      <c r="F69" s="4" t="n">
        <v>2000</v>
      </c>
      <c r="G69" s="4" t="n">
        <v>150</v>
      </c>
      <c r="H69" s="4" t="n">
        <v>730</v>
      </c>
      <c r="I69" s="4" t="n">
        <v>221</v>
      </c>
      <c r="J69" s="5" t="n">
        <v>0.7</v>
      </c>
      <c r="K69" s="4" t="n">
        <v>160</v>
      </c>
      <c r="L69" s="4" t="n">
        <v>48</v>
      </c>
      <c r="M69" s="5" t="n">
        <v>3.1</v>
      </c>
      <c r="N69" s="3" t="inlineStr">
        <is>
          <t>1</t>
        </is>
      </c>
      <c r="O69" s="3" t="inlineStr">
        <is>
          <t>-</t>
        </is>
      </c>
      <c r="P69" s="3" t="inlineStr">
        <is>
          <t>오송1산단 대로변가에 위치 (야적과 창고 겸용 사용 가능)</t>
        </is>
      </c>
      <c r="Q69" s="6">
        <f>HYPERLINK("https://fin.land.naver.com/articles/2648981276", "매물Link")</f>
        <v/>
      </c>
      <c r="R69" s="6">
        <f>HYPERLINK("https://map.naver.com/p/search/세종특별자치시 나성동 829", "지도Link")</f>
        <v/>
      </c>
      <c r="S69" s="6">
        <f>HYPERLINK("http://www.eum.go.kr/web/ar/lu/luLandDet.jsp?pnu=3611010700108290000&amp;isNoScr=script&amp;mode=search", "토지이음")</f>
        <v/>
      </c>
      <c r="T69" s="3" t="inlineStr">
        <is>
          <t>오송랜드</t>
        </is>
      </c>
      <c r="U69" s="3" t="n">
        <v>1</v>
      </c>
      <c r="V69" s="3" t="inlineStr">
        <is>
          <t>공동주택 관리사무소</t>
        </is>
      </c>
      <c r="W69" s="4" t="n">
        <v>160</v>
      </c>
      <c r="X69" s="3" t="inlineStr">
        <is>
          <t>철근콘크리트구조</t>
        </is>
      </c>
      <c r="Y69" s="3" t="inlineStr">
        <is>
          <t>공동주택</t>
        </is>
      </c>
      <c r="Z69" s="3" t="inlineStr">
        <is>
          <t>-m</t>
        </is>
      </c>
      <c r="AA69" s="3" t="inlineStr">
        <is>
          <t>2021-08-20</t>
        </is>
      </c>
    </row>
    <row r="70">
      <c r="A70" s="3" t="inlineStr">
        <is>
          <t>세종특별자치시 나성동 829</t>
        </is>
      </c>
      <c r="B70" s="3" t="inlineStr">
        <is>
          <t>중심상업지역</t>
        </is>
      </c>
      <c r="C70" s="3" t="inlineStr">
        <is>
          <t>대</t>
        </is>
      </c>
      <c r="D70" s="3" t="inlineStr">
        <is>
          <t>공장</t>
        </is>
      </c>
      <c r="E70" s="3" t="inlineStr">
        <is>
          <t>월세</t>
        </is>
      </c>
      <c r="F70" s="4" t="n">
        <v>18000</v>
      </c>
      <c r="G70" s="4" t="n">
        <v>0</v>
      </c>
      <c r="H70" s="4" t="n">
        <v>4958</v>
      </c>
      <c r="I70" s="4" t="n">
        <v>1500</v>
      </c>
      <c r="J70" s="5" t="n">
        <v>0</v>
      </c>
      <c r="K70" s="4" t="n">
        <v>1917</v>
      </c>
      <c r="L70" s="4" t="n">
        <v>580</v>
      </c>
      <c r="M70" s="5" t="n">
        <v>0</v>
      </c>
      <c r="N70" s="3" t="inlineStr">
        <is>
          <t>1</t>
        </is>
      </c>
      <c r="O70" s="3" t="inlineStr">
        <is>
          <t>-</t>
        </is>
      </c>
      <c r="P70" s="3" t="inlineStr">
        <is>
          <t>호이스트5톤1기,1.9톤1기 설치 전력300kw 물류창고로 추천</t>
        </is>
      </c>
      <c r="Q70" s="6">
        <f>HYPERLINK("https://fin.land.naver.com/articles/2644022603", "매물Link")</f>
        <v/>
      </c>
      <c r="R70" s="6">
        <f>HYPERLINK("https://map.naver.com/p/search/세종특별자치시 나성동 829", "지도Link")</f>
        <v/>
      </c>
      <c r="S70" s="6">
        <f>HYPERLINK("http://www.eum.go.kr/web/ar/lu/luLandDet.jsp?pnu=3611010700108290000&amp;isNoScr=script&amp;mode=search", "토지이음")</f>
        <v/>
      </c>
      <c r="T70" s="3" t="inlineStr">
        <is>
          <t>더원</t>
        </is>
      </c>
      <c r="U70" s="3" t="n">
        <v>1</v>
      </c>
      <c r="V70" s="3" t="inlineStr">
        <is>
          <t>901(전망공간)</t>
        </is>
      </c>
      <c r="W70" s="4" t="n">
        <v>1917</v>
      </c>
      <c r="X70" s="3" t="inlineStr">
        <is>
          <t>철근콘크리트구조</t>
        </is>
      </c>
      <c r="Y70" s="3" t="inlineStr">
        <is>
          <t>제2종근린생활시설</t>
        </is>
      </c>
      <c r="Z70" s="3" t="inlineStr">
        <is>
          <t>-m</t>
        </is>
      </c>
      <c r="AA70" s="3" t="inlineStr">
        <is>
          <t>2021-08-20</t>
        </is>
      </c>
    </row>
    <row r="71">
      <c r="A71" s="3" t="inlineStr">
        <is>
          <t>세종특별자치시 나성동 829</t>
        </is>
      </c>
      <c r="B71" s="3" t="inlineStr">
        <is>
          <t>중심상업지역</t>
        </is>
      </c>
      <c r="C71" s="3" t="inlineStr">
        <is>
          <t>대</t>
        </is>
      </c>
      <c r="D71" s="3" t="inlineStr">
        <is>
          <t>공장</t>
        </is>
      </c>
      <c r="E71" s="3" t="inlineStr">
        <is>
          <t>월세</t>
        </is>
      </c>
      <c r="F71" s="4" t="n">
        <v>3000</v>
      </c>
      <c r="G71" s="4" t="n">
        <v>300</v>
      </c>
      <c r="H71" s="4" t="n">
        <v>2099</v>
      </c>
      <c r="I71" s="4" t="n">
        <v>635</v>
      </c>
      <c r="J71" s="5" t="n">
        <v>0.5</v>
      </c>
      <c r="K71" s="4" t="n">
        <v>396</v>
      </c>
      <c r="L71" s="4" t="n">
        <v>120</v>
      </c>
      <c r="M71" s="5" t="n">
        <v>2.5</v>
      </c>
      <c r="N71" s="3" t="inlineStr">
        <is>
          <t>1</t>
        </is>
      </c>
      <c r="O71" s="3" t="inlineStr">
        <is>
          <t>-</t>
        </is>
      </c>
      <c r="P71" s="3" t="inlineStr">
        <is>
          <t>단독공장 임대 사무실있음 전력50kw</t>
        </is>
      </c>
      <c r="Q71" s="6">
        <f>HYPERLINK("https://fin.land.naver.com/articles/2649664849", "매물Link")</f>
        <v/>
      </c>
      <c r="R71" s="6">
        <f>HYPERLINK("https://map.naver.com/p/search/세종특별자치시 나성동 829", "지도Link")</f>
        <v/>
      </c>
      <c r="S71" s="6">
        <f>HYPERLINK("http://www.eum.go.kr/web/ar/lu/luLandDet.jsp?pnu=3611010700108290000&amp;isNoScr=script&amp;mode=search", "토지이음")</f>
        <v/>
      </c>
      <c r="T71" s="3" t="inlineStr">
        <is>
          <t>더원</t>
        </is>
      </c>
      <c r="U71" s="3" t="n">
        <v>1</v>
      </c>
      <c r="V71" s="3" t="inlineStr">
        <is>
          <t>전망공간 기계실</t>
        </is>
      </c>
      <c r="W71" s="4" t="n">
        <v>396</v>
      </c>
      <c r="X71" s="3" t="inlineStr">
        <is>
          <t>철근콘크리트구조</t>
        </is>
      </c>
      <c r="Y71" s="3" t="inlineStr">
        <is>
          <t>제2종근린생활시설</t>
        </is>
      </c>
      <c r="Z71" s="3" t="inlineStr">
        <is>
          <t>-m</t>
        </is>
      </c>
      <c r="AA71" s="3" t="inlineStr">
        <is>
          <t>2021-08-20</t>
        </is>
      </c>
    </row>
    <row r="72">
      <c r="A72" s="3" t="inlineStr">
        <is>
          <t>세종특별자치시 나성동 829</t>
        </is>
      </c>
      <c r="B72" s="3" t="inlineStr">
        <is>
          <t>중심상업지역</t>
        </is>
      </c>
      <c r="C72" s="3" t="inlineStr">
        <is>
          <t>대</t>
        </is>
      </c>
      <c r="D72" s="3" t="inlineStr">
        <is>
          <t>공장</t>
        </is>
      </c>
      <c r="E72" s="3" t="inlineStr">
        <is>
          <t>매매</t>
        </is>
      </c>
      <c r="F72" s="4" t="n">
        <v>105000</v>
      </c>
      <c r="G72" s="4" t="n">
        <v>0</v>
      </c>
      <c r="H72" s="4" t="n">
        <v>1342</v>
      </c>
      <c r="I72" s="4" t="n">
        <v>406</v>
      </c>
      <c r="J72" s="5" t="n">
        <v>258.6</v>
      </c>
      <c r="K72" s="4" t="n">
        <v>264</v>
      </c>
      <c r="L72" s="4" t="n">
        <v>80</v>
      </c>
      <c r="M72" s="5" t="n">
        <v>1312.5</v>
      </c>
      <c r="N72" s="3" t="inlineStr">
        <is>
          <t>1</t>
        </is>
      </c>
      <c r="O72" s="3" t="inlineStr">
        <is>
          <t>-</t>
        </is>
      </c>
      <c r="P72" s="3" t="inlineStr">
        <is>
          <t>옥산 농수산물 시장 인근 사무실 완비된 소형공장 매매</t>
        </is>
      </c>
      <c r="Q72" s="6">
        <f>HYPERLINK("https://fin.land.naver.com/articles/2645007250", "매물Link")</f>
        <v/>
      </c>
      <c r="R72" s="6">
        <f>HYPERLINK("https://map.naver.com/p/search/세종특별자치시 나성동 829", "지도Link")</f>
        <v/>
      </c>
      <c r="S72" s="6">
        <f>HYPERLINK("http://www.eum.go.kr/web/ar/lu/luLandDet.jsp?pnu=3611010700108290000&amp;isNoScr=script&amp;mode=search", "토지이음")</f>
        <v/>
      </c>
      <c r="T72" s="3" t="inlineStr">
        <is>
          <t>더원</t>
        </is>
      </c>
      <c r="U72" s="3" t="n">
        <v>1</v>
      </c>
      <c r="V72" s="3" t="inlineStr">
        <is>
          <t>근린생활시설 기계실</t>
        </is>
      </c>
      <c r="W72" s="4" t="n">
        <v>264</v>
      </c>
      <c r="X72" s="3" t="inlineStr">
        <is>
          <t>철근콘크리트구조</t>
        </is>
      </c>
      <c r="Y72" s="3" t="inlineStr">
        <is>
          <t>제2종근린생활시설</t>
        </is>
      </c>
      <c r="Z72" s="3" t="inlineStr">
        <is>
          <t>-m</t>
        </is>
      </c>
      <c r="AA72" s="3" t="inlineStr">
        <is>
          <t>2021-08-20</t>
        </is>
      </c>
    </row>
    <row r="73">
      <c r="A73" s="3" t="inlineStr">
        <is>
          <t>세종특별자치시 나성동 829</t>
        </is>
      </c>
      <c r="B73" s="3" t="inlineStr">
        <is>
          <t>중심상업지역</t>
        </is>
      </c>
      <c r="C73" s="3" t="inlineStr">
        <is>
          <t>대</t>
        </is>
      </c>
      <c r="D73" s="3" t="inlineStr">
        <is>
          <t>창고</t>
        </is>
      </c>
      <c r="E73" s="3" t="inlineStr">
        <is>
          <t>매매</t>
        </is>
      </c>
      <c r="F73" s="4" t="n">
        <v>400000</v>
      </c>
      <c r="G73" s="4" t="n">
        <v>0</v>
      </c>
      <c r="H73" s="4" t="n">
        <v>4980</v>
      </c>
      <c r="I73" s="4" t="n">
        <v>1506</v>
      </c>
      <c r="J73" s="5" t="n">
        <v>265.6</v>
      </c>
      <c r="K73" s="4" t="n">
        <v>2188</v>
      </c>
      <c r="L73" s="4" t="n">
        <v>662</v>
      </c>
      <c r="M73" s="5" t="n">
        <v>604.2</v>
      </c>
      <c r="N73" s="3" t="inlineStr">
        <is>
          <t>3</t>
        </is>
      </c>
      <c r="O73" s="3" t="inlineStr">
        <is>
          <t>-</t>
        </is>
      </c>
      <c r="P73" s="3" t="inlineStr">
        <is>
          <t>옥산 농수산물 시장 접근성 좋은 위치의 물류창고 냉장시설도 있음</t>
        </is>
      </c>
      <c r="Q73" s="6">
        <f>HYPERLINK("https://fin.land.naver.com/articles/2646667852", "매물Link")</f>
        <v/>
      </c>
      <c r="R73" s="6">
        <f>HYPERLINK("https://map.naver.com/p/search/세종특별자치시 나성동 829", "지도Link")</f>
        <v/>
      </c>
      <c r="S73" s="6">
        <f>HYPERLINK("http://www.eum.go.kr/web/ar/lu/luLandDet.jsp?pnu=3611010700108290000&amp;isNoScr=script&amp;mode=search", "토지이음")</f>
        <v/>
      </c>
      <c r="T73" s="3" t="inlineStr">
        <is>
          <t>더원</t>
        </is>
      </c>
      <c r="U73" s="3" t="n">
        <v>1</v>
      </c>
      <c r="V73" s="3" t="inlineStr">
        <is>
          <t>근린생활시설 지하주차장</t>
        </is>
      </c>
      <c r="W73" s="4" t="n">
        <v>2188</v>
      </c>
      <c r="X73" s="3" t="inlineStr">
        <is>
          <t>철근콘크리트구조</t>
        </is>
      </c>
      <c r="Y73" s="3" t="inlineStr">
        <is>
          <t>제2종근린생활시설</t>
        </is>
      </c>
      <c r="Z73" s="3" t="inlineStr">
        <is>
          <t>-m</t>
        </is>
      </c>
      <c r="AA73" s="3" t="inlineStr">
        <is>
          <t>2021-08-20</t>
        </is>
      </c>
    </row>
    <row r="74">
      <c r="A74" s="3" t="inlineStr">
        <is>
          <t>세종특별자치시 나성동 829</t>
        </is>
      </c>
      <c r="B74" s="3" t="inlineStr">
        <is>
          <t>중심상업지역</t>
        </is>
      </c>
      <c r="C74" s="3" t="inlineStr">
        <is>
          <t>대</t>
        </is>
      </c>
      <c r="D74" s="3" t="inlineStr">
        <is>
          <t>창고</t>
        </is>
      </c>
      <c r="E74" s="3" t="inlineStr">
        <is>
          <t>매매</t>
        </is>
      </c>
      <c r="F74" s="4" t="n">
        <v>300000</v>
      </c>
      <c r="G74" s="4" t="n">
        <v>0</v>
      </c>
      <c r="H74" s="4" t="n">
        <v>991</v>
      </c>
      <c r="I74" s="4" t="n">
        <v>300</v>
      </c>
      <c r="J74" s="5" t="n">
        <v>1000</v>
      </c>
      <c r="K74" s="4" t="n">
        <v>330</v>
      </c>
      <c r="L74" s="4" t="n">
        <v>100</v>
      </c>
      <c r="M74" s="5" t="n">
        <v>3000</v>
      </c>
      <c r="N74" s="3" t="inlineStr">
        <is>
          <t>1</t>
        </is>
      </c>
      <c r="O74" s="3" t="inlineStr">
        <is>
          <t>-</t>
        </is>
      </c>
      <c r="P74" s="3" t="inlineStr">
        <is>
          <t>개발예정지, 신축창고,투자용매입가능, 임대완료된 창고</t>
        </is>
      </c>
      <c r="Q74" s="6">
        <f>HYPERLINK("https://fin.land.naver.com/articles/2647432677", "매물Link")</f>
        <v/>
      </c>
      <c r="R74" s="6">
        <f>HYPERLINK("https://map.naver.com/p/search/세종특별자치시 나성동 829", "지도Link")</f>
        <v/>
      </c>
      <c r="S74" s="6">
        <f>HYPERLINK("http://www.eum.go.kr/web/ar/lu/luLandDet.jsp?pnu=3611010700108290000&amp;isNoScr=script&amp;mode=search", "토지이음")</f>
        <v/>
      </c>
      <c r="T74" s="3" t="inlineStr">
        <is>
          <t>정</t>
        </is>
      </c>
      <c r="U74" s="3" t="n">
        <v>1</v>
      </c>
      <c r="V74" s="3" t="inlineStr">
        <is>
          <t>801</t>
        </is>
      </c>
      <c r="W74" s="4" t="n">
        <v>330</v>
      </c>
      <c r="X74" s="3" t="inlineStr">
        <is>
          <t>철근콘크리트구조</t>
        </is>
      </c>
      <c r="Y74" s="3" t="inlineStr">
        <is>
          <t>제2종근린생활시설</t>
        </is>
      </c>
      <c r="Z74" s="3" t="inlineStr">
        <is>
          <t>-m</t>
        </is>
      </c>
      <c r="AA74" s="3" t="inlineStr">
        <is>
          <t>2021-08-20</t>
        </is>
      </c>
    </row>
    <row r="75">
      <c r="A75" s="3" t="inlineStr">
        <is>
          <t>세종특별자치시 나성동 829</t>
        </is>
      </c>
      <c r="B75" s="3" t="inlineStr">
        <is>
          <t>중심상업지역</t>
        </is>
      </c>
      <c r="C75" s="3" t="inlineStr">
        <is>
          <t>대</t>
        </is>
      </c>
      <c r="D75" s="3" t="inlineStr">
        <is>
          <t>창고</t>
        </is>
      </c>
      <c r="E75" s="3" t="inlineStr">
        <is>
          <t>매매</t>
        </is>
      </c>
      <c r="F75" s="4" t="n">
        <v>83000</v>
      </c>
      <c r="G75" s="4" t="n">
        <v>0</v>
      </c>
      <c r="H75" s="4" t="n">
        <v>795</v>
      </c>
      <c r="I75" s="4" t="n">
        <v>240</v>
      </c>
      <c r="J75" s="5" t="n">
        <v>345.8</v>
      </c>
      <c r="K75" s="4" t="n">
        <v>199</v>
      </c>
      <c r="L75" s="4" t="n">
        <v>60</v>
      </c>
      <c r="M75" s="5" t="n">
        <v>1383.3</v>
      </c>
      <c r="N75" s="3" t="inlineStr">
        <is>
          <t>2</t>
        </is>
      </c>
      <c r="O75" s="3" t="inlineStr">
        <is>
          <t>-</t>
        </is>
      </c>
      <c r="P75" s="3" t="inlineStr">
        <is>
          <t>nan</t>
        </is>
      </c>
      <c r="Q75" s="6">
        <f>HYPERLINK("https://fin.land.naver.com/articles/2646730962", "매물Link")</f>
        <v/>
      </c>
      <c r="R75" s="6">
        <f>HYPERLINK("https://map.naver.com/p/search/세종특별자치시 나성동 829", "지도Link")</f>
        <v/>
      </c>
      <c r="S75" s="6">
        <f>HYPERLINK("http://www.eum.go.kr/web/ar/lu/luLandDet.jsp?pnu=3611010700108290000&amp;isNoScr=script&amp;mode=search", "토지이음")</f>
        <v/>
      </c>
      <c r="T75" s="3" t="inlineStr">
        <is>
          <t>동행사무소</t>
        </is>
      </c>
      <c r="U75" s="3" t="n">
        <v>1</v>
      </c>
      <c r="V75" s="3" t="inlineStr">
        <is>
          <t>공동주택 주민공동시설</t>
        </is>
      </c>
      <c r="W75" s="4" t="n">
        <v>199</v>
      </c>
      <c r="X75" s="3" t="inlineStr">
        <is>
          <t>철근콘크리트구조</t>
        </is>
      </c>
      <c r="Y75" s="3" t="inlineStr">
        <is>
          <t>공동주택</t>
        </is>
      </c>
      <c r="Z75" s="3" t="inlineStr">
        <is>
          <t>-m</t>
        </is>
      </c>
      <c r="AA75" s="3" t="inlineStr">
        <is>
          <t>2021-08-20</t>
        </is>
      </c>
    </row>
    <row r="76">
      <c r="A76" s="3" t="inlineStr">
        <is>
          <t>세종특별자치시 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HYPERLINK("https://map.naver.com/p/search/세종특별자치시 나성동 829", "지도Link")</f>
        <v/>
      </c>
      <c r="S76" s="6">
        <f>HYPERLINK("http://www.eum.go.kr/web/ar/lu/luLandDet.jsp?pnu=3611010700108290000&amp;isNoScr=script&amp;mode=search", "토지이음")</f>
        <v/>
      </c>
      <c r="T76" s="3" t="inlineStr">
        <is>
          <t>문광</t>
        </is>
      </c>
      <c r="U76" s="3" t="n">
        <v>1</v>
      </c>
      <c r="V76" s="3" t="inlineStr">
        <is>
          <t>공동주택 전기,발전기실</t>
        </is>
      </c>
      <c r="W76" s="4" t="n">
        <v>294</v>
      </c>
      <c r="X76" s="3" t="inlineStr">
        <is>
          <t>철근콘크리트구조</t>
        </is>
      </c>
      <c r="Y76" s="3" t="inlineStr">
        <is>
          <t>공동주택</t>
        </is>
      </c>
      <c r="Z76" s="3" t="inlineStr">
        <is>
          <t>-m</t>
        </is>
      </c>
      <c r="AA76" s="3" t="inlineStr">
        <is>
          <t>2021-08-20</t>
        </is>
      </c>
    </row>
    <row r="77">
      <c r="A77" s="3" t="inlineStr">
        <is>
          <t>세종특별자치시 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HYPERLINK("https://map.naver.com/p/search/세종특별자치시 나성동 829", "지도Link")</f>
        <v/>
      </c>
      <c r="S77" s="6">
        <f>HYPERLINK("http://www.eum.go.kr/web/ar/lu/luLandDet.jsp?pnu=3611010700108290000&amp;isNoScr=script&amp;mode=search", "토지이음")</f>
        <v/>
      </c>
      <c r="T77" s="3" t="inlineStr">
        <is>
          <t>시티</t>
        </is>
      </c>
      <c r="U77" s="3" t="n">
        <v>1</v>
      </c>
      <c r="V77" s="3" t="inlineStr">
        <is>
          <t>801</t>
        </is>
      </c>
      <c r="W77" s="4" t="n">
        <v>358</v>
      </c>
      <c r="X77" s="3" t="inlineStr">
        <is>
          <t>철근콘크리트구조</t>
        </is>
      </c>
      <c r="Y77" s="3" t="inlineStr">
        <is>
          <t>제2종근린생활시설</t>
        </is>
      </c>
      <c r="Z77" s="3" t="inlineStr">
        <is>
          <t>-m</t>
        </is>
      </c>
      <c r="AA77" s="3" t="inlineStr">
        <is>
          <t>2021-08-20</t>
        </is>
      </c>
    </row>
    <row r="78">
      <c r="A78" s="3" t="inlineStr">
        <is>
          <t>세종특별자치시 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HYPERLINK("https://map.naver.com/p/search/세종특별자치시 나성동 829", "지도Link")</f>
        <v/>
      </c>
      <c r="S78" s="6">
        <f>HYPERLINK("http://www.eum.go.kr/web/ar/lu/luLandDet.jsp?pnu=3611010700108290000&amp;isNoScr=script&amp;mode=search", "토지이음")</f>
        <v/>
      </c>
      <c r="T78" s="3" t="inlineStr">
        <is>
          <t>청주합동</t>
        </is>
      </c>
      <c r="U78" s="3" t="n">
        <v>1</v>
      </c>
      <c r="V78" s="3" t="inlineStr">
        <is>
          <t>전망공간 기계실</t>
        </is>
      </c>
      <c r="W78" s="4" t="n">
        <v>495</v>
      </c>
      <c r="X78" s="3" t="inlineStr">
        <is>
          <t>철근콘크리트구조</t>
        </is>
      </c>
      <c r="Y78" s="3" t="inlineStr">
        <is>
          <t>제2종근린생활시설</t>
        </is>
      </c>
      <c r="Z78" s="3" t="inlineStr">
        <is>
          <t>-m</t>
        </is>
      </c>
      <c r="AA78" s="3" t="inlineStr">
        <is>
          <t>2021-08-20</t>
        </is>
      </c>
    </row>
    <row r="79">
      <c r="A79" s="3" t="inlineStr">
        <is>
          <t>세종특별자치시 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HYPERLINK("https://map.naver.com/p/search/세종특별자치시 나성동 829", "지도Link")</f>
        <v/>
      </c>
      <c r="S79" s="6">
        <f>HYPERLINK("http://www.eum.go.kr/web/ar/lu/luLandDet.jsp?pnu=3611010700108290000&amp;isNoScr=script&amp;mode=search", "토지이음")</f>
        <v/>
      </c>
      <c r="T79" s="3" t="inlineStr">
        <is>
          <t>바로</t>
        </is>
      </c>
      <c r="U79" s="3" t="n">
        <v>1</v>
      </c>
      <c r="V79" s="3" t="inlineStr">
        <is>
          <t>공동주택 주민공동시설</t>
        </is>
      </c>
      <c r="W79" s="4" t="n">
        <v>196</v>
      </c>
      <c r="X79" s="3" t="inlineStr">
        <is>
          <t>철근콘크리트구조</t>
        </is>
      </c>
      <c r="Y79" s="3" t="inlineStr">
        <is>
          <t>공동주택</t>
        </is>
      </c>
      <c r="Z79" s="3" t="inlineStr">
        <is>
          <t>-m</t>
        </is>
      </c>
      <c r="AA79" s="3" t="inlineStr">
        <is>
          <t>2021-08-20</t>
        </is>
      </c>
    </row>
    <row r="80">
      <c r="A80" s="3" t="inlineStr">
        <is>
          <t>세종특별자치시 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HYPERLINK("https://map.naver.com/p/search/세종특별자치시 나성동 829", "지도Link")</f>
        <v/>
      </c>
      <c r="S80" s="6">
        <f>HYPERLINK("http://www.eum.go.kr/web/ar/lu/luLandDet.jsp?pnu=3611010700108290000&amp;isNoScr=script&amp;mode=search", "토지이음")</f>
        <v/>
      </c>
      <c r="T80" s="3" t="inlineStr">
        <is>
          <t>바로</t>
        </is>
      </c>
      <c r="U80" s="3" t="n">
        <v>1</v>
      </c>
      <c r="V80" s="3" t="inlineStr">
        <is>
          <t>801</t>
        </is>
      </c>
      <c r="W80" s="4" t="n">
        <v>330</v>
      </c>
      <c r="X80" s="3" t="inlineStr">
        <is>
          <t>철근콘크리트구조</t>
        </is>
      </c>
      <c r="Y80" s="3" t="inlineStr">
        <is>
          <t>제2종근린생활시설</t>
        </is>
      </c>
      <c r="Z80" s="3" t="inlineStr">
        <is>
          <t>-m</t>
        </is>
      </c>
      <c r="AA80" s="3" t="inlineStr">
        <is>
          <t>2021-08-20</t>
        </is>
      </c>
    </row>
    <row r="81">
      <c r="A81" s="3" t="inlineStr">
        <is>
          <t>세종특별자치시 나성동 829</t>
        </is>
      </c>
      <c r="B81" s="3" t="inlineStr">
        <is>
          <t>중심상업지역</t>
        </is>
      </c>
      <c r="C81" s="3" t="inlineStr">
        <is>
          <t>대</t>
        </is>
      </c>
      <c r="D81" s="3" t="inlineStr">
        <is>
          <t>공장</t>
        </is>
      </c>
      <c r="E81" s="3" t="inlineStr">
        <is>
          <t>월세</t>
        </is>
      </c>
      <c r="F81" s="4" t="n">
        <v>4000</v>
      </c>
      <c r="G81" s="4" t="n">
        <v>400</v>
      </c>
      <c r="H81" s="4" t="n">
        <v>2375</v>
      </c>
      <c r="I81" s="4" t="n">
        <v>718</v>
      </c>
      <c r="J81" s="5" t="n">
        <v>0.6</v>
      </c>
      <c r="K81" s="4" t="n">
        <v>396</v>
      </c>
      <c r="L81" s="4" t="n">
        <v>120</v>
      </c>
      <c r="M81" s="5" t="n">
        <v>3.3</v>
      </c>
      <c r="N81" s="3" t="inlineStr">
        <is>
          <t>1</t>
        </is>
      </c>
      <c r="O81" s="3" t="inlineStr">
        <is>
          <t>-</t>
        </is>
      </c>
      <c r="P81" s="3" t="inlineStr">
        <is>
          <t>청주역로 4차선대로변 인근 신축 소형 임대</t>
        </is>
      </c>
      <c r="Q81" s="6">
        <f>HYPERLINK("https://fin.land.naver.com/articles/2646669540", "매물Link")</f>
        <v/>
      </c>
      <c r="R81" s="6">
        <f>HYPERLINK("https://map.naver.com/p/search/세종특별자치시 나성동 829", "지도Link")</f>
        <v/>
      </c>
      <c r="S81" s="6">
        <f>HYPERLINK("http://www.eum.go.kr/web/ar/lu/luLandDet.jsp?pnu=3611010700108290000&amp;isNoScr=script&amp;mode=search", "토지이음")</f>
        <v/>
      </c>
      <c r="T81" s="3" t="inlineStr">
        <is>
          <t>더원</t>
        </is>
      </c>
      <c r="U81" s="3" t="n">
        <v>1</v>
      </c>
      <c r="V81" s="3" t="inlineStr">
        <is>
          <t>전망공간 기계실</t>
        </is>
      </c>
      <c r="W81" s="4" t="n">
        <v>396</v>
      </c>
      <c r="X81" s="3" t="inlineStr">
        <is>
          <t>철근콘크리트구조</t>
        </is>
      </c>
      <c r="Y81" s="3" t="inlineStr">
        <is>
          <t>제2종근린생활시설</t>
        </is>
      </c>
      <c r="Z81" s="3" t="inlineStr">
        <is>
          <t>-m</t>
        </is>
      </c>
      <c r="AA81" s="3" t="inlineStr">
        <is>
          <t>2021-08-20</t>
        </is>
      </c>
    </row>
    <row r="82">
      <c r="A82" s="3" t="inlineStr">
        <is>
          <t>세종특별자치시 나성동 829</t>
        </is>
      </c>
      <c r="B82" s="3" t="inlineStr">
        <is>
          <t>중심상업지역</t>
        </is>
      </c>
      <c r="C82" s="3" t="inlineStr">
        <is>
          <t>대</t>
        </is>
      </c>
      <c r="D82" s="3" t="inlineStr">
        <is>
          <t>창고</t>
        </is>
      </c>
      <c r="E82" s="3" t="inlineStr">
        <is>
          <t>월세</t>
        </is>
      </c>
      <c r="F82" s="4" t="n">
        <v>700</v>
      </c>
      <c r="G82" s="4" t="n">
        <v>95</v>
      </c>
      <c r="H82" s="4" t="n">
        <v>1221</v>
      </c>
      <c r="I82" s="4" t="n">
        <v>369</v>
      </c>
      <c r="J82" s="5" t="n">
        <v>0.3</v>
      </c>
      <c r="K82" s="4" t="n">
        <v>166</v>
      </c>
      <c r="L82" s="4" t="n">
        <v>50</v>
      </c>
      <c r="M82" s="5" t="n">
        <v>1.9</v>
      </c>
      <c r="N82" s="3" t="inlineStr">
        <is>
          <t>1</t>
        </is>
      </c>
      <c r="O82" s="3" t="inlineStr">
        <is>
          <t>-</t>
        </is>
      </c>
      <c r="P82" s="3" t="inlineStr">
        <is>
          <t>청주역인근,창고</t>
        </is>
      </c>
      <c r="Q82" s="6">
        <f>HYPERLINK("https://fin.land.naver.com/articles/2646724954", "매물Link")</f>
        <v/>
      </c>
      <c r="R82" s="6">
        <f>HYPERLINK("https://map.naver.com/p/search/세종특별자치시 나성동 829", "지도Link")</f>
        <v/>
      </c>
      <c r="S82" s="6">
        <f>HYPERLINK("http://www.eum.go.kr/web/ar/lu/luLandDet.jsp?pnu=3611010700108290000&amp;isNoScr=script&amp;mode=search", "토지이음")</f>
        <v/>
      </c>
      <c r="T82" s="3" t="inlineStr">
        <is>
          <t>LBA리치아노합동사무소</t>
        </is>
      </c>
      <c r="U82" s="3" t="n">
        <v>1</v>
      </c>
      <c r="V82" s="3" t="inlineStr">
        <is>
          <t>공동주택 관리사무소</t>
        </is>
      </c>
      <c r="W82" s="4" t="n">
        <v>166</v>
      </c>
      <c r="X82" s="3" t="inlineStr">
        <is>
          <t>철근콘크리트구조</t>
        </is>
      </c>
      <c r="Y82" s="3" t="inlineStr">
        <is>
          <t>공동주택</t>
        </is>
      </c>
      <c r="Z82" s="3" t="inlineStr">
        <is>
          <t>-m</t>
        </is>
      </c>
      <c r="AA82" s="3" t="inlineStr">
        <is>
          <t>2021-08-20</t>
        </is>
      </c>
    </row>
    <row r="83">
      <c r="A83" s="3" t="inlineStr">
        <is>
          <t>세종특별자치시 나성동 829</t>
        </is>
      </c>
      <c r="B83" s="3" t="inlineStr">
        <is>
          <t>중심상업지역</t>
        </is>
      </c>
      <c r="C83" s="3" t="inlineStr">
        <is>
          <t>대</t>
        </is>
      </c>
      <c r="D83" s="3" t="inlineStr">
        <is>
          <t>창고</t>
        </is>
      </c>
      <c r="E83" s="3" t="inlineStr">
        <is>
          <t>월세</t>
        </is>
      </c>
      <c r="F83" s="4" t="n">
        <v>1000</v>
      </c>
      <c r="G83" s="4" t="n">
        <v>150</v>
      </c>
      <c r="H83" s="4" t="n">
        <v>1496</v>
      </c>
      <c r="I83" s="4" t="n">
        <v>453</v>
      </c>
      <c r="J83" s="5" t="n">
        <v>0.3</v>
      </c>
      <c r="K83" s="4" t="n">
        <v>297</v>
      </c>
      <c r="L83" s="4" t="n">
        <v>90</v>
      </c>
      <c r="M83" s="5" t="n">
        <v>1.7</v>
      </c>
      <c r="N83" s="3" t="inlineStr">
        <is>
          <t>1</t>
        </is>
      </c>
      <c r="O83" s="3" t="inlineStr">
        <is>
          <t>-</t>
        </is>
      </c>
      <c r="P83" s="3" t="inlineStr">
        <is>
          <t>청주역인근,창고,2층사무실있음</t>
        </is>
      </c>
      <c r="Q83" s="6">
        <f>HYPERLINK("https://fin.land.naver.com/articles/2649532930", "매물Link")</f>
        <v/>
      </c>
      <c r="R83" s="6">
        <f>HYPERLINK("https://map.naver.com/p/search/세종특별자치시 나성동 829", "지도Link")</f>
        <v/>
      </c>
      <c r="S83" s="6">
        <f>HYPERLINK("http://www.eum.go.kr/web/ar/lu/luLandDet.jsp?pnu=3611010700108290000&amp;isNoScr=script&amp;mode=search", "토지이음")</f>
        <v/>
      </c>
      <c r="T83" s="3" t="inlineStr">
        <is>
          <t>LBA리치아노합동사무소</t>
        </is>
      </c>
      <c r="U83" s="3" t="n">
        <v>1</v>
      </c>
      <c r="V83" s="3" t="inlineStr">
        <is>
          <t>공동주택 전기,발전기실</t>
        </is>
      </c>
      <c r="W83" s="4" t="n">
        <v>297</v>
      </c>
      <c r="X83" s="3" t="inlineStr">
        <is>
          <t>철근콘크리트구조</t>
        </is>
      </c>
      <c r="Y83" s="3" t="inlineStr">
        <is>
          <t>공동주택</t>
        </is>
      </c>
      <c r="Z83" s="3" t="inlineStr">
        <is>
          <t>-m</t>
        </is>
      </c>
      <c r="AA83" s="3" t="inlineStr">
        <is>
          <t>2021-08-20</t>
        </is>
      </c>
    </row>
    <row r="84">
      <c r="A84" s="3" t="inlineStr">
        <is>
          <t>세종특별자치시 나성동 829</t>
        </is>
      </c>
      <c r="B84" s="3" t="inlineStr">
        <is>
          <t>중심상업지역</t>
        </is>
      </c>
      <c r="C84" s="3" t="inlineStr">
        <is>
          <t>대</t>
        </is>
      </c>
      <c r="D84" s="3" t="inlineStr">
        <is>
          <t>공장</t>
        </is>
      </c>
      <c r="E84" s="3" t="inlineStr">
        <is>
          <t>월세</t>
        </is>
      </c>
      <c r="F84" s="4" t="n">
        <v>500</v>
      </c>
      <c r="G84" s="4" t="n">
        <v>150</v>
      </c>
      <c r="H84" s="4" t="n">
        <v>8336</v>
      </c>
      <c r="I84" s="4" t="n">
        <v>2522</v>
      </c>
      <c r="J84" s="5" t="n">
        <v>0.1</v>
      </c>
      <c r="K84" s="4" t="n">
        <v>231</v>
      </c>
      <c r="L84" s="4" t="n">
        <v>70</v>
      </c>
      <c r="M84" s="5" t="n">
        <v>2.1</v>
      </c>
      <c r="N84" s="3" t="inlineStr">
        <is>
          <t>1</t>
        </is>
      </c>
      <c r="O84" s="3" t="inlineStr">
        <is>
          <t>-</t>
        </is>
      </c>
      <c r="P84" s="3" t="inlineStr">
        <is>
          <t>흥덕구 봉명동과 송절동사이 송절중학교 옆에 위치한 신축건물</t>
        </is>
      </c>
      <c r="Q84" s="6">
        <f>HYPERLINK("https://fin.land.naver.com/articles/2647078448", "매물Link")</f>
        <v/>
      </c>
      <c r="R84" s="6">
        <f>HYPERLINK("https://map.naver.com/p/search/세종특별자치시 나성동 829", "지도Link")</f>
        <v/>
      </c>
      <c r="S84" s="6">
        <f>HYPERLINK("http://www.eum.go.kr/web/ar/lu/luLandDet.jsp?pnu=3611010700108290000&amp;isNoScr=script&amp;mode=search", "토지이음")</f>
        <v/>
      </c>
      <c r="T84" s="3" t="inlineStr">
        <is>
          <t>지구촌무소</t>
        </is>
      </c>
      <c r="U84" s="3" t="n">
        <v>1</v>
      </c>
      <c r="V84" s="3" t="inlineStr">
        <is>
          <t>공동주택 보육시설</t>
        </is>
      </c>
      <c r="W84" s="4" t="n">
        <v>231</v>
      </c>
      <c r="X84" s="3" t="inlineStr">
        <is>
          <t>철근콘크리트구조</t>
        </is>
      </c>
      <c r="Y84" s="3" t="inlineStr">
        <is>
          <t>공동주택</t>
        </is>
      </c>
      <c r="Z84" s="3" t="inlineStr">
        <is>
          <t>-m</t>
        </is>
      </c>
      <c r="AA84" s="3" t="inlineStr">
        <is>
          <t>2021-08-20</t>
        </is>
      </c>
    </row>
    <row r="85">
      <c r="A85" s="3" t="inlineStr">
        <is>
          <t>세종특별자치시 나성동 829</t>
        </is>
      </c>
      <c r="B85" s="3" t="inlineStr">
        <is>
          <t>중심상업지역</t>
        </is>
      </c>
      <c r="C85" s="3" t="inlineStr">
        <is>
          <t>대</t>
        </is>
      </c>
      <c r="D85" s="3" t="inlineStr">
        <is>
          <t>기타</t>
        </is>
      </c>
      <c r="E85" s="3" t="inlineStr">
        <is>
          <t>매매</t>
        </is>
      </c>
      <c r="F85" s="4" t="n">
        <v>120000</v>
      </c>
      <c r="G85" s="4" t="n">
        <v>0</v>
      </c>
      <c r="H85" s="4" t="n">
        <v>2228</v>
      </c>
      <c r="I85" s="4" t="n">
        <v>674</v>
      </c>
      <c r="J85" s="5" t="n">
        <v>178</v>
      </c>
      <c r="K85" s="4" t="n">
        <v>429</v>
      </c>
      <c r="L85" s="4" t="n">
        <v>130</v>
      </c>
      <c r="M85" s="5" t="n">
        <v>923.1</v>
      </c>
      <c r="N85" s="3" t="inlineStr">
        <is>
          <t>1</t>
        </is>
      </c>
      <c r="O85" s="3" t="inlineStr">
        <is>
          <t>-</t>
        </is>
      </c>
      <c r="P85" s="3" t="inlineStr">
        <is>
          <t>마당 넓은 준 신축 자원순환시설 매매 폐기물,재활용 업체 추천</t>
        </is>
      </c>
      <c r="Q85" s="6">
        <f>HYPERLINK("https://fin.land.naver.com/articles/2648166118", "매물Link")</f>
        <v/>
      </c>
      <c r="R85" s="6">
        <f>HYPERLINK("https://map.naver.com/p/search/세종특별자치시 나성동 829", "지도Link")</f>
        <v/>
      </c>
      <c r="S85" s="6">
        <f>HYPERLINK("http://www.eum.go.kr/web/ar/lu/luLandDet.jsp?pnu=3611010700108290000&amp;isNoScr=script&amp;mode=search", "토지이음")</f>
        <v/>
      </c>
      <c r="T85" s="3" t="inlineStr">
        <is>
          <t>삼익</t>
        </is>
      </c>
      <c r="U85" s="3" t="n">
        <v>1</v>
      </c>
      <c r="V85" s="3" t="inlineStr">
        <is>
          <t>전망공간 기계실</t>
        </is>
      </c>
      <c r="W85" s="4" t="n">
        <v>429</v>
      </c>
      <c r="X85" s="3" t="inlineStr">
        <is>
          <t>철근콘크리트구조</t>
        </is>
      </c>
      <c r="Y85" s="3" t="inlineStr">
        <is>
          <t>제2종근린생활시설</t>
        </is>
      </c>
      <c r="Z85" s="3" t="inlineStr">
        <is>
          <t>-m</t>
        </is>
      </c>
      <c r="AA85" s="3" t="inlineStr">
        <is>
          <t>2021-08-20</t>
        </is>
      </c>
    </row>
    <row r="86">
      <c r="A86" s="3" t="inlineStr">
        <is>
          <t>세종특별자치시 나성동 829</t>
        </is>
      </c>
      <c r="B86" s="3" t="inlineStr">
        <is>
          <t>중심상업지역</t>
        </is>
      </c>
      <c r="C86" s="3" t="inlineStr">
        <is>
          <t>대</t>
        </is>
      </c>
      <c r="D86" s="3" t="inlineStr">
        <is>
          <t>창고</t>
        </is>
      </c>
      <c r="E86" s="3" t="inlineStr">
        <is>
          <t>월세</t>
        </is>
      </c>
      <c r="F86" s="4" t="n">
        <v>10000</v>
      </c>
      <c r="G86" s="4" t="n">
        <v>850</v>
      </c>
      <c r="H86" s="4" t="n">
        <v>4490</v>
      </c>
      <c r="I86" s="4" t="n">
        <v>1358</v>
      </c>
      <c r="J86" s="5" t="n">
        <v>0.6</v>
      </c>
      <c r="K86" s="4" t="n">
        <v>837</v>
      </c>
      <c r="L86" s="4" t="n">
        <v>253</v>
      </c>
      <c r="M86" s="5" t="n">
        <v>3.4</v>
      </c>
      <c r="N86" s="3" t="inlineStr">
        <is>
          <t>1</t>
        </is>
      </c>
      <c r="O86" s="3" t="inlineStr">
        <is>
          <t>-</t>
        </is>
      </c>
      <c r="P86" s="3" t="inlineStr">
        <is>
          <t>대형 창고 임대 넓은 창고 공간  압도적인 대지면적  여유로운 주차</t>
        </is>
      </c>
      <c r="Q86" s="6">
        <f>HYPERLINK("https://fin.land.naver.com/articles/2648251738", "매물Link")</f>
        <v/>
      </c>
      <c r="R86" s="6">
        <f>HYPERLINK("https://map.naver.com/p/search/세종특별자치시 나성동 829", "지도Link")</f>
        <v/>
      </c>
      <c r="S86" s="6">
        <f>HYPERLINK("http://www.eum.go.kr/web/ar/lu/luLandDet.jsp?pnu=3611010700108290000&amp;isNoScr=script&amp;mode=search", "토지이음")</f>
        <v/>
      </c>
      <c r="T86" s="3" t="inlineStr">
        <is>
          <t>대소</t>
        </is>
      </c>
      <c r="U86" s="3" t="n">
        <v>1</v>
      </c>
      <c r="V86" s="3" t="inlineStr">
        <is>
          <t>공동주택 휘트니스</t>
        </is>
      </c>
      <c r="W86" s="4" t="n">
        <v>837</v>
      </c>
      <c r="X86" s="3" t="inlineStr">
        <is>
          <t>철근콘크리트구조</t>
        </is>
      </c>
      <c r="Y86" s="3" t="inlineStr">
        <is>
          <t>공동주택</t>
        </is>
      </c>
      <c r="Z86" s="3" t="inlineStr">
        <is>
          <t>-m</t>
        </is>
      </c>
      <c r="AA86" s="3" t="inlineStr">
        <is>
          <t>2021-08-20</t>
        </is>
      </c>
    </row>
    <row r="87">
      <c r="A87" s="3" t="inlineStr">
        <is>
          <t>세종특별자치시 나성동 829</t>
        </is>
      </c>
      <c r="B87" s="3" t="inlineStr">
        <is>
          <t>중심상업지역</t>
        </is>
      </c>
      <c r="C87" s="3" t="inlineStr">
        <is>
          <t>대</t>
        </is>
      </c>
      <c r="D87" s="3" t="inlineStr">
        <is>
          <t>공장</t>
        </is>
      </c>
      <c r="E87" s="3" t="inlineStr">
        <is>
          <t>매매</t>
        </is>
      </c>
      <c r="F87" s="4" t="n">
        <v>3000000</v>
      </c>
      <c r="G87" s="4" t="n">
        <v>0</v>
      </c>
      <c r="H87" s="4" t="n">
        <v>18512</v>
      </c>
      <c r="I87" s="4" t="n">
        <v>5600</v>
      </c>
      <c r="J87" s="5" t="n">
        <v>535.7</v>
      </c>
      <c r="K87" s="4" t="n">
        <v>7626</v>
      </c>
      <c r="L87" s="4" t="n">
        <v>2307</v>
      </c>
      <c r="M87" s="5" t="n">
        <v>1300.4</v>
      </c>
      <c r="N87" s="3" t="inlineStr">
        <is>
          <t>1</t>
        </is>
      </c>
      <c r="O87" s="3" t="inlineStr">
        <is>
          <t>-</t>
        </is>
      </c>
      <c r="P87" s="3" t="inlineStr">
        <is>
          <t>남청주 IC에서 가까워 대형차 진출입 용이, 대형공장층고 높고 깨끗함</t>
        </is>
      </c>
      <c r="Q87" s="6">
        <f>HYPERLINK("https://fin.land.naver.com/articles/2649085211", "매물Link")</f>
        <v/>
      </c>
      <c r="R87" s="6">
        <f>HYPERLINK("https://map.naver.com/p/search/세종특별자치시 나성동 829", "지도Link")</f>
        <v/>
      </c>
      <c r="S87" s="6">
        <f>HYPERLINK("http://www.eum.go.kr/web/ar/lu/luLandDet.jsp?pnu=3611010700108290000&amp;isNoScr=script&amp;mode=search", "토지이음")</f>
        <v/>
      </c>
      <c r="T87" s="3" t="inlineStr">
        <is>
          <t>(주)미르</t>
        </is>
      </c>
      <c r="U87" s="3" t="n">
        <v>1</v>
      </c>
      <c r="V87" s="3" t="inlineStr">
        <is>
          <t>802</t>
        </is>
      </c>
      <c r="W87" s="4" t="n">
        <v>7626</v>
      </c>
      <c r="X87" s="3" t="inlineStr">
        <is>
          <t>철근콘크리트구조</t>
        </is>
      </c>
      <c r="Y87" s="3" t="inlineStr">
        <is>
          <t>제2종근린생활시설</t>
        </is>
      </c>
      <c r="Z87" s="3" t="inlineStr">
        <is>
          <t>-m</t>
        </is>
      </c>
      <c r="AA87" s="3" t="inlineStr">
        <is>
          <t>2021-08-20</t>
        </is>
      </c>
    </row>
    <row r="88">
      <c r="A88" s="3" t="inlineStr">
        <is>
          <t>세종특별자치시 나성동 829</t>
        </is>
      </c>
      <c r="B88" s="3" t="inlineStr">
        <is>
          <t>중심상업지역</t>
        </is>
      </c>
      <c r="C88" s="3" t="inlineStr">
        <is>
          <t>대</t>
        </is>
      </c>
      <c r="D88" s="3" t="inlineStr">
        <is>
          <t>공장</t>
        </is>
      </c>
      <c r="E88" s="3" t="inlineStr">
        <is>
          <t>매매</t>
        </is>
      </c>
      <c r="F88" s="4" t="n">
        <v>210000</v>
      </c>
      <c r="G88" s="4" t="n">
        <v>0</v>
      </c>
      <c r="H88" s="4" t="n">
        <v>3610</v>
      </c>
      <c r="I88" s="4" t="n">
        <v>1092</v>
      </c>
      <c r="J88" s="5" t="n">
        <v>192.3</v>
      </c>
      <c r="K88" s="4" t="n">
        <v>1500</v>
      </c>
      <c r="L88" s="4" t="n">
        <v>454</v>
      </c>
      <c r="M88" s="5" t="n">
        <v>462.6</v>
      </c>
      <c r="N88" s="3" t="inlineStr">
        <is>
          <t>1</t>
        </is>
      </c>
      <c r="O88" s="3" t="inlineStr">
        <is>
          <t>-</t>
        </is>
      </c>
      <c r="P88" s="3" t="inlineStr">
        <is>
          <t>남청주IC에서 가까워 대형차 진출입이 편리한 곳,왕복2차선 도로변</t>
        </is>
      </c>
      <c r="Q88" s="6">
        <f>HYPERLINK("https://fin.land.naver.com/articles/2649271980", "매물Link")</f>
        <v/>
      </c>
      <c r="R88" s="6">
        <f>HYPERLINK("https://map.naver.com/p/search/세종특별자치시 나성동 829", "지도Link")</f>
        <v/>
      </c>
      <c r="S88" s="6">
        <f>HYPERLINK("http://www.eum.go.kr/web/ar/lu/luLandDet.jsp?pnu=3611010700108290000&amp;isNoScr=script&amp;mode=search", "토지이음")</f>
        <v/>
      </c>
      <c r="T88" s="3" t="inlineStr">
        <is>
          <t>(주)미르</t>
        </is>
      </c>
      <c r="U88" s="3" t="n">
        <v>1</v>
      </c>
      <c r="V88" s="3" t="inlineStr">
        <is>
          <t>605</t>
        </is>
      </c>
      <c r="W88" s="4" t="n">
        <v>1500</v>
      </c>
      <c r="X88" s="3" t="inlineStr">
        <is>
          <t>철근콘크리트구조</t>
        </is>
      </c>
      <c r="Y88" s="3" t="inlineStr">
        <is>
          <t>공동주택</t>
        </is>
      </c>
      <c r="Z88" s="3" t="inlineStr">
        <is>
          <t>45.30m</t>
        </is>
      </c>
      <c r="AA88" s="3" t="inlineStr">
        <is>
          <t>2021-08-20</t>
        </is>
      </c>
    </row>
    <row r="89">
      <c r="A89" s="3" t="inlineStr">
        <is>
          <t>세종특별자치시 나성동 829</t>
        </is>
      </c>
      <c r="B89" s="3" t="inlineStr">
        <is>
          <t>중심상업지역</t>
        </is>
      </c>
      <c r="C89" s="3" t="inlineStr">
        <is>
          <t>대</t>
        </is>
      </c>
      <c r="D89" s="3" t="inlineStr">
        <is>
          <t>공장</t>
        </is>
      </c>
      <c r="E89" s="3" t="inlineStr">
        <is>
          <t>매매</t>
        </is>
      </c>
      <c r="F89" s="4" t="n">
        <v>1800000</v>
      </c>
      <c r="G89" s="4" t="n">
        <v>0</v>
      </c>
      <c r="H89" s="4" t="n">
        <v>26712</v>
      </c>
      <c r="I89" s="4" t="n">
        <v>8080</v>
      </c>
      <c r="J89" s="5" t="n">
        <v>222.8</v>
      </c>
      <c r="K89" s="4" t="n">
        <v>6717</v>
      </c>
      <c r="L89" s="4" t="n">
        <v>2032</v>
      </c>
      <c r="M89" s="5" t="n">
        <v>885.8</v>
      </c>
      <c r="N89" s="3" t="inlineStr">
        <is>
          <t>4</t>
        </is>
      </c>
      <c r="O89" s="3" t="inlineStr">
        <is>
          <t>-</t>
        </is>
      </c>
      <c r="P89" s="3" t="inlineStr">
        <is>
          <t>남청주ic 5분거리 호이스트 설치된 대형 공장 매매</t>
        </is>
      </c>
      <c r="Q89" s="6">
        <f>HYPERLINK("https://fin.land.naver.com/articles/2649479706", "매물Link")</f>
        <v/>
      </c>
      <c r="R89" s="6">
        <f>HYPERLINK("https://map.naver.com/p/search/세종특별자치시 나성동 829", "지도Link")</f>
        <v/>
      </c>
      <c r="S89" s="6">
        <f>HYPERLINK("http://www.eum.go.kr/web/ar/lu/luLandDet.jsp?pnu=3611010700108290000&amp;isNoScr=script&amp;mode=search", "토지이음")</f>
        <v/>
      </c>
      <c r="T89" s="3" t="inlineStr">
        <is>
          <t>더원</t>
        </is>
      </c>
      <c r="U89" s="3" t="n">
        <v>1</v>
      </c>
      <c r="V89" s="3" t="inlineStr">
        <is>
          <t>802</t>
        </is>
      </c>
      <c r="W89" s="4" t="n">
        <v>6717</v>
      </c>
      <c r="X89" s="3" t="inlineStr">
        <is>
          <t>철근콘크리트구조</t>
        </is>
      </c>
      <c r="Y89" s="3" t="inlineStr">
        <is>
          <t>제2종근린생활시설</t>
        </is>
      </c>
      <c r="Z89" s="3" t="inlineStr">
        <is>
          <t>-m</t>
        </is>
      </c>
      <c r="AA89" s="3" t="inlineStr">
        <is>
          <t>2021-08-20</t>
        </is>
      </c>
    </row>
    <row r="90">
      <c r="A90" s="3" t="inlineStr">
        <is>
          <t>세종특별자치시 나성동 829</t>
        </is>
      </c>
      <c r="B90" s="3" t="inlineStr">
        <is>
          <t>중심상업지역</t>
        </is>
      </c>
      <c r="C90" s="3" t="inlineStr">
        <is>
          <t>대</t>
        </is>
      </c>
      <c r="D90" s="3" t="inlineStr">
        <is>
          <t>창고</t>
        </is>
      </c>
      <c r="E90" s="3" t="inlineStr">
        <is>
          <t>월세</t>
        </is>
      </c>
      <c r="F90" s="4" t="n">
        <v>10000</v>
      </c>
      <c r="G90" s="4" t="n">
        <v>875</v>
      </c>
      <c r="H90" s="4" t="n">
        <v>6800</v>
      </c>
      <c r="I90" s="4" t="n">
        <v>2057</v>
      </c>
      <c r="J90" s="5" t="n">
        <v>0.4</v>
      </c>
      <c r="K90" s="4" t="n">
        <v>1157</v>
      </c>
      <c r="L90" s="4" t="n">
        <v>350</v>
      </c>
      <c r="M90" s="5" t="n">
        <v>2.5</v>
      </c>
      <c r="N90" s="3" t="inlineStr">
        <is>
          <t>1</t>
        </is>
      </c>
      <c r="O90" s="3" t="inlineStr">
        <is>
          <t>-</t>
        </is>
      </c>
      <c r="P90" s="3" t="inlineStr">
        <is>
          <t>남청주IC 인근  대형창고 임대   층고높음  빠른 입주 가능</t>
        </is>
      </c>
      <c r="Q90" s="6">
        <f>HYPERLINK("https://fin.land.naver.com/articles/2649606866", "매물Link")</f>
        <v/>
      </c>
      <c r="R90" s="6">
        <f>HYPERLINK("https://map.naver.com/p/search/세종특별자치시 나성동 829", "지도Link")</f>
        <v/>
      </c>
      <c r="S90" s="6">
        <f>HYPERLINK("http://www.eum.go.kr/web/ar/lu/luLandDet.jsp?pnu=3611010700108290000&amp;isNoScr=script&amp;mode=search", "토지이음")</f>
        <v/>
      </c>
      <c r="T90" s="3" t="inlineStr">
        <is>
          <t>삼익</t>
        </is>
      </c>
      <c r="U90" s="3" t="n">
        <v>1</v>
      </c>
      <c r="V90" s="3" t="inlineStr">
        <is>
          <t>605</t>
        </is>
      </c>
      <c r="W90" s="4" t="n">
        <v>1157</v>
      </c>
      <c r="X90" s="3" t="inlineStr">
        <is>
          <t>철근콘크리트구조</t>
        </is>
      </c>
      <c r="Y90" s="3" t="inlineStr">
        <is>
          <t>공동주택</t>
        </is>
      </c>
      <c r="Z90" s="3" t="inlineStr">
        <is>
          <t>45.30m</t>
        </is>
      </c>
      <c r="AA90" s="3" t="inlineStr">
        <is>
          <t>2021-08-20</t>
        </is>
      </c>
    </row>
    <row r="91">
      <c r="A91" s="3" t="inlineStr">
        <is>
          <t>세종특별자치시 나성동 829</t>
        </is>
      </c>
      <c r="B91" s="3" t="inlineStr">
        <is>
          <t>중심상업지역</t>
        </is>
      </c>
      <c r="C91" s="3" t="inlineStr">
        <is>
          <t>대</t>
        </is>
      </c>
      <c r="D91" s="3" t="inlineStr">
        <is>
          <t>공장</t>
        </is>
      </c>
      <c r="E91" s="3" t="inlineStr">
        <is>
          <t>월세</t>
        </is>
      </c>
      <c r="F91" s="4" t="n">
        <v>5000</v>
      </c>
      <c r="G91" s="4" t="n">
        <v>500</v>
      </c>
      <c r="H91" s="4" t="n">
        <v>3481</v>
      </c>
      <c r="I91" s="4" t="n">
        <v>1053</v>
      </c>
      <c r="J91" s="5" t="n">
        <v>0.5</v>
      </c>
      <c r="K91" s="4" t="n">
        <v>787</v>
      </c>
      <c r="L91" s="4" t="n">
        <v>238</v>
      </c>
      <c r="M91" s="5" t="n">
        <v>2.1</v>
      </c>
      <c r="N91" s="3" t="inlineStr">
        <is>
          <t>1</t>
        </is>
      </c>
      <c r="O91" s="3" t="inlineStr">
        <is>
          <t>-</t>
        </is>
      </c>
      <c r="P91" s="3" t="inlineStr">
        <is>
          <t>남청주ic 접근성 좋은 위치의 공장 2차선도로진입</t>
        </is>
      </c>
      <c r="Q91" s="6">
        <f>HYPERLINK("https://fin.land.naver.com/articles/2649677413", "매물Link")</f>
        <v/>
      </c>
      <c r="R91" s="6">
        <f>HYPERLINK("https://map.naver.com/p/search/세종특별자치시 나성동 829", "지도Link")</f>
        <v/>
      </c>
      <c r="S91" s="6">
        <f>HYPERLINK("http://www.eum.go.kr/web/ar/lu/luLandDet.jsp?pnu=3611010700108290000&amp;isNoScr=script&amp;mode=search", "토지이음")</f>
        <v/>
      </c>
      <c r="T91" s="3" t="inlineStr">
        <is>
          <t>더원</t>
        </is>
      </c>
      <c r="U91" s="3" t="n">
        <v>1</v>
      </c>
      <c r="V91" s="3" t="inlineStr">
        <is>
          <t>공동주택 휘트니스</t>
        </is>
      </c>
      <c r="W91" s="4" t="n">
        <v>787</v>
      </c>
      <c r="X91" s="3" t="inlineStr">
        <is>
          <t>철근콘크리트구조</t>
        </is>
      </c>
      <c r="Y91" s="3" t="inlineStr">
        <is>
          <t>공동주택</t>
        </is>
      </c>
      <c r="Z91" s="3" t="inlineStr">
        <is>
          <t>-m</t>
        </is>
      </c>
      <c r="AA91" s="3" t="inlineStr">
        <is>
          <t>2021-08-20</t>
        </is>
      </c>
    </row>
    <row r="92">
      <c r="A92" s="3" t="inlineStr">
        <is>
          <t>세종특별자치시 나성동 829</t>
        </is>
      </c>
      <c r="B92" s="3" t="inlineStr">
        <is>
          <t>중심상업지역</t>
        </is>
      </c>
      <c r="C92" s="3" t="inlineStr">
        <is>
          <t>대</t>
        </is>
      </c>
      <c r="D92" s="3" t="inlineStr">
        <is>
          <t>공장</t>
        </is>
      </c>
      <c r="E92" s="3" t="inlineStr">
        <is>
          <t>매매</t>
        </is>
      </c>
      <c r="F92" s="4" t="n">
        <v>3000000</v>
      </c>
      <c r="G92" s="4" t="n">
        <v>0</v>
      </c>
      <c r="H92" s="4" t="n">
        <v>38660</v>
      </c>
      <c r="I92" s="4" t="n">
        <v>11695</v>
      </c>
      <c r="J92" s="5" t="n">
        <v>256.5</v>
      </c>
      <c r="K92" s="4" t="n">
        <v>20328</v>
      </c>
      <c r="L92" s="4" t="n">
        <v>6149</v>
      </c>
      <c r="M92" s="5" t="n">
        <v>487.9</v>
      </c>
      <c r="N92" s="3" t="inlineStr">
        <is>
          <t>1</t>
        </is>
      </c>
      <c r="O92" s="3" t="inlineStr">
        <is>
          <t>-</t>
        </is>
      </c>
      <c r="P92" s="3" t="inlineStr">
        <is>
          <t>남청주ic 접근성 좋은 위치의 중부권 공장 및 물류창고 최적 투자용추천</t>
        </is>
      </c>
      <c r="Q92" s="6">
        <f>HYPERLINK("https://fin.land.naver.com/articles/2649685488", "매물Link")</f>
        <v/>
      </c>
      <c r="R92" s="6">
        <f>HYPERLINK("https://map.naver.com/p/search/세종특별자치시 나성동 829", "지도Link")</f>
        <v/>
      </c>
      <c r="S92" s="6">
        <f>HYPERLINK("http://www.eum.go.kr/web/ar/lu/luLandDet.jsp?pnu=3611010700108290000&amp;isNoScr=script&amp;mode=search", "토지이음")</f>
        <v/>
      </c>
      <c r="T92" s="3" t="inlineStr">
        <is>
          <t>더원</t>
        </is>
      </c>
      <c r="U92" s="3" t="n">
        <v>1</v>
      </c>
      <c r="V92" s="3" t="inlineStr">
        <is>
          <t>공동주택 지하주차장</t>
        </is>
      </c>
      <c r="W92" s="4" t="n">
        <v>20328</v>
      </c>
      <c r="X92" s="3" t="inlineStr">
        <is>
          <t>철근콘크리트구조</t>
        </is>
      </c>
      <c r="Y92" s="3" t="inlineStr">
        <is>
          <t>공동주택</t>
        </is>
      </c>
      <c r="Z92" s="3" t="inlineStr">
        <is>
          <t>-m</t>
        </is>
      </c>
      <c r="AA92" s="3" t="inlineStr">
        <is>
          <t>2021-08-20</t>
        </is>
      </c>
    </row>
    <row r="93">
      <c r="A93" s="3" t="inlineStr">
        <is>
          <t>세종특별자치시 나성동 829</t>
        </is>
      </c>
      <c r="B93" s="3" t="inlineStr">
        <is>
          <t>중심상업지역</t>
        </is>
      </c>
      <c r="C93" s="3" t="inlineStr">
        <is>
          <t>대</t>
        </is>
      </c>
      <c r="D93" s="3" t="inlineStr">
        <is>
          <t>공장</t>
        </is>
      </c>
      <c r="E93" s="3" t="inlineStr">
        <is>
          <t>월세</t>
        </is>
      </c>
      <c r="F93" s="4" t="n">
        <v>5000</v>
      </c>
      <c r="G93" s="4" t="n">
        <v>370</v>
      </c>
      <c r="H93" s="4" t="n">
        <v>4563</v>
      </c>
      <c r="I93" s="4" t="n">
        <v>1380</v>
      </c>
      <c r="J93" s="5" t="n">
        <v>0.3</v>
      </c>
      <c r="K93" s="4" t="n">
        <v>538</v>
      </c>
      <c r="L93" s="4" t="n">
        <v>163</v>
      </c>
      <c r="M93" s="5" t="n">
        <v>2.3</v>
      </c>
      <c r="N93" s="3" t="inlineStr">
        <is>
          <t>1</t>
        </is>
      </c>
      <c r="O93" s="3" t="inlineStr">
        <is>
          <t>-</t>
        </is>
      </c>
      <c r="P93" s="3" t="inlineStr">
        <is>
          <t>남청주ic 7분거리 공장2동 넓은 마당 호이스트설치 층고10.9m</t>
        </is>
      </c>
      <c r="Q93" s="6">
        <f>HYPERLINK("https://fin.land.naver.com/articles/2649685703", "매물Link")</f>
        <v/>
      </c>
      <c r="R93" s="6">
        <f>HYPERLINK("https://map.naver.com/p/search/세종특별자치시 나성동 829", "지도Link")</f>
        <v/>
      </c>
      <c r="S93" s="6">
        <f>HYPERLINK("http://www.eum.go.kr/web/ar/lu/luLandDet.jsp?pnu=3611010700108290000&amp;isNoScr=script&amp;mode=search", "토지이음")</f>
        <v/>
      </c>
      <c r="T93" s="3" t="inlineStr">
        <is>
          <t>더원</t>
        </is>
      </c>
      <c r="U93" s="3" t="n">
        <v>1</v>
      </c>
      <c r="V93" s="3" t="inlineStr">
        <is>
          <t>전망공간 기계실</t>
        </is>
      </c>
      <c r="W93" s="4" t="n">
        <v>538</v>
      </c>
      <c r="X93" s="3" t="inlineStr">
        <is>
          <t>철근콘크리트구조</t>
        </is>
      </c>
      <c r="Y93" s="3" t="inlineStr">
        <is>
          <t>제2종근린생활시설</t>
        </is>
      </c>
      <c r="Z93" s="3" t="inlineStr">
        <is>
          <t>-m</t>
        </is>
      </c>
      <c r="AA93" s="3" t="inlineStr">
        <is>
          <t>2021-08-20</t>
        </is>
      </c>
    </row>
    <row r="94">
      <c r="A94" s="3" t="inlineStr">
        <is>
          <t>세종특별자치시 나성동 829</t>
        </is>
      </c>
      <c r="B94" s="3" t="inlineStr">
        <is>
          <t>중심상업지역</t>
        </is>
      </c>
      <c r="C94" s="3" t="inlineStr">
        <is>
          <t>대</t>
        </is>
      </c>
      <c r="D94" s="3" t="inlineStr">
        <is>
          <t>창고</t>
        </is>
      </c>
      <c r="E94" s="3" t="inlineStr">
        <is>
          <t>월세</t>
        </is>
      </c>
      <c r="F94" s="4" t="n">
        <v>2000</v>
      </c>
      <c r="G94" s="4" t="n">
        <v>100</v>
      </c>
      <c r="H94" s="4" t="n">
        <v>998</v>
      </c>
      <c r="I94" s="4" t="n">
        <v>302</v>
      </c>
      <c r="J94" s="5" t="n">
        <v>0.3</v>
      </c>
      <c r="K94" s="4" t="n">
        <v>176</v>
      </c>
      <c r="L94" s="4" t="n">
        <v>53</v>
      </c>
      <c r="M94" s="5" t="n">
        <v>1.9</v>
      </c>
      <c r="N94" s="3" t="inlineStr">
        <is>
          <t>1</t>
        </is>
      </c>
      <c r="O94" s="3" t="inlineStr">
        <is>
          <t>-</t>
        </is>
      </c>
      <c r="P94" s="3" t="inlineStr">
        <is>
          <t>현도면 소형 창고 단독사용, 야적및 주차공간 넉넉함.</t>
        </is>
      </c>
      <c r="Q94" s="6">
        <f>HYPERLINK("https://fin.land.naver.com/articles/2649939223", "매물Link")</f>
        <v/>
      </c>
      <c r="R94" s="6">
        <f>HYPERLINK("https://map.naver.com/p/search/세종특별자치시 나성동 829", "지도Link")</f>
        <v/>
      </c>
      <c r="S94" s="6">
        <f>HYPERLINK("http://www.eum.go.kr/web/ar/lu/luLandDet.jsp?pnu=3611010700108290000&amp;isNoScr=script&amp;mode=search", "토지이음")</f>
        <v/>
      </c>
      <c r="T94" s="3" t="inlineStr">
        <is>
          <t>신탄진다온</t>
        </is>
      </c>
      <c r="U94" s="3" t="n">
        <v>1</v>
      </c>
      <c r="V94" s="3" t="inlineStr">
        <is>
          <t>공동주택 작은도서관</t>
        </is>
      </c>
      <c r="W94" s="4" t="n">
        <v>176</v>
      </c>
      <c r="X94" s="3" t="inlineStr">
        <is>
          <t>철근콘크리트구조</t>
        </is>
      </c>
      <c r="Y94" s="3" t="inlineStr">
        <is>
          <t>공동주택</t>
        </is>
      </c>
      <c r="Z94" s="3" t="inlineStr">
        <is>
          <t>-m</t>
        </is>
      </c>
      <c r="AA94" s="3" t="inlineStr">
        <is>
          <t>2021-08-20</t>
        </is>
      </c>
    </row>
    <row r="95">
      <c r="A95" s="3" t="inlineStr">
        <is>
          <t>세종특별자치시 나성동 829</t>
        </is>
      </c>
      <c r="B95" s="3" t="inlineStr">
        <is>
          <t>중심상업지역</t>
        </is>
      </c>
      <c r="C95" s="3" t="inlineStr">
        <is>
          <t>대</t>
        </is>
      </c>
      <c r="D95" s="3" t="inlineStr">
        <is>
          <t>창고</t>
        </is>
      </c>
      <c r="E95" s="3" t="inlineStr">
        <is>
          <t>매매</t>
        </is>
      </c>
      <c r="F95" s="4" t="n">
        <v>3500000</v>
      </c>
      <c r="G95" s="4" t="n">
        <v>0</v>
      </c>
      <c r="H95" s="4" t="n">
        <v>19215</v>
      </c>
      <c r="I95" s="4" t="n">
        <v>5813</v>
      </c>
      <c r="J95" s="5" t="n">
        <v>602.1</v>
      </c>
      <c r="K95" s="4" t="n">
        <v>13463</v>
      </c>
      <c r="L95" s="4" t="n">
        <v>4073</v>
      </c>
      <c r="M95" s="5" t="n">
        <v>859.3</v>
      </c>
      <c r="N95" s="3" t="inlineStr">
        <is>
          <t>3</t>
        </is>
      </c>
      <c r="O95" s="3" t="inlineStr">
        <is>
          <t>B1</t>
        </is>
      </c>
      <c r="P95" s="3" t="inlineStr">
        <is>
          <t>남청주ic 접근성 좋은 냉장.냉동 .상온 대형물류창고  도크시설완비</t>
        </is>
      </c>
      <c r="Q95" s="6">
        <f>HYPERLINK("https://fin.land.naver.com/articles/2648089915", "매물Link")</f>
        <v/>
      </c>
      <c r="R95" s="6">
        <f>HYPERLINK("https://map.naver.com/p/search/세종특별자치시 나성동 829", "지도Link")</f>
        <v/>
      </c>
      <c r="S95" s="6">
        <f>HYPERLINK("http://www.eum.go.kr/web/ar/lu/luLandDet.jsp?pnu=3611010700108290000&amp;isNoScr=script&amp;mode=search", "토지이음")</f>
        <v/>
      </c>
      <c r="T95" s="3" t="inlineStr">
        <is>
          <t>더원</t>
        </is>
      </c>
      <c r="U95" s="3" t="n">
        <v>1</v>
      </c>
      <c r="V95" s="3" t="inlineStr">
        <is>
          <t>603</t>
        </is>
      </c>
      <c r="W95" s="4" t="n">
        <v>13463</v>
      </c>
      <c r="X95" s="3" t="inlineStr">
        <is>
          <t>철근콘크리트구조</t>
        </is>
      </c>
      <c r="Y95" s="3" t="inlineStr">
        <is>
          <t>공동주택</t>
        </is>
      </c>
      <c r="Z95" s="3" t="inlineStr">
        <is>
          <t>94.45m</t>
        </is>
      </c>
      <c r="AA95" s="3" t="inlineStr">
        <is>
          <t>2021-08-20</t>
        </is>
      </c>
    </row>
    <row r="96">
      <c r="A96" s="3" t="inlineStr">
        <is>
          <t>세종특별자치시 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HYPERLINK("https://map.naver.com/p/search/세종특별자치시 나성동 829", "지도Link")</f>
        <v/>
      </c>
      <c r="S96" s="6">
        <f>HYPERLINK("http://www.eum.go.kr/web/ar/lu/luLandDet.jsp?pnu=3611010700108290000&amp;isNoScr=script&amp;mode=search", "토지이음")</f>
        <v/>
      </c>
      <c r="T96" s="3" t="inlineStr">
        <is>
          <t>신탄진다온</t>
        </is>
      </c>
      <c r="U96" s="3" t="n">
        <v>1</v>
      </c>
      <c r="V96" s="3" t="inlineStr">
        <is>
          <t>전망공간 지하주차장</t>
        </is>
      </c>
      <c r="W96" s="4" t="n">
        <v>960</v>
      </c>
      <c r="X96" s="3" t="inlineStr">
        <is>
          <t>철근콘크리트구조</t>
        </is>
      </c>
      <c r="Y96" s="3" t="inlineStr">
        <is>
          <t>제2종근린생활시설</t>
        </is>
      </c>
      <c r="Z96" s="3" t="inlineStr">
        <is>
          <t>4.50m</t>
        </is>
      </c>
      <c r="AA96" s="3" t="inlineStr">
        <is>
          <t>2021-08-20</t>
        </is>
      </c>
    </row>
    <row r="97">
      <c r="A97" s="3" t="inlineStr">
        <is>
          <t>세종특별자치시 나성동 829</t>
        </is>
      </c>
      <c r="B97" s="3" t="inlineStr">
        <is>
          <t>중심상업지역</t>
        </is>
      </c>
      <c r="C97" s="3" t="inlineStr">
        <is>
          <t>대</t>
        </is>
      </c>
      <c r="D97" s="3" t="inlineStr">
        <is>
          <t>창고</t>
        </is>
      </c>
      <c r="E97" s="3" t="inlineStr">
        <is>
          <t>월세</t>
        </is>
      </c>
      <c r="F97" s="4" t="n">
        <v>20000</v>
      </c>
      <c r="G97" s="4" t="n">
        <v>0</v>
      </c>
      <c r="H97" s="4" t="n">
        <v>5348</v>
      </c>
      <c r="I97" s="4" t="n">
        <v>1618</v>
      </c>
      <c r="J97" s="5" t="n">
        <v>0</v>
      </c>
      <c r="K97" s="4" t="n">
        <v>2555</v>
      </c>
      <c r="L97" s="4" t="n">
        <v>773</v>
      </c>
      <c r="M97" s="5" t="n">
        <v>0</v>
      </c>
      <c r="N97" s="3" t="inlineStr">
        <is>
          <t>1</t>
        </is>
      </c>
      <c r="O97" s="3" t="inlineStr">
        <is>
          <t>-</t>
        </is>
      </c>
      <c r="P97" s="3" t="inlineStr">
        <is>
          <t>단독 창고 임대  민원 없는 입지  마당 넓음  대형차 가능</t>
        </is>
      </c>
      <c r="Q97" s="6">
        <f>HYPERLINK("https://fin.land.naver.com/articles/2646747760", "매물Link")</f>
        <v/>
      </c>
      <c r="R97" s="6">
        <f>HYPERLINK("https://map.naver.com/p/search/세종특별자치시 나성동 829", "지도Link")</f>
        <v/>
      </c>
      <c r="S97" s="6">
        <f>HYPERLINK("http://www.eum.go.kr/web/ar/lu/luLandDet.jsp?pnu=3611010700108290000&amp;isNoScr=script&amp;mode=search", "토지이음")</f>
        <v/>
      </c>
      <c r="T97" s="3" t="inlineStr">
        <is>
          <t>삼익</t>
        </is>
      </c>
      <c r="U97" s="3" t="n">
        <v>1</v>
      </c>
      <c r="V97" s="3" t="inlineStr">
        <is>
          <t>802</t>
        </is>
      </c>
      <c r="W97" s="4" t="n">
        <v>2555</v>
      </c>
      <c r="X97" s="3" t="inlineStr">
        <is>
          <t>철근콘크리트구조</t>
        </is>
      </c>
      <c r="Y97" s="3" t="inlineStr">
        <is>
          <t>제2종근린생활시설</t>
        </is>
      </c>
      <c r="Z97" s="3" t="inlineStr">
        <is>
          <t>-m</t>
        </is>
      </c>
      <c r="AA97" s="3" t="inlineStr">
        <is>
          <t>2021-08-20</t>
        </is>
      </c>
    </row>
    <row r="98">
      <c r="A98" s="3" t="inlineStr">
        <is>
          <t>세종특별자치시 나성동 829</t>
        </is>
      </c>
      <c r="B98" s="3" t="inlineStr">
        <is>
          <t>중심상업지역</t>
        </is>
      </c>
      <c r="C98" s="3" t="inlineStr">
        <is>
          <t>대</t>
        </is>
      </c>
      <c r="D98" s="3" t="inlineStr">
        <is>
          <t>공장</t>
        </is>
      </c>
      <c r="E98" s="3" t="inlineStr">
        <is>
          <t>매매</t>
        </is>
      </c>
      <c r="F98" s="4" t="n">
        <v>400000</v>
      </c>
      <c r="G98" s="4" t="n">
        <v>0</v>
      </c>
      <c r="H98" s="4" t="n">
        <v>3510</v>
      </c>
      <c r="I98" s="4" t="n">
        <v>1062</v>
      </c>
      <c r="J98" s="5" t="n">
        <v>376.6</v>
      </c>
      <c r="K98" s="4" t="n">
        <v>3550</v>
      </c>
      <c r="L98" s="4" t="n">
        <v>1074</v>
      </c>
      <c r="M98" s="5" t="n">
        <v>372.4</v>
      </c>
      <c r="N98" s="3" t="inlineStr">
        <is>
          <t>3</t>
        </is>
      </c>
      <c r="O98" s="3" t="inlineStr">
        <is>
          <t>-</t>
        </is>
      </c>
      <c r="P98" s="3" t="inlineStr">
        <is>
          <t>nan</t>
        </is>
      </c>
      <c r="Q98" s="6">
        <f>HYPERLINK("https://fin.land.naver.com/articles/2646774723", "매물Link")</f>
        <v/>
      </c>
      <c r="R98" s="6">
        <f>HYPERLINK("https://map.naver.com/p/search/세종특별자치시 나성동 829", "지도Link")</f>
        <v/>
      </c>
      <c r="S98" s="6">
        <f>HYPERLINK("http://www.eum.go.kr/web/ar/lu/luLandDet.jsp?pnu=3611010700108290000&amp;isNoScr=script&amp;mode=search", "토지이음")</f>
        <v/>
      </c>
      <c r="T98" s="3" t="inlineStr">
        <is>
          <t>미더스</t>
        </is>
      </c>
      <c r="U98" s="3" t="n">
        <v>1</v>
      </c>
      <c r="V98" s="3" t="inlineStr">
        <is>
          <t>802</t>
        </is>
      </c>
      <c r="W98" s="4" t="n">
        <v>3550</v>
      </c>
      <c r="X98" s="3" t="inlineStr">
        <is>
          <t>철근콘크리트구조</t>
        </is>
      </c>
      <c r="Y98" s="3" t="inlineStr">
        <is>
          <t>제2종근린생활시설</t>
        </is>
      </c>
      <c r="Z98" s="3" t="inlineStr">
        <is>
          <t>-m</t>
        </is>
      </c>
      <c r="AA98" s="3" t="inlineStr">
        <is>
          <t>2021-08-20</t>
        </is>
      </c>
    </row>
    <row r="99">
      <c r="A99" s="3" t="inlineStr">
        <is>
          <t>세종특별자치시 나성동 829</t>
        </is>
      </c>
      <c r="B99" s="3" t="inlineStr">
        <is>
          <t>중심상업지역</t>
        </is>
      </c>
      <c r="C99" s="3" t="inlineStr">
        <is>
          <t>대</t>
        </is>
      </c>
      <c r="D99" s="3" t="inlineStr">
        <is>
          <t>공장</t>
        </is>
      </c>
      <c r="E99" s="3" t="inlineStr">
        <is>
          <t>매매</t>
        </is>
      </c>
      <c r="F99" s="4" t="n">
        <v>120000</v>
      </c>
      <c r="G99" s="4" t="n">
        <v>0</v>
      </c>
      <c r="H99" s="4" t="n">
        <v>1640</v>
      </c>
      <c r="I99" s="4" t="n">
        <v>496</v>
      </c>
      <c r="J99" s="5" t="n">
        <v>241.9</v>
      </c>
      <c r="K99" s="4" t="n">
        <v>453</v>
      </c>
      <c r="L99" s="4" t="n">
        <v>137</v>
      </c>
      <c r="M99" s="5" t="n">
        <v>875.9</v>
      </c>
      <c r="N99" s="3" t="inlineStr">
        <is>
          <t>2</t>
        </is>
      </c>
      <c r="O99" s="3" t="inlineStr">
        <is>
          <t>-</t>
        </is>
      </c>
      <c r="P99" s="3" t="inlineStr">
        <is>
          <t>준신축 공장매매  넓은 마당  빠른입주 가능</t>
        </is>
      </c>
      <c r="Q99" s="6">
        <f>HYPERLINK("https://fin.land.naver.com/articles/2647589764", "매물Link")</f>
        <v/>
      </c>
      <c r="R99" s="6">
        <f>HYPERLINK("https://map.naver.com/p/search/세종특별자치시 나성동 829", "지도Link")</f>
        <v/>
      </c>
      <c r="S99" s="6">
        <f>HYPERLINK("http://www.eum.go.kr/web/ar/lu/luLandDet.jsp?pnu=3611010700108290000&amp;isNoScr=script&amp;mode=search", "토지이음")</f>
        <v/>
      </c>
      <c r="T99" s="3" t="inlineStr">
        <is>
          <t>삼익</t>
        </is>
      </c>
      <c r="U99" s="3" t="n">
        <v>1</v>
      </c>
      <c r="V99" s="3" t="inlineStr">
        <is>
          <t>전망공간 기계실</t>
        </is>
      </c>
      <c r="W99" s="4" t="n">
        <v>453</v>
      </c>
      <c r="X99" s="3" t="inlineStr">
        <is>
          <t>철근콘크리트구조</t>
        </is>
      </c>
      <c r="Y99" s="3" t="inlineStr">
        <is>
          <t>제2종근린생활시설</t>
        </is>
      </c>
      <c r="Z99" s="3" t="inlineStr">
        <is>
          <t>-m</t>
        </is>
      </c>
      <c r="AA99" s="3" t="inlineStr">
        <is>
          <t>2021-08-20</t>
        </is>
      </c>
    </row>
    <row r="100">
      <c r="A100" s="3" t="inlineStr">
        <is>
          <t>세종특별자치시 나성동 829</t>
        </is>
      </c>
      <c r="B100" s="3" t="inlineStr">
        <is>
          <t>중심상업지역</t>
        </is>
      </c>
      <c r="C100" s="3" t="inlineStr">
        <is>
          <t>대</t>
        </is>
      </c>
      <c r="D100" s="3" t="inlineStr">
        <is>
          <t>공장</t>
        </is>
      </c>
      <c r="E100" s="3" t="inlineStr">
        <is>
          <t>월세</t>
        </is>
      </c>
      <c r="F100" s="4" t="n">
        <v>7000</v>
      </c>
      <c r="G100" s="4" t="n">
        <v>660</v>
      </c>
      <c r="H100" s="4" t="n">
        <v>2461</v>
      </c>
      <c r="I100" s="4" t="n">
        <v>744</v>
      </c>
      <c r="J100" s="5" t="n">
        <v>0.9</v>
      </c>
      <c r="K100" s="4" t="n">
        <v>979</v>
      </c>
      <c r="L100" s="4" t="n">
        <v>296</v>
      </c>
      <c r="M100" s="5" t="n">
        <v>2.2</v>
      </c>
      <c r="N100" s="3" t="inlineStr">
        <is>
          <t>1</t>
        </is>
      </c>
      <c r="O100" s="3" t="inlineStr">
        <is>
          <t>-</t>
        </is>
      </c>
      <c r="P100" s="3" t="inlineStr">
        <is>
          <t>사진, 남청주IC5분, 넓은마당, 호이스트있음, 2종근생제조, 대형차진입</t>
        </is>
      </c>
      <c r="Q100" s="6">
        <f>HYPERLINK("https://fin.land.naver.com/articles/2645488436", "매물Link")</f>
        <v/>
      </c>
      <c r="R100" s="6">
        <f>HYPERLINK("https://map.naver.com/p/search/세종특별자치시 나성동 829", "지도Link")</f>
        <v/>
      </c>
      <c r="S100" s="6">
        <f>HYPERLINK("http://www.eum.go.kr/web/ar/lu/luLandDet.jsp?pnu=3611010700108290000&amp;isNoScr=script&amp;mode=search", "토지이음")</f>
        <v/>
      </c>
      <c r="T100" s="3" t="inlineStr">
        <is>
          <t>OK허니</t>
        </is>
      </c>
      <c r="U100" s="3" t="n">
        <v>1</v>
      </c>
      <c r="V100" s="3" t="inlineStr">
        <is>
          <t>604</t>
        </is>
      </c>
      <c r="W100" s="4" t="n">
        <v>979</v>
      </c>
      <c r="X100" s="3" t="inlineStr">
        <is>
          <t>철근콘크리트구조</t>
        </is>
      </c>
      <c r="Y100" s="3" t="inlineStr">
        <is>
          <t>공동주택</t>
        </is>
      </c>
      <c r="Z100" s="3" t="inlineStr">
        <is>
          <t>38.30m</t>
        </is>
      </c>
      <c r="AA100" s="3" t="inlineStr">
        <is>
          <t>2021-08-20</t>
        </is>
      </c>
    </row>
    <row r="101">
      <c r="A101" s="3" t="inlineStr">
        <is>
          <t>세종특별자치시 나성동 829</t>
        </is>
      </c>
      <c r="B101" s="3" t="inlineStr">
        <is>
          <t>중심상업지역</t>
        </is>
      </c>
      <c r="C101" s="3" t="inlineStr">
        <is>
          <t>대</t>
        </is>
      </c>
      <c r="D101" s="3" t="inlineStr">
        <is>
          <t>창고</t>
        </is>
      </c>
      <c r="E101" s="3" t="inlineStr">
        <is>
          <t>월세</t>
        </is>
      </c>
      <c r="F101" s="4" t="n">
        <v>2000</v>
      </c>
      <c r="G101" s="4" t="n">
        <v>250</v>
      </c>
      <c r="H101" s="4" t="n">
        <v>2018</v>
      </c>
      <c r="I101" s="4" t="n">
        <v>610</v>
      </c>
      <c r="J101" s="5" t="n">
        <v>0.4</v>
      </c>
      <c r="K101" s="4" t="n">
        <v>331</v>
      </c>
      <c r="L101" s="4" t="n">
        <v>100</v>
      </c>
      <c r="M101" s="5" t="n">
        <v>2.5</v>
      </c>
      <c r="N101" s="3" t="inlineStr">
        <is>
          <t>1</t>
        </is>
      </c>
      <c r="O101" s="3" t="inlineStr">
        <is>
          <t>-</t>
        </is>
      </c>
      <c r="P101" s="3" t="inlineStr">
        <is>
          <t>Point 계획관리 귀한 임대 매물, 지목 변경 없이 사용 가능</t>
        </is>
      </c>
      <c r="Q101" s="6">
        <f>HYPERLINK("https://fin.land.naver.com/articles/2647900394", "매물Link")</f>
        <v/>
      </c>
      <c r="R101" s="6">
        <f>HYPERLINK("https://map.naver.com/p/search/세종특별자치시 나성동 829", "지도Link")</f>
        <v/>
      </c>
      <c r="S101" s="6">
        <f>HYPERLINK("http://www.eum.go.kr/web/ar/lu/luLandDet.jsp?pnu=3611010700108290000&amp;isNoScr=script&amp;mode=search", "토지이음")</f>
        <v/>
      </c>
      <c r="T101" s="3" t="inlineStr">
        <is>
          <t>도마호반</t>
        </is>
      </c>
      <c r="U101" s="3" t="n">
        <v>1</v>
      </c>
      <c r="V101" s="3" t="inlineStr">
        <is>
          <t>801</t>
        </is>
      </c>
      <c r="W101" s="4" t="n">
        <v>331</v>
      </c>
      <c r="X101" s="3" t="inlineStr">
        <is>
          <t>철근콘크리트구조</t>
        </is>
      </c>
      <c r="Y101" s="3" t="inlineStr">
        <is>
          <t>제2종근린생활시설</t>
        </is>
      </c>
      <c r="Z101" s="3" t="inlineStr">
        <is>
          <t>-m</t>
        </is>
      </c>
      <c r="AA101" s="3" t="inlineStr">
        <is>
          <t>2021-08-20</t>
        </is>
      </c>
    </row>
    <row r="102">
      <c r="A102" s="3" t="inlineStr">
        <is>
          <t>세종특별자치시 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건축2년생 남청주 톨게이트 3분거리</t>
        </is>
      </c>
      <c r="Q102" s="6">
        <f>HYPERLINK("https://fin.land.naver.com/articles/2644737236", "매물Link")</f>
        <v/>
      </c>
      <c r="R102" s="6">
        <f>HYPERLINK("https://map.naver.com/p/search/세종특별자치시 나성동 829", "지도Link")</f>
        <v/>
      </c>
      <c r="S102" s="6">
        <f>HYPERLINK("http://www.eum.go.kr/web/ar/lu/luLandDet.jsp?pnu=3611010700108290000&amp;isNoScr=script&amp;mode=search", "토지이음")</f>
        <v/>
      </c>
      <c r="T102" s="3" t="inlineStr">
        <is>
          <t>태영컨설팅</t>
        </is>
      </c>
      <c r="U102" s="3" t="n">
        <v>1</v>
      </c>
      <c r="V102" s="3" t="inlineStr">
        <is>
          <t>전망공간 기계실</t>
        </is>
      </c>
      <c r="W102" s="4" t="n">
        <v>453</v>
      </c>
      <c r="X102" s="3" t="inlineStr">
        <is>
          <t>철근콘크리트구조</t>
        </is>
      </c>
      <c r="Y102" s="3" t="inlineStr">
        <is>
          <t>제2종근린생활시설</t>
        </is>
      </c>
      <c r="Z102" s="3" t="inlineStr">
        <is>
          <t>-m</t>
        </is>
      </c>
      <c r="AA102" s="3" t="inlineStr">
        <is>
          <t>2021-08-20</t>
        </is>
      </c>
    </row>
    <row r="103">
      <c r="A103" s="3" t="inlineStr">
        <is>
          <t>세종특별자치시 나성동 829</t>
        </is>
      </c>
      <c r="B103" s="3" t="inlineStr">
        <is>
          <t>중심상업지역</t>
        </is>
      </c>
      <c r="C103" s="3" t="inlineStr">
        <is>
          <t>대</t>
        </is>
      </c>
      <c r="D103" s="3" t="inlineStr">
        <is>
          <t>공장</t>
        </is>
      </c>
      <c r="E103" s="3" t="inlineStr">
        <is>
          <t>월세</t>
        </is>
      </c>
      <c r="F103" s="4" t="n">
        <v>3000</v>
      </c>
      <c r="G103" s="4" t="n">
        <v>300</v>
      </c>
      <c r="H103" s="4" t="n">
        <v>1872</v>
      </c>
      <c r="I103" s="4" t="n">
        <v>566</v>
      </c>
      <c r="J103" s="5" t="n">
        <v>0.5</v>
      </c>
      <c r="K103" s="4" t="n">
        <v>493</v>
      </c>
      <c r="L103" s="4" t="n">
        <v>149</v>
      </c>
      <c r="M103" s="5" t="n">
        <v>2</v>
      </c>
      <c r="N103" s="3" t="inlineStr">
        <is>
          <t>1</t>
        </is>
      </c>
      <c r="O103" s="3" t="inlineStr">
        <is>
          <t>-</t>
        </is>
      </c>
      <c r="P103" s="3" t="inlineStr">
        <is>
          <t>남청주ic 접근성좋음  2차선도로진입가능 공장창고임대</t>
        </is>
      </c>
      <c r="Q103" s="6">
        <f>HYPERLINK("https://fin.land.naver.com/articles/2649685381", "매물Link")</f>
        <v/>
      </c>
      <c r="R103" s="6">
        <f>HYPERLINK("https://map.naver.com/p/search/세종특별자치시 나성동 829", "지도Link")</f>
        <v/>
      </c>
      <c r="S103" s="6">
        <f>HYPERLINK("http://www.eum.go.kr/web/ar/lu/luLandDet.jsp?pnu=3611010700108290000&amp;isNoScr=script&amp;mode=search", "토지이음")</f>
        <v/>
      </c>
      <c r="T103" s="3" t="inlineStr">
        <is>
          <t>더원</t>
        </is>
      </c>
      <c r="U103" s="3" t="n">
        <v>1</v>
      </c>
      <c r="V103" s="3" t="inlineStr">
        <is>
          <t>전망공간 기계실</t>
        </is>
      </c>
      <c r="W103" s="4" t="n">
        <v>493</v>
      </c>
      <c r="X103" s="3" t="inlineStr">
        <is>
          <t>철근콘크리트구조</t>
        </is>
      </c>
      <c r="Y103" s="3" t="inlineStr">
        <is>
          <t>제2종근린생활시설</t>
        </is>
      </c>
      <c r="Z103" s="3" t="inlineStr">
        <is>
          <t>-m</t>
        </is>
      </c>
      <c r="AA103" s="3" t="inlineStr">
        <is>
          <t>2021-08-20</t>
        </is>
      </c>
    </row>
    <row r="104">
      <c r="A104" s="3" t="inlineStr">
        <is>
          <t>세종특별자치시 나성동 829</t>
        </is>
      </c>
      <c r="B104" s="3" t="inlineStr">
        <is>
          <t>중심상업지역</t>
        </is>
      </c>
      <c r="C104" s="3" t="inlineStr">
        <is>
          <t>대</t>
        </is>
      </c>
      <c r="D104" s="3" t="inlineStr">
        <is>
          <t>공장</t>
        </is>
      </c>
      <c r="E104" s="3" t="inlineStr">
        <is>
          <t>매매</t>
        </is>
      </c>
      <c r="F104" s="4" t="n">
        <v>140000</v>
      </c>
      <c r="G104" s="4" t="n">
        <v>0</v>
      </c>
      <c r="H104" s="4" t="n">
        <v>2948</v>
      </c>
      <c r="I104" s="4" t="n">
        <v>892</v>
      </c>
      <c r="J104" s="5" t="n">
        <v>157</v>
      </c>
      <c r="K104" s="4" t="n">
        <v>998</v>
      </c>
      <c r="L104" s="4" t="n">
        <v>302</v>
      </c>
      <c r="M104" s="5" t="n">
        <v>463.6</v>
      </c>
      <c r="N104" s="3" t="inlineStr">
        <is>
          <t>1</t>
        </is>
      </c>
      <c r="O104" s="3" t="inlineStr">
        <is>
          <t>-</t>
        </is>
      </c>
      <c r="P104" s="3" t="inlineStr">
        <is>
          <t>접근성좋은 신축공장매매합니다</t>
        </is>
      </c>
      <c r="Q104" s="6">
        <f>HYPERLINK("https://fin.land.naver.com/articles/2647822943", "매물Link")</f>
        <v/>
      </c>
      <c r="R104" s="6">
        <f>HYPERLINK("https://map.naver.com/p/search/세종특별자치시 나성동 829", "지도Link")</f>
        <v/>
      </c>
      <c r="S104" s="6">
        <f>HYPERLINK("http://www.eum.go.kr/web/ar/lu/luLandDet.jsp?pnu=3611010700108290000&amp;isNoScr=script&amp;mode=search", "토지이음")</f>
        <v/>
      </c>
      <c r="T104" s="3" t="inlineStr">
        <is>
          <t>복댕이무소</t>
        </is>
      </c>
      <c r="U104" s="3" t="n">
        <v>1</v>
      </c>
      <c r="V104" s="3" t="inlineStr">
        <is>
          <t>604</t>
        </is>
      </c>
      <c r="W104" s="4" t="n">
        <v>998</v>
      </c>
      <c r="X104" s="3" t="inlineStr">
        <is>
          <t>철근콘크리트구조</t>
        </is>
      </c>
      <c r="Y104" s="3" t="inlineStr">
        <is>
          <t>공동주택</t>
        </is>
      </c>
      <c r="Z104" s="3" t="inlineStr">
        <is>
          <t>38.30m</t>
        </is>
      </c>
      <c r="AA104" s="3" t="inlineStr">
        <is>
          <t>2021-08-20</t>
        </is>
      </c>
    </row>
    <row r="105">
      <c r="A105" s="3" t="inlineStr">
        <is>
          <t>세종특별자치시 나성동 829</t>
        </is>
      </c>
      <c r="B105" s="3" t="inlineStr">
        <is>
          <t>중심상업지역</t>
        </is>
      </c>
      <c r="C105" s="3" t="inlineStr">
        <is>
          <t>대</t>
        </is>
      </c>
      <c r="D105" s="3" t="inlineStr">
        <is>
          <t>공장</t>
        </is>
      </c>
      <c r="E105" s="3" t="inlineStr">
        <is>
          <t>매매</t>
        </is>
      </c>
      <c r="F105" s="4" t="n">
        <v>350000</v>
      </c>
      <c r="G105" s="4" t="n">
        <v>0</v>
      </c>
      <c r="H105" s="4" t="n">
        <v>5052</v>
      </c>
      <c r="I105" s="4" t="n">
        <v>1528</v>
      </c>
      <c r="J105" s="5" t="n">
        <v>229.1</v>
      </c>
      <c r="K105" s="4" t="n">
        <v>601</v>
      </c>
      <c r="L105" s="4" t="n">
        <v>182</v>
      </c>
      <c r="M105" s="5" t="n">
        <v>1923.1</v>
      </c>
      <c r="N105" s="3" t="inlineStr">
        <is>
          <t>1</t>
        </is>
      </c>
      <c r="O105" s="3" t="inlineStr">
        <is>
          <t>-</t>
        </is>
      </c>
      <c r="P105" s="3" t="inlineStr">
        <is>
          <t>신축공장 매매2동</t>
        </is>
      </c>
      <c r="Q105" s="6">
        <f>HYPERLINK("https://fin.land.naver.com/articles/2648000913", "매물Link")</f>
        <v/>
      </c>
      <c r="R105" s="6">
        <f>HYPERLINK("https://map.naver.com/p/search/세종특별자치시 나성동 829", "지도Link")</f>
        <v/>
      </c>
      <c r="S105" s="6">
        <f>HYPERLINK("http://www.eum.go.kr/web/ar/lu/luLandDet.jsp?pnu=3611010700108290000&amp;isNoScr=script&amp;mode=search", "토지이음")</f>
        <v/>
      </c>
      <c r="T105" s="3" t="inlineStr">
        <is>
          <t>정세영</t>
        </is>
      </c>
      <c r="U105" s="3" t="n">
        <v>1</v>
      </c>
      <c r="V105" s="3" t="inlineStr">
        <is>
          <t>803</t>
        </is>
      </c>
      <c r="W105" s="4" t="n">
        <v>601</v>
      </c>
      <c r="X105" s="3" t="inlineStr">
        <is>
          <t>철근콘크리트구조</t>
        </is>
      </c>
      <c r="Y105" s="3" t="inlineStr">
        <is>
          <t>제2종근린생활시설</t>
        </is>
      </c>
      <c r="Z105" s="3" t="inlineStr">
        <is>
          <t>-m</t>
        </is>
      </c>
      <c r="AA105" s="3" t="inlineStr">
        <is>
          <t>2021-08-20</t>
        </is>
      </c>
    </row>
    <row r="106">
      <c r="A106" s="3" t="inlineStr">
        <is>
          <t>세종특별자치시 나성동 829</t>
        </is>
      </c>
      <c r="B106" s="3" t="inlineStr">
        <is>
          <t>중심상업지역</t>
        </is>
      </c>
      <c r="C106" s="3" t="inlineStr">
        <is>
          <t>대</t>
        </is>
      </c>
      <c r="D106" s="3" t="inlineStr">
        <is>
          <t>공장</t>
        </is>
      </c>
      <c r="E106" s="3" t="inlineStr">
        <is>
          <t>매매</t>
        </is>
      </c>
      <c r="F106" s="4" t="n">
        <v>80000</v>
      </c>
      <c r="G106" s="4" t="n">
        <v>0</v>
      </c>
      <c r="H106" s="4" t="n">
        <v>2494</v>
      </c>
      <c r="I106" s="4" t="n">
        <v>754</v>
      </c>
      <c r="J106" s="5" t="n">
        <v>106.1</v>
      </c>
      <c r="K106" s="4" t="n">
        <v>475</v>
      </c>
      <c r="L106" s="4" t="n">
        <v>144</v>
      </c>
      <c r="M106" s="5" t="n">
        <v>555.6</v>
      </c>
      <c r="N106" s="3" t="inlineStr">
        <is>
          <t>2</t>
        </is>
      </c>
      <c r="O106" s="3" t="inlineStr">
        <is>
          <t>-</t>
        </is>
      </c>
      <c r="P106" s="3" t="inlineStr">
        <is>
          <t>nan</t>
        </is>
      </c>
      <c r="Q106" s="6">
        <f>HYPERLINK("https://fin.land.naver.com/articles/2648272162", "매물Link")</f>
        <v/>
      </c>
      <c r="R106" s="6">
        <f>HYPERLINK("https://map.naver.com/p/search/세종특별자치시 나성동 829", "지도Link")</f>
        <v/>
      </c>
      <c r="S106" s="6">
        <f>HYPERLINK("http://www.eum.go.kr/web/ar/lu/luLandDet.jsp?pnu=3611010700108290000&amp;isNoScr=script&amp;mode=search", "토지이음")</f>
        <v/>
      </c>
      <c r="T106" s="3" t="inlineStr">
        <is>
          <t>신영</t>
        </is>
      </c>
      <c r="U106" s="3" t="n">
        <v>1</v>
      </c>
      <c r="V106" s="3" t="inlineStr">
        <is>
          <t>전망공간 기계실</t>
        </is>
      </c>
      <c r="W106" s="4" t="n">
        <v>475</v>
      </c>
      <c r="X106" s="3" t="inlineStr">
        <is>
          <t>철근콘크리트구조</t>
        </is>
      </c>
      <c r="Y106" s="3" t="inlineStr">
        <is>
          <t>제2종근린생활시설</t>
        </is>
      </c>
      <c r="Z106" s="3" t="inlineStr">
        <is>
          <t>-m</t>
        </is>
      </c>
      <c r="AA106" s="3" t="inlineStr">
        <is>
          <t>2021-08-20</t>
        </is>
      </c>
    </row>
    <row r="107">
      <c r="A107" s="3" t="inlineStr">
        <is>
          <t>세종특별자치시 나성동 829</t>
        </is>
      </c>
      <c r="B107" s="3" t="inlineStr">
        <is>
          <t>중심상업지역</t>
        </is>
      </c>
      <c r="C107" s="3" t="inlineStr">
        <is>
          <t>대</t>
        </is>
      </c>
      <c r="D107" s="3" t="inlineStr">
        <is>
          <t>공장</t>
        </is>
      </c>
      <c r="E107" s="3" t="inlineStr">
        <is>
          <t>매매</t>
        </is>
      </c>
      <c r="F107" s="4" t="n">
        <v>35000</v>
      </c>
      <c r="G107" s="4" t="n">
        <v>0</v>
      </c>
      <c r="H107" s="4" t="n">
        <v>652</v>
      </c>
      <c r="I107" s="4" t="n">
        <v>197</v>
      </c>
      <c r="J107" s="5" t="n">
        <v>177.7</v>
      </c>
      <c r="K107" s="4" t="n">
        <v>356</v>
      </c>
      <c r="L107" s="4" t="n">
        <v>108</v>
      </c>
      <c r="M107" s="5" t="n">
        <v>324.1</v>
      </c>
      <c r="N107" s="3" t="inlineStr">
        <is>
          <t>2</t>
        </is>
      </c>
      <c r="O107" s="3" t="inlineStr">
        <is>
          <t>-</t>
        </is>
      </c>
      <c r="P107" s="3" t="inlineStr">
        <is>
          <t>남이면 외천리는 청주 중심가는 물론, 세종시 및 대전과의 접근성이 매우</t>
        </is>
      </c>
      <c r="Q107" s="6">
        <f>HYPERLINK("https://fin.land.naver.com/articles/2648272377", "매물Link")</f>
        <v/>
      </c>
      <c r="R107" s="6">
        <f>HYPERLINK("https://map.naver.com/p/search/세종특별자치시 나성동 829", "지도Link")</f>
        <v/>
      </c>
      <c r="S107" s="6">
        <f>HYPERLINK("http://www.eum.go.kr/web/ar/lu/luLandDet.jsp?pnu=3611010700108290000&amp;isNoScr=script&amp;mode=search", "토지이음")</f>
        <v/>
      </c>
      <c r="T107" s="3" t="inlineStr">
        <is>
          <t>신영</t>
        </is>
      </c>
      <c r="U107" s="3" t="n">
        <v>1</v>
      </c>
      <c r="V107" s="3" t="inlineStr">
        <is>
          <t>801</t>
        </is>
      </c>
      <c r="W107" s="4" t="n">
        <v>356</v>
      </c>
      <c r="X107" s="3" t="inlineStr">
        <is>
          <t>철근콘크리트구조</t>
        </is>
      </c>
      <c r="Y107" s="3" t="inlineStr">
        <is>
          <t>제2종근린생활시설</t>
        </is>
      </c>
      <c r="Z107" s="3" t="inlineStr">
        <is>
          <t>-m</t>
        </is>
      </c>
      <c r="AA107" s="3" t="inlineStr">
        <is>
          <t>2021-08-20</t>
        </is>
      </c>
    </row>
    <row r="108">
      <c r="A108" s="3" t="inlineStr">
        <is>
          <t>세종특별자치시 나성동 829</t>
        </is>
      </c>
      <c r="B108" s="3" t="inlineStr">
        <is>
          <t>중심상업지역</t>
        </is>
      </c>
      <c r="C108" s="3" t="inlineStr">
        <is>
          <t>대</t>
        </is>
      </c>
      <c r="D108" s="3" t="inlineStr">
        <is>
          <t>공장</t>
        </is>
      </c>
      <c r="E108" s="3" t="inlineStr">
        <is>
          <t>월세</t>
        </is>
      </c>
      <c r="F108" s="4" t="n">
        <v>7000</v>
      </c>
      <c r="G108" s="4" t="n">
        <v>700</v>
      </c>
      <c r="H108" s="4" t="n">
        <v>2473</v>
      </c>
      <c r="I108" s="4" t="n">
        <v>748</v>
      </c>
      <c r="J108" s="5" t="n">
        <v>0.9</v>
      </c>
      <c r="K108" s="4" t="n">
        <v>987</v>
      </c>
      <c r="L108" s="4" t="n">
        <v>299</v>
      </c>
      <c r="M108" s="5" t="n">
        <v>2.3</v>
      </c>
      <c r="N108" s="3" t="inlineStr">
        <is>
          <t>1</t>
        </is>
      </c>
      <c r="O108" s="3" t="inlineStr">
        <is>
          <t>-</t>
        </is>
      </c>
      <c r="P108" s="3" t="inlineStr">
        <is>
          <t>nan</t>
        </is>
      </c>
      <c r="Q108" s="6">
        <f>HYPERLINK("https://fin.land.naver.com/articles/2648338776", "매물Link")</f>
        <v/>
      </c>
      <c r="R108" s="6">
        <f>HYPERLINK("https://map.naver.com/p/search/세종특별자치시 나성동 829", "지도Link")</f>
        <v/>
      </c>
      <c r="S108" s="6">
        <f>HYPERLINK("http://www.eum.go.kr/web/ar/lu/luLandDet.jsp?pnu=3611010700108290000&amp;isNoScr=script&amp;mode=search", "토지이음")</f>
        <v/>
      </c>
      <c r="T108" s="3" t="inlineStr">
        <is>
          <t>오너스</t>
        </is>
      </c>
      <c r="U108" s="3" t="n">
        <v>1</v>
      </c>
      <c r="V108" s="3" t="inlineStr">
        <is>
          <t>604</t>
        </is>
      </c>
      <c r="W108" s="4" t="n">
        <v>987</v>
      </c>
      <c r="X108" s="3" t="inlineStr">
        <is>
          <t>철근콘크리트구조</t>
        </is>
      </c>
      <c r="Y108" s="3" t="inlineStr">
        <is>
          <t>공동주택</t>
        </is>
      </c>
      <c r="Z108" s="3" t="inlineStr">
        <is>
          <t>38.30m</t>
        </is>
      </c>
      <c r="AA108" s="3" t="inlineStr">
        <is>
          <t>2021-08-20</t>
        </is>
      </c>
    </row>
    <row r="109">
      <c r="A109" s="3" t="inlineStr">
        <is>
          <t>세종특별자치시 나성동 829</t>
        </is>
      </c>
      <c r="B109" s="3" t="inlineStr">
        <is>
          <t>중심상업지역</t>
        </is>
      </c>
      <c r="C109" s="3" t="inlineStr">
        <is>
          <t>대</t>
        </is>
      </c>
      <c r="D109" s="3" t="inlineStr">
        <is>
          <t>공장</t>
        </is>
      </c>
      <c r="E109" s="3" t="inlineStr">
        <is>
          <t>월세</t>
        </is>
      </c>
      <c r="F109" s="4" t="n">
        <v>4000</v>
      </c>
      <c r="G109" s="4" t="n">
        <v>400</v>
      </c>
      <c r="H109" s="4" t="n">
        <v>1720</v>
      </c>
      <c r="I109" s="4" t="n">
        <v>520</v>
      </c>
      <c r="J109" s="5" t="n">
        <v>0.8</v>
      </c>
      <c r="K109" s="4" t="n">
        <v>677</v>
      </c>
      <c r="L109" s="4" t="n">
        <v>205</v>
      </c>
      <c r="M109" s="5" t="n">
        <v>2</v>
      </c>
      <c r="N109" s="3" t="inlineStr">
        <is>
          <t>1</t>
        </is>
      </c>
      <c r="O109" s="3" t="inlineStr">
        <is>
          <t>-</t>
        </is>
      </c>
      <c r="P109" s="3" t="inlineStr">
        <is>
          <t>마당넓은 주차하기좋은공장및창고입니다2층사무실완비</t>
        </is>
      </c>
      <c r="Q109" s="6">
        <f>HYPERLINK("https://fin.land.naver.com/articles/2644475903", "매물Link")</f>
        <v/>
      </c>
      <c r="R109" s="6">
        <f>HYPERLINK("https://map.naver.com/p/search/세종특별자치시 나성동 829", "지도Link")</f>
        <v/>
      </c>
      <c r="S109" s="6">
        <f>HYPERLINK("http://www.eum.go.kr/web/ar/lu/luLandDet.jsp?pnu=3611010700108290000&amp;isNoScr=script&amp;mode=search", "토지이음")</f>
        <v/>
      </c>
      <c r="T109" s="3" t="inlineStr">
        <is>
          <t>남청주ic합동무소</t>
        </is>
      </c>
      <c r="U109" s="3" t="n">
        <v>1</v>
      </c>
      <c r="V109" s="3" t="inlineStr">
        <is>
          <t>803</t>
        </is>
      </c>
      <c r="W109" s="4" t="n">
        <v>677</v>
      </c>
      <c r="X109" s="3" t="inlineStr">
        <is>
          <t>철근콘크리트구조</t>
        </is>
      </c>
      <c r="Y109" s="3" t="inlineStr">
        <is>
          <t>제2종근린생활시설</t>
        </is>
      </c>
      <c r="Z109" s="3" t="inlineStr">
        <is>
          <t>-m</t>
        </is>
      </c>
      <c r="AA109" s="3" t="inlineStr">
        <is>
          <t>2021-08-20</t>
        </is>
      </c>
    </row>
    <row r="110">
      <c r="A110" s="3" t="inlineStr">
        <is>
          <t>세종특별자치시 나성동 829</t>
        </is>
      </c>
      <c r="B110" s="3" t="inlineStr">
        <is>
          <t>중심상업지역</t>
        </is>
      </c>
      <c r="C110" s="3" t="inlineStr">
        <is>
          <t>대</t>
        </is>
      </c>
      <c r="D110" s="3" t="inlineStr">
        <is>
          <t>공장</t>
        </is>
      </c>
      <c r="E110" s="3" t="inlineStr">
        <is>
          <t>매매</t>
        </is>
      </c>
      <c r="F110" s="4" t="n">
        <v>290000</v>
      </c>
      <c r="G110" s="4" t="n">
        <v>0</v>
      </c>
      <c r="H110" s="4" t="n">
        <v>3312</v>
      </c>
      <c r="I110" s="4" t="n">
        <v>1002</v>
      </c>
      <c r="J110" s="5" t="n">
        <v>289.4</v>
      </c>
      <c r="K110" s="4" t="n">
        <v>1665</v>
      </c>
      <c r="L110" s="4" t="n">
        <v>504</v>
      </c>
      <c r="M110" s="5" t="n">
        <v>575.4</v>
      </c>
      <c r="N110" s="3" t="inlineStr">
        <is>
          <t>3</t>
        </is>
      </c>
      <c r="O110" s="3" t="inlineStr">
        <is>
          <t>-</t>
        </is>
      </c>
      <c r="P110" s="3" t="inlineStr">
        <is>
          <t>3층2종근생2동 전체매각 접근성편리</t>
        </is>
      </c>
      <c r="Q110" s="6">
        <f>HYPERLINK("https://fin.land.naver.com/articles/2646702778", "매물Link")</f>
        <v/>
      </c>
      <c r="R110" s="6">
        <f>HYPERLINK("https://map.naver.com/p/search/세종특별자치시 나성동 829", "지도Link")</f>
        <v/>
      </c>
      <c r="S110" s="6">
        <f>HYPERLINK("http://www.eum.go.kr/web/ar/lu/luLandDet.jsp?pnu=3611010700108290000&amp;isNoScr=script&amp;mode=search", "토지이음")</f>
        <v/>
      </c>
      <c r="T110" s="3" t="inlineStr">
        <is>
          <t>정세영</t>
        </is>
      </c>
      <c r="U110" s="3" t="n">
        <v>1</v>
      </c>
      <c r="V110" s="3" t="inlineStr">
        <is>
          <t>901(전망공간)</t>
        </is>
      </c>
      <c r="W110" s="4" t="n">
        <v>1665</v>
      </c>
      <c r="X110" s="3" t="inlineStr">
        <is>
          <t>철근콘크리트구조</t>
        </is>
      </c>
      <c r="Y110" s="3" t="inlineStr">
        <is>
          <t>제2종근린생활시설</t>
        </is>
      </c>
      <c r="Z110" s="3" t="inlineStr">
        <is>
          <t>-m</t>
        </is>
      </c>
      <c r="AA110" s="3" t="inlineStr">
        <is>
          <t>2021-08-20</t>
        </is>
      </c>
    </row>
    <row r="111">
      <c r="A111" s="3" t="inlineStr">
        <is>
          <t>세종특별자치시 나성동 829</t>
        </is>
      </c>
      <c r="B111" s="3" t="inlineStr">
        <is>
          <t>중심상업지역</t>
        </is>
      </c>
      <c r="C111" s="3" t="inlineStr">
        <is>
          <t>대</t>
        </is>
      </c>
      <c r="D111" s="3" t="inlineStr">
        <is>
          <t>창고</t>
        </is>
      </c>
      <c r="E111" s="3" t="inlineStr">
        <is>
          <t>월세</t>
        </is>
      </c>
      <c r="F111" s="4" t="n">
        <v>2000</v>
      </c>
      <c r="G111" s="4" t="n">
        <v>180</v>
      </c>
      <c r="H111" s="4" t="n">
        <v>660</v>
      </c>
      <c r="I111" s="4" t="n">
        <v>200</v>
      </c>
      <c r="J111" s="5" t="n">
        <v>0.9</v>
      </c>
      <c r="K111" s="4" t="n">
        <v>216</v>
      </c>
      <c r="L111" s="4" t="n">
        <v>65</v>
      </c>
      <c r="M111" s="5" t="n">
        <v>2.8</v>
      </c>
      <c r="N111" s="3" t="inlineStr">
        <is>
          <t>1</t>
        </is>
      </c>
      <c r="O111" s="3" t="inlineStr">
        <is>
          <t>-</t>
        </is>
      </c>
      <c r="P111" s="3" t="inlineStr">
        <is>
          <t>신규창고공장입니다가격조절가능함</t>
        </is>
      </c>
      <c r="Q111" s="6">
        <f>HYPERLINK("https://fin.land.naver.com/articles/2644476368", "매물Link")</f>
        <v/>
      </c>
      <c r="R111" s="6">
        <f>HYPERLINK("https://map.naver.com/p/search/세종특별자치시 나성동 829", "지도Link")</f>
        <v/>
      </c>
      <c r="S111" s="6">
        <f>HYPERLINK("http://www.eum.go.kr/web/ar/lu/luLandDet.jsp?pnu=3611010700108290000&amp;isNoScr=script&amp;mode=search", "토지이음")</f>
        <v/>
      </c>
      <c r="T111" s="3" t="inlineStr">
        <is>
          <t>남청주ic합동무소</t>
        </is>
      </c>
      <c r="U111" s="3" t="n">
        <v>1</v>
      </c>
      <c r="V111" s="3" t="inlineStr">
        <is>
          <t>공동주택 주민공동시설</t>
        </is>
      </c>
      <c r="W111" s="4" t="n">
        <v>216</v>
      </c>
      <c r="X111" s="3" t="inlineStr">
        <is>
          <t>철근콘크리트구조</t>
        </is>
      </c>
      <c r="Y111" s="3" t="inlineStr">
        <is>
          <t>공동주택</t>
        </is>
      </c>
      <c r="Z111" s="3" t="inlineStr">
        <is>
          <t>-m</t>
        </is>
      </c>
      <c r="AA111" s="3" t="inlineStr">
        <is>
          <t>2021-08-20</t>
        </is>
      </c>
    </row>
    <row r="112">
      <c r="A112" s="3" t="inlineStr">
        <is>
          <t>세종특별자치시 나성동 829</t>
        </is>
      </c>
      <c r="B112" s="3" t="inlineStr">
        <is>
          <t>중심상업지역</t>
        </is>
      </c>
      <c r="C112" s="3" t="inlineStr">
        <is>
          <t>대</t>
        </is>
      </c>
      <c r="D112" s="3" t="inlineStr">
        <is>
          <t>공장</t>
        </is>
      </c>
      <c r="E112" s="3" t="inlineStr">
        <is>
          <t>월세</t>
        </is>
      </c>
      <c r="F112" s="4" t="n">
        <v>7000</v>
      </c>
      <c r="G112" s="4" t="n">
        <v>650</v>
      </c>
      <c r="H112" s="4" t="n">
        <v>5119</v>
      </c>
      <c r="I112" s="4" t="n">
        <v>1548</v>
      </c>
      <c r="J112" s="5" t="n">
        <v>0.4</v>
      </c>
      <c r="K112" s="4" t="n">
        <v>1100</v>
      </c>
      <c r="L112" s="4" t="n">
        <v>333</v>
      </c>
      <c r="M112" s="5" t="n">
        <v>2</v>
      </c>
      <c r="N112" s="3" t="inlineStr">
        <is>
          <t>1</t>
        </is>
      </c>
      <c r="O112" s="3" t="inlineStr">
        <is>
          <t>-</t>
        </is>
      </c>
      <c r="P112" s="3" t="inlineStr">
        <is>
          <t>척산에 있는공장 2층사무실있슴</t>
        </is>
      </c>
      <c r="Q112" s="6">
        <f>HYPERLINK("https://fin.land.naver.com/articles/2644476801", "매물Link")</f>
        <v/>
      </c>
      <c r="R112" s="6">
        <f>HYPERLINK("https://map.naver.com/p/search/세종특별자치시 나성동 829", "지도Link")</f>
        <v/>
      </c>
      <c r="S112" s="6">
        <f>HYPERLINK("http://www.eum.go.kr/web/ar/lu/luLandDet.jsp?pnu=3611010700108290000&amp;isNoScr=script&amp;mode=search", "토지이음")</f>
        <v/>
      </c>
      <c r="T112" s="3" t="inlineStr">
        <is>
          <t>남청주ic합동무소</t>
        </is>
      </c>
      <c r="U112" s="3" t="n">
        <v>1</v>
      </c>
      <c r="V112" s="3" t="inlineStr">
        <is>
          <t>605</t>
        </is>
      </c>
      <c r="W112" s="4" t="n">
        <v>1100</v>
      </c>
      <c r="X112" s="3" t="inlineStr">
        <is>
          <t>철근콘크리트구조</t>
        </is>
      </c>
      <c r="Y112" s="3" t="inlineStr">
        <is>
          <t>공동주택</t>
        </is>
      </c>
      <c r="Z112" s="3" t="inlineStr">
        <is>
          <t>45.30m</t>
        </is>
      </c>
      <c r="AA112" s="3" t="inlineStr">
        <is>
          <t>2021-08-20</t>
        </is>
      </c>
    </row>
    <row r="113">
      <c r="A113" s="3" t="inlineStr">
        <is>
          <t>세종특별자치시 나성동 829</t>
        </is>
      </c>
      <c r="B113" s="3" t="inlineStr">
        <is>
          <t>중심상업지역</t>
        </is>
      </c>
      <c r="C113" s="3" t="inlineStr">
        <is>
          <t>대</t>
        </is>
      </c>
      <c r="D113" s="3" t="inlineStr">
        <is>
          <t>공장</t>
        </is>
      </c>
      <c r="E113" s="3" t="inlineStr">
        <is>
          <t>매매</t>
        </is>
      </c>
      <c r="F113" s="4" t="n">
        <v>72000</v>
      </c>
      <c r="G113" s="4" t="n">
        <v>0</v>
      </c>
      <c r="H113" s="4" t="n">
        <v>4733</v>
      </c>
      <c r="I113" s="4" t="n">
        <v>1432</v>
      </c>
      <c r="J113" s="5" t="n">
        <v>50.3</v>
      </c>
      <c r="K113" s="4" t="n">
        <v>925</v>
      </c>
      <c r="L113" s="4" t="n">
        <v>280</v>
      </c>
      <c r="M113" s="5" t="n">
        <v>257.1</v>
      </c>
      <c r="N113" s="3" t="inlineStr">
        <is>
          <t>1</t>
        </is>
      </c>
      <c r="O113" s="3" t="inlineStr">
        <is>
          <t>-</t>
        </is>
      </c>
      <c r="P113" s="3" t="inlineStr">
        <is>
          <t>신축입니다</t>
        </is>
      </c>
      <c r="Q113" s="6">
        <f>HYPERLINK("https://fin.land.naver.com/articles/2644477624", "매물Link")</f>
        <v/>
      </c>
      <c r="R113" s="6">
        <f>HYPERLINK("https://map.naver.com/p/search/세종특별자치시 나성동 829", "지도Link")</f>
        <v/>
      </c>
      <c r="S113" s="6">
        <f>HYPERLINK("http://www.eum.go.kr/web/ar/lu/luLandDet.jsp?pnu=3611010700108290000&amp;isNoScr=script&amp;mode=search", "토지이음")</f>
        <v/>
      </c>
      <c r="T113" s="3" t="inlineStr">
        <is>
          <t>남청주ic합동무소</t>
        </is>
      </c>
      <c r="U113" s="3" t="n">
        <v>1</v>
      </c>
      <c r="V113" s="3" t="inlineStr">
        <is>
          <t>전망공간 지하주차장</t>
        </is>
      </c>
      <c r="W113" s="4" t="n">
        <v>925</v>
      </c>
      <c r="X113" s="3" t="inlineStr">
        <is>
          <t>철근콘크리트구조</t>
        </is>
      </c>
      <c r="Y113" s="3" t="inlineStr">
        <is>
          <t>제2종근린생활시설</t>
        </is>
      </c>
      <c r="Z113" s="3" t="inlineStr">
        <is>
          <t>4.50m</t>
        </is>
      </c>
      <c r="AA113" s="3" t="inlineStr">
        <is>
          <t>2021-08-20</t>
        </is>
      </c>
    </row>
    <row r="114">
      <c r="A114" s="3" t="inlineStr">
        <is>
          <t>세종특별자치시 나성동 829</t>
        </is>
      </c>
      <c r="B114" s="3" t="inlineStr">
        <is>
          <t>중심상업지역</t>
        </is>
      </c>
      <c r="C114" s="3" t="inlineStr">
        <is>
          <t>대</t>
        </is>
      </c>
      <c r="D114" s="3" t="inlineStr">
        <is>
          <t>창고</t>
        </is>
      </c>
      <c r="E114" s="3" t="inlineStr">
        <is>
          <t>월세</t>
        </is>
      </c>
      <c r="F114" s="4" t="n">
        <v>1000</v>
      </c>
      <c r="G114" s="4" t="n">
        <v>120</v>
      </c>
      <c r="H114" s="4" t="n">
        <v>825</v>
      </c>
      <c r="I114" s="4" t="n">
        <v>250</v>
      </c>
      <c r="J114" s="5" t="n">
        <v>0.5</v>
      </c>
      <c r="K114" s="4" t="n">
        <v>165</v>
      </c>
      <c r="L114" s="4" t="n">
        <v>50</v>
      </c>
      <c r="M114" s="5" t="n">
        <v>2.4</v>
      </c>
      <c r="N114" s="3" t="inlineStr">
        <is>
          <t>1</t>
        </is>
      </c>
      <c r="O114" s="3" t="inlineStr">
        <is>
          <t>-</t>
        </is>
      </c>
      <c r="P114" s="3" t="inlineStr">
        <is>
          <t>nan</t>
        </is>
      </c>
      <c r="Q114" s="6">
        <f>HYPERLINK("https://fin.land.naver.com/articles/2645313546", "매물Link")</f>
        <v/>
      </c>
      <c r="R114" s="6">
        <f>HYPERLINK("https://map.naver.com/p/search/세종특별자치시 나성동 829", "지도Link")</f>
        <v/>
      </c>
      <c r="S114" s="6">
        <f>HYPERLINK("http://www.eum.go.kr/web/ar/lu/luLandDet.jsp?pnu=3611010700108290000&amp;isNoScr=script&amp;mode=search", "토지이음")</f>
        <v/>
      </c>
      <c r="T114" s="3" t="inlineStr">
        <is>
          <t>사랑</t>
        </is>
      </c>
      <c r="U114" s="3" t="n">
        <v>1</v>
      </c>
      <c r="V114" s="3" t="inlineStr">
        <is>
          <t>공동주택 관리사무소</t>
        </is>
      </c>
      <c r="W114" s="4" t="n">
        <v>165</v>
      </c>
      <c r="X114" s="3" t="inlineStr">
        <is>
          <t>철근콘크리트구조</t>
        </is>
      </c>
      <c r="Y114" s="3" t="inlineStr">
        <is>
          <t>공동주택</t>
        </is>
      </c>
      <c r="Z114" s="3" t="inlineStr">
        <is>
          <t>-m</t>
        </is>
      </c>
      <c r="AA114" s="3" t="inlineStr">
        <is>
          <t>2021-08-20</t>
        </is>
      </c>
    </row>
    <row r="115">
      <c r="A115" s="3" t="inlineStr">
        <is>
          <t>세종특별자치시 나성동 829</t>
        </is>
      </c>
      <c r="B115" s="3" t="inlineStr">
        <is>
          <t>중심상업지역</t>
        </is>
      </c>
      <c r="C115" s="3" t="inlineStr">
        <is>
          <t>대</t>
        </is>
      </c>
      <c r="D115" s="3" t="inlineStr">
        <is>
          <t>창고</t>
        </is>
      </c>
      <c r="E115" s="3" t="inlineStr">
        <is>
          <t>월세</t>
        </is>
      </c>
      <c r="F115" s="4" t="n">
        <v>2000</v>
      </c>
      <c r="G115" s="4" t="n">
        <v>180</v>
      </c>
      <c r="H115" s="4" t="n">
        <v>868</v>
      </c>
      <c r="I115" s="4" t="n">
        <v>263</v>
      </c>
      <c r="J115" s="5" t="n">
        <v>0.7</v>
      </c>
      <c r="K115" s="4" t="n">
        <v>330</v>
      </c>
      <c r="L115" s="4" t="n">
        <v>100</v>
      </c>
      <c r="M115" s="5" t="n">
        <v>1.8</v>
      </c>
      <c r="N115" s="3" t="inlineStr">
        <is>
          <t>1</t>
        </is>
      </c>
      <c r="O115" s="3" t="inlineStr">
        <is>
          <t>-</t>
        </is>
      </c>
      <c r="P115" s="3" t="inlineStr">
        <is>
          <t>nan</t>
        </is>
      </c>
      <c r="Q115" s="6">
        <f>HYPERLINK("https://fin.land.naver.com/articles/2645348021", "매물Link")</f>
        <v/>
      </c>
      <c r="R115" s="6">
        <f>HYPERLINK("https://map.naver.com/p/search/세종특별자치시 나성동 829", "지도Link")</f>
        <v/>
      </c>
      <c r="S115" s="6">
        <f>HYPERLINK("http://www.eum.go.kr/web/ar/lu/luLandDet.jsp?pnu=3611010700108290000&amp;isNoScr=script&amp;mode=search", "토지이음")</f>
        <v/>
      </c>
      <c r="T115" s="3" t="inlineStr">
        <is>
          <t>명품 사무소</t>
        </is>
      </c>
      <c r="U115" s="3" t="n">
        <v>1</v>
      </c>
      <c r="V115" s="3" t="inlineStr">
        <is>
          <t>801</t>
        </is>
      </c>
      <c r="W115" s="4" t="n">
        <v>330</v>
      </c>
      <c r="X115" s="3" t="inlineStr">
        <is>
          <t>철근콘크리트구조</t>
        </is>
      </c>
      <c r="Y115" s="3" t="inlineStr">
        <is>
          <t>제2종근린생활시설</t>
        </is>
      </c>
      <c r="Z115" s="3" t="inlineStr">
        <is>
          <t>-m</t>
        </is>
      </c>
      <c r="AA115" s="3" t="inlineStr">
        <is>
          <t>2021-08-20</t>
        </is>
      </c>
    </row>
    <row r="116">
      <c r="A116" s="3" t="inlineStr">
        <is>
          <t>세종특별자치시 나성동 829</t>
        </is>
      </c>
      <c r="B116" s="3" t="inlineStr">
        <is>
          <t>중심상업지역</t>
        </is>
      </c>
      <c r="C116" s="3" t="inlineStr">
        <is>
          <t>대</t>
        </is>
      </c>
      <c r="D116" s="3" t="inlineStr">
        <is>
          <t>공장</t>
        </is>
      </c>
      <c r="E116" s="3" t="inlineStr">
        <is>
          <t>월세</t>
        </is>
      </c>
      <c r="F116" s="4" t="n">
        <v>2000</v>
      </c>
      <c r="G116" s="4" t="n">
        <v>150</v>
      </c>
      <c r="H116" s="4" t="n">
        <v>1808</v>
      </c>
      <c r="I116" s="4" t="n">
        <v>547</v>
      </c>
      <c r="J116" s="5" t="n">
        <v>0.3</v>
      </c>
      <c r="K116" s="4" t="n">
        <v>382</v>
      </c>
      <c r="L116" s="4" t="n">
        <v>116</v>
      </c>
      <c r="M116" s="5" t="n">
        <v>1.3</v>
      </c>
      <c r="N116" s="3" t="inlineStr">
        <is>
          <t>1</t>
        </is>
      </c>
      <c r="O116" s="3" t="inlineStr">
        <is>
          <t>-</t>
        </is>
      </c>
      <c r="P116" s="3" t="inlineStr">
        <is>
          <t>nan</t>
        </is>
      </c>
      <c r="Q116" s="6">
        <f>HYPERLINK("https://fin.land.naver.com/articles/2645777001", "매물Link")</f>
        <v/>
      </c>
      <c r="R116" s="6">
        <f>HYPERLINK("https://map.naver.com/p/search/세종특별자치시 나성동 829", "지도Link")</f>
        <v/>
      </c>
      <c r="S116" s="6">
        <f>HYPERLINK("http://www.eum.go.kr/web/ar/lu/luLandDet.jsp?pnu=3611010700108290000&amp;isNoScr=script&amp;mode=search", "토지이음")</f>
        <v/>
      </c>
      <c r="T116" s="3" t="inlineStr">
        <is>
          <t>오너스</t>
        </is>
      </c>
      <c r="U116" s="3" t="n">
        <v>1</v>
      </c>
      <c r="V116" s="3" t="inlineStr">
        <is>
          <t>전망공간 기계실</t>
        </is>
      </c>
      <c r="W116" s="4" t="n">
        <v>382</v>
      </c>
      <c r="X116" s="3" t="inlineStr">
        <is>
          <t>철근콘크리트구조</t>
        </is>
      </c>
      <c r="Y116" s="3" t="inlineStr">
        <is>
          <t>제2종근린생활시설</t>
        </is>
      </c>
      <c r="Z116" s="3" t="inlineStr">
        <is>
          <t>-m</t>
        </is>
      </c>
      <c r="AA116" s="3" t="inlineStr">
        <is>
          <t>2021-08-20</t>
        </is>
      </c>
    </row>
    <row r="117">
      <c r="A117" s="3" t="inlineStr">
        <is>
          <t>세종특별자치시 나성동 829</t>
        </is>
      </c>
      <c r="B117" s="3" t="inlineStr">
        <is>
          <t>중심상업지역</t>
        </is>
      </c>
      <c r="C117" s="3" t="inlineStr">
        <is>
          <t>대</t>
        </is>
      </c>
      <c r="D117" s="3" t="inlineStr">
        <is>
          <t>창고</t>
        </is>
      </c>
      <c r="E117" s="3" t="inlineStr">
        <is>
          <t>매매</t>
        </is>
      </c>
      <c r="F117" s="4" t="n">
        <v>430000</v>
      </c>
      <c r="G117" s="4" t="n">
        <v>0</v>
      </c>
      <c r="H117" s="4" t="n">
        <v>3934</v>
      </c>
      <c r="I117" s="4" t="n">
        <v>1190</v>
      </c>
      <c r="J117" s="5" t="n">
        <v>361.3</v>
      </c>
      <c r="K117" s="4" t="n">
        <v>812</v>
      </c>
      <c r="L117" s="4" t="n">
        <v>246</v>
      </c>
      <c r="M117" s="5" t="n">
        <v>1748</v>
      </c>
      <c r="N117" s="3" t="inlineStr">
        <is>
          <t>2</t>
        </is>
      </c>
      <c r="O117" s="3" t="inlineStr">
        <is>
          <t>-</t>
        </is>
      </c>
      <c r="P117" s="3" t="inlineStr">
        <is>
          <t>신탄진IC차량시간 약 10분대접근가능위치</t>
        </is>
      </c>
      <c r="Q117" s="6">
        <f>HYPERLINK("https://fin.land.naver.com/articles/2645568759", "매물Link")</f>
        <v/>
      </c>
      <c r="R117" s="6">
        <f>HYPERLINK("https://map.naver.com/p/search/세종특별자치시 나성동 829", "지도Link")</f>
        <v/>
      </c>
      <c r="S117" s="6">
        <f>HYPERLINK("http://www.eum.go.kr/web/ar/lu/luLandDet.jsp?pnu=3611010700108290000&amp;isNoScr=script&amp;mode=search", "토지이음")</f>
        <v/>
      </c>
      <c r="T117" s="3" t="inlineStr">
        <is>
          <t>미래로</t>
        </is>
      </c>
      <c r="U117" s="3" t="n">
        <v>1</v>
      </c>
      <c r="V117" s="3" t="inlineStr">
        <is>
          <t>공동주택 휘트니스</t>
        </is>
      </c>
      <c r="W117" s="4" t="n">
        <v>812</v>
      </c>
      <c r="X117" s="3" t="inlineStr">
        <is>
          <t>철근콘크리트구조</t>
        </is>
      </c>
      <c r="Y117" s="3" t="inlineStr">
        <is>
          <t>공동주택</t>
        </is>
      </c>
      <c r="Z117" s="3" t="inlineStr">
        <is>
          <t>-m</t>
        </is>
      </c>
      <c r="AA117" s="3" t="inlineStr">
        <is>
          <t>2021-08-20</t>
        </is>
      </c>
    </row>
    <row r="118">
      <c r="A118" s="3" t="inlineStr">
        <is>
          <t>세종특별자치시 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HYPERLINK("https://map.naver.com/p/search/세종특별자치시 나성동 829", "지도Link")</f>
        <v/>
      </c>
      <c r="S118" s="6">
        <f>HYPERLINK("http://www.eum.go.kr/web/ar/lu/luLandDet.jsp?pnu=3611010700108290000&amp;isNoScr=script&amp;mode=search", "토지이음")</f>
        <v/>
      </c>
      <c r="T118" s="3" t="inlineStr">
        <is>
          <t>삼성사무소</t>
        </is>
      </c>
      <c r="U118" s="3" t="n">
        <v>1</v>
      </c>
      <c r="V118" s="3" t="inlineStr">
        <is>
          <t>공동주택 전기,발전기실</t>
        </is>
      </c>
      <c r="W118" s="4" t="n">
        <v>297</v>
      </c>
      <c r="X118" s="3" t="inlineStr">
        <is>
          <t>철근콘크리트구조</t>
        </is>
      </c>
      <c r="Y118" s="3" t="inlineStr">
        <is>
          <t>공동주택</t>
        </is>
      </c>
      <c r="Z118" s="3" t="inlineStr">
        <is>
          <t>-m</t>
        </is>
      </c>
      <c r="AA118" s="3" t="inlineStr">
        <is>
          <t>2021-08-20</t>
        </is>
      </c>
    </row>
    <row r="119">
      <c r="A119" s="3" t="inlineStr">
        <is>
          <t>세종특별자치시 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HYPERLINK("https://map.naver.com/p/search/세종특별자치시 나성동 829", "지도Link")</f>
        <v/>
      </c>
      <c r="S119" s="6">
        <f>HYPERLINK("http://www.eum.go.kr/web/ar/lu/luLandDet.jsp?pnu=3611010700108290000&amp;isNoScr=script&amp;mode=search", "토지이음")</f>
        <v/>
      </c>
      <c r="T119" s="3" t="inlineStr">
        <is>
          <t>길</t>
        </is>
      </c>
      <c r="U119" s="3" t="n">
        <v>1</v>
      </c>
      <c r="V119" s="3" t="inlineStr">
        <is>
          <t>604</t>
        </is>
      </c>
      <c r="W119" s="4" t="n">
        <v>1053</v>
      </c>
      <c r="X119" s="3" t="inlineStr">
        <is>
          <t>철근콘크리트구조</t>
        </is>
      </c>
      <c r="Y119" s="3" t="inlineStr">
        <is>
          <t>공동주택</t>
        </is>
      </c>
      <c r="Z119" s="3" t="inlineStr">
        <is>
          <t>38.30m</t>
        </is>
      </c>
      <c r="AA119" s="3" t="inlineStr">
        <is>
          <t>2021-08-20</t>
        </is>
      </c>
    </row>
    <row r="120">
      <c r="A120" s="3" t="inlineStr">
        <is>
          <t>세종특별자치시 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HYPERLINK("https://map.naver.com/p/search/세종특별자치시 나성동 829", "지도Link")</f>
        <v/>
      </c>
      <c r="S120" s="6">
        <f>HYPERLINK("http://www.eum.go.kr/web/ar/lu/luLandDet.jsp?pnu=3611010700108290000&amp;isNoScr=script&amp;mode=search", "토지이음")</f>
        <v/>
      </c>
      <c r="T120" s="3" t="inlineStr">
        <is>
          <t>더원</t>
        </is>
      </c>
      <c r="U120" s="3" t="n">
        <v>1</v>
      </c>
      <c r="V120" s="3" t="inlineStr">
        <is>
          <t>판매시설 지하주차장</t>
        </is>
      </c>
      <c r="W120" s="4" t="n">
        <v>130</v>
      </c>
      <c r="X120" s="3" t="inlineStr">
        <is>
          <t>철근콘크리트구조</t>
        </is>
      </c>
      <c r="Y120" s="3" t="inlineStr">
        <is>
          <t>판매시설</t>
        </is>
      </c>
      <c r="Z120" s="3" t="inlineStr">
        <is>
          <t>-m</t>
        </is>
      </c>
      <c r="AA120" s="3" t="inlineStr">
        <is>
          <t>2021-08-20</t>
        </is>
      </c>
    </row>
    <row r="121">
      <c r="A121" s="3" t="inlineStr">
        <is>
          <t>세종특별자치시 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HYPERLINK("https://map.naver.com/p/search/세종특별자치시 나성동 829", "지도Link")</f>
        <v/>
      </c>
      <c r="S121" s="6">
        <f>HYPERLINK("http://www.eum.go.kr/web/ar/lu/luLandDet.jsp?pnu=3611010700108290000&amp;isNoScr=script&amp;mode=search", "토지이음")</f>
        <v/>
      </c>
      <c r="T121" s="3" t="inlineStr">
        <is>
          <t>대영</t>
        </is>
      </c>
      <c r="U121" s="3" t="n">
        <v>1</v>
      </c>
      <c r="V121" s="3" t="inlineStr">
        <is>
          <t>802</t>
        </is>
      </c>
      <c r="W121" s="4" t="n">
        <v>2778</v>
      </c>
      <c r="X121" s="3" t="inlineStr">
        <is>
          <t>철근콘크리트구조</t>
        </is>
      </c>
      <c r="Y121" s="3" t="inlineStr">
        <is>
          <t>제2종근린생활시설</t>
        </is>
      </c>
      <c r="Z121" s="3" t="inlineStr">
        <is>
          <t>-m</t>
        </is>
      </c>
      <c r="AA121" s="3" t="inlineStr">
        <is>
          <t>2021-08-20</t>
        </is>
      </c>
    </row>
    <row r="122">
      <c r="A122" s="3" t="inlineStr">
        <is>
          <t>세종특별자치시 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HYPERLINK("https://map.naver.com/p/search/세종특별자치시 나성동 829", "지도Link")</f>
        <v/>
      </c>
      <c r="S122" s="6">
        <f>HYPERLINK("http://www.eum.go.kr/web/ar/lu/luLandDet.jsp?pnu=3611010700108290000&amp;isNoScr=script&amp;mode=search", "토지이음")</f>
        <v/>
      </c>
      <c r="T122" s="3" t="inlineStr">
        <is>
          <t>더원</t>
        </is>
      </c>
      <c r="U122" s="3" t="n">
        <v>1</v>
      </c>
      <c r="V122" s="3" t="inlineStr">
        <is>
          <t>전망공간 지하주차장</t>
        </is>
      </c>
      <c r="W122" s="4" t="n">
        <v>958</v>
      </c>
      <c r="X122" s="3" t="inlineStr">
        <is>
          <t>철근콘크리트구조</t>
        </is>
      </c>
      <c r="Y122" s="3" t="inlineStr">
        <is>
          <t>제2종근린생활시설</t>
        </is>
      </c>
      <c r="Z122" s="3" t="inlineStr">
        <is>
          <t>4.50m</t>
        </is>
      </c>
      <c r="AA122" s="3" t="inlineStr">
        <is>
          <t>2021-08-20</t>
        </is>
      </c>
    </row>
    <row r="123">
      <c r="A123" s="3" t="inlineStr">
        <is>
          <t>세종특별자치시 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HYPERLINK("https://map.naver.com/p/search/세종특별자치시 나성동 829", "지도Link")</f>
        <v/>
      </c>
      <c r="S123" s="6">
        <f>HYPERLINK("http://www.eum.go.kr/web/ar/lu/luLandDet.jsp?pnu=3611010700108290000&amp;isNoScr=script&amp;mode=search", "토지이음")</f>
        <v/>
      </c>
      <c r="T123" s="3" t="inlineStr">
        <is>
          <t>더원</t>
        </is>
      </c>
      <c r="U123" s="3" t="n">
        <v>1</v>
      </c>
      <c r="V123" s="3" t="inlineStr">
        <is>
          <t>판매시설 지하주차장</t>
        </is>
      </c>
      <c r="W123" s="4" t="n">
        <v>130</v>
      </c>
      <c r="X123" s="3" t="inlineStr">
        <is>
          <t>철근콘크리트구조</t>
        </is>
      </c>
      <c r="Y123" s="3" t="inlineStr">
        <is>
          <t>판매시설</t>
        </is>
      </c>
      <c r="Z123" s="3" t="inlineStr">
        <is>
          <t>-m</t>
        </is>
      </c>
      <c r="AA123" s="3" t="inlineStr">
        <is>
          <t>2021-08-20</t>
        </is>
      </c>
    </row>
    <row r="124">
      <c r="A124" s="3" t="inlineStr">
        <is>
          <t>세종특별자치시 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HYPERLINK("https://map.naver.com/p/search/세종특별자치시 나성동 829", "지도Link")</f>
        <v/>
      </c>
      <c r="S124" s="6">
        <f>HYPERLINK("http://www.eum.go.kr/web/ar/lu/luLandDet.jsp?pnu=3611010700108290000&amp;isNoScr=script&amp;mode=search", "토지이음")</f>
        <v/>
      </c>
      <c r="T124" s="3" t="inlineStr">
        <is>
          <t>옥산리버자이</t>
        </is>
      </c>
      <c r="U124" s="3" t="n">
        <v>1</v>
      </c>
      <c r="V124" s="3" t="inlineStr">
        <is>
          <t>공동주택 바이크스테이션</t>
        </is>
      </c>
      <c r="W124" s="4" t="n">
        <v>81</v>
      </c>
      <c r="X124" s="3" t="inlineStr">
        <is>
          <t>철근콘크리트구조</t>
        </is>
      </c>
      <c r="Y124" s="3" t="inlineStr">
        <is>
          <t>공동주택</t>
        </is>
      </c>
      <c r="Z124" s="3" t="inlineStr">
        <is>
          <t>-m</t>
        </is>
      </c>
      <c r="AA124" s="3" t="inlineStr">
        <is>
          <t>2021-08-20</t>
        </is>
      </c>
    </row>
    <row r="125">
      <c r="A125" s="3" t="inlineStr">
        <is>
          <t>세종특별자치시 나성동 829</t>
        </is>
      </c>
      <c r="B125" s="3" t="inlineStr">
        <is>
          <t>중심상업지역</t>
        </is>
      </c>
      <c r="C125" s="3" t="inlineStr">
        <is>
          <t>대</t>
        </is>
      </c>
      <c r="D125" s="3" t="inlineStr">
        <is>
          <t>창고</t>
        </is>
      </c>
      <c r="E125" s="3" t="inlineStr">
        <is>
          <t>월세</t>
        </is>
      </c>
      <c r="F125" s="4" t="n">
        <v>7000</v>
      </c>
      <c r="G125" s="4" t="n">
        <v>685</v>
      </c>
      <c r="H125" s="4" t="n">
        <v>6000</v>
      </c>
      <c r="I125" s="4" t="n">
        <v>1815</v>
      </c>
      <c r="J125" s="5" t="n">
        <v>0.4</v>
      </c>
      <c r="K125" s="4" t="n">
        <v>1190</v>
      </c>
      <c r="L125" s="4" t="n">
        <v>360</v>
      </c>
      <c r="M125" s="5" t="n">
        <v>1.9</v>
      </c>
      <c r="N125" s="3" t="inlineStr">
        <is>
          <t>1</t>
        </is>
      </c>
      <c r="O125" s="3" t="inlineStr">
        <is>
          <t>-</t>
        </is>
      </c>
      <c r="P125" s="3" t="inlineStr">
        <is>
          <t>청주 일반산업단지 저렴한 창고 임대 7월중순경 협의가능</t>
        </is>
      </c>
      <c r="Q125" s="6">
        <f>HYPERLINK("https://fin.land.naver.com/articles/2649657100", "매물Link")</f>
        <v/>
      </c>
      <c r="R125" s="6">
        <f>HYPERLINK("https://map.naver.com/p/search/세종특별자치시 나성동 829", "지도Link")</f>
        <v/>
      </c>
      <c r="S125" s="6">
        <f>HYPERLINK("http://www.eum.go.kr/web/ar/lu/luLandDet.jsp?pnu=3611010700108290000&amp;isNoScr=script&amp;mode=search", "토지이음")</f>
        <v/>
      </c>
      <c r="T125" s="3" t="inlineStr">
        <is>
          <t>더원</t>
        </is>
      </c>
      <c r="U125" s="3" t="n">
        <v>1</v>
      </c>
      <c r="V125" s="3" t="inlineStr">
        <is>
          <t>605</t>
        </is>
      </c>
      <c r="W125" s="4" t="n">
        <v>1190</v>
      </c>
      <c r="X125" s="3" t="inlineStr">
        <is>
          <t>철근콘크리트구조</t>
        </is>
      </c>
      <c r="Y125" s="3" t="inlineStr">
        <is>
          <t>공동주택</t>
        </is>
      </c>
      <c r="Z125" s="3" t="inlineStr">
        <is>
          <t>45.30m</t>
        </is>
      </c>
      <c r="AA125" s="3" t="inlineStr">
        <is>
          <t>2021-08-20</t>
        </is>
      </c>
    </row>
    <row r="126">
      <c r="A126" s="3" t="inlineStr">
        <is>
          <t>세종특별자치시 나성동 829</t>
        </is>
      </c>
      <c r="B126" s="3" t="inlineStr">
        <is>
          <t>중심상업지역</t>
        </is>
      </c>
      <c r="C126" s="3" t="inlineStr">
        <is>
          <t>대</t>
        </is>
      </c>
      <c r="D126" s="3" t="inlineStr">
        <is>
          <t>공장</t>
        </is>
      </c>
      <c r="E126" s="3" t="inlineStr">
        <is>
          <t>월세</t>
        </is>
      </c>
      <c r="F126" s="4" t="n">
        <v>6000</v>
      </c>
      <c r="G126" s="4" t="n">
        <v>680</v>
      </c>
      <c r="H126" s="4" t="n">
        <v>1652</v>
      </c>
      <c r="I126" s="4" t="n">
        <v>500</v>
      </c>
      <c r="J126" s="5" t="n">
        <v>1.4</v>
      </c>
      <c r="K126" s="4" t="n">
        <v>1190</v>
      </c>
      <c r="L126" s="4" t="n">
        <v>360</v>
      </c>
      <c r="M126" s="5" t="n">
        <v>1.9</v>
      </c>
      <c r="N126" s="3" t="inlineStr">
        <is>
          <t>1</t>
        </is>
      </c>
      <c r="O126" s="3" t="inlineStr">
        <is>
          <t>-</t>
        </is>
      </c>
      <c r="P126" s="3" t="inlineStr">
        <is>
          <t>청주하이닉스인근 산단 창고 제조 저렴한 층고4미터</t>
        </is>
      </c>
      <c r="Q126" s="6">
        <f>HYPERLINK("https://fin.land.naver.com/articles/2649557299", "매물Link")</f>
        <v/>
      </c>
      <c r="R126" s="6">
        <f>HYPERLINK("https://map.naver.com/p/search/세종특별자치시 나성동 829", "지도Link")</f>
        <v/>
      </c>
      <c r="S126" s="6">
        <f>HYPERLINK("http://www.eum.go.kr/web/ar/lu/luLandDet.jsp?pnu=3611010700108290000&amp;isNoScr=script&amp;mode=search", "토지이음")</f>
        <v/>
      </c>
      <c r="T126" s="3" t="inlineStr">
        <is>
          <t>공장365</t>
        </is>
      </c>
      <c r="U126" s="3" t="n">
        <v>1</v>
      </c>
      <c r="V126" s="3" t="inlineStr">
        <is>
          <t>605</t>
        </is>
      </c>
      <c r="W126" s="4" t="n">
        <v>1190</v>
      </c>
      <c r="X126" s="3" t="inlineStr">
        <is>
          <t>철근콘크리트구조</t>
        </is>
      </c>
      <c r="Y126" s="3" t="inlineStr">
        <is>
          <t>공동주택</t>
        </is>
      </c>
      <c r="Z126" s="3" t="inlineStr">
        <is>
          <t>45.30m</t>
        </is>
      </c>
      <c r="AA126" s="3" t="inlineStr">
        <is>
          <t>2021-08-20</t>
        </is>
      </c>
    </row>
    <row r="127">
      <c r="A127" s="3" t="inlineStr">
        <is>
          <t>세종특별자치시 나성동 829</t>
        </is>
      </c>
      <c r="B127" s="3" t="inlineStr">
        <is>
          <t>중심상업지역</t>
        </is>
      </c>
      <c r="C127" s="3" t="inlineStr">
        <is>
          <t>대</t>
        </is>
      </c>
      <c r="D127" s="3" t="inlineStr">
        <is>
          <t>공장</t>
        </is>
      </c>
      <c r="E127" s="3" t="inlineStr">
        <is>
          <t>월세</t>
        </is>
      </c>
      <c r="F127" s="4" t="n">
        <v>2200</v>
      </c>
      <c r="G127" s="4" t="n">
        <v>220</v>
      </c>
      <c r="H127" s="4" t="n">
        <v>661</v>
      </c>
      <c r="I127" s="4" t="n">
        <v>200</v>
      </c>
      <c r="J127" s="5" t="n">
        <v>1.1</v>
      </c>
      <c r="K127" s="4" t="n">
        <v>429</v>
      </c>
      <c r="L127" s="4" t="n">
        <v>130</v>
      </c>
      <c r="M127" s="5" t="n">
        <v>1.7</v>
      </c>
      <c r="N127" s="3" t="inlineStr">
        <is>
          <t>2</t>
        </is>
      </c>
      <c r="O127" s="3" t="inlineStr">
        <is>
          <t>-</t>
        </is>
      </c>
      <c r="P127" s="3" t="inlineStr">
        <is>
          <t>청주산단내 임대공장 하이닉스인근 일반제조 조립 창고 가능</t>
        </is>
      </c>
      <c r="Q127" s="6">
        <f>HYPERLINK("https://fin.land.naver.com/articles/2646742737", "매물Link")</f>
        <v/>
      </c>
      <c r="R127" s="6">
        <f>HYPERLINK("https://map.naver.com/p/search/세종특별자치시 나성동 829", "지도Link")</f>
        <v/>
      </c>
      <c r="S127" s="6">
        <f>HYPERLINK("http://www.eum.go.kr/web/ar/lu/luLandDet.jsp?pnu=3611010700108290000&amp;isNoScr=script&amp;mode=search", "토지이음")</f>
        <v/>
      </c>
      <c r="T127" s="3" t="inlineStr">
        <is>
          <t>공장365</t>
        </is>
      </c>
      <c r="U127" s="3" t="n">
        <v>1</v>
      </c>
      <c r="V127" s="3" t="inlineStr">
        <is>
          <t>전망공간 기계실</t>
        </is>
      </c>
      <c r="W127" s="4" t="n">
        <v>429</v>
      </c>
      <c r="X127" s="3" t="inlineStr">
        <is>
          <t>철근콘크리트구조</t>
        </is>
      </c>
      <c r="Y127" s="3" t="inlineStr">
        <is>
          <t>제2종근린생활시설</t>
        </is>
      </c>
      <c r="Z127" s="3" t="inlineStr">
        <is>
          <t>-m</t>
        </is>
      </c>
      <c r="AA127" s="3" t="inlineStr">
        <is>
          <t>2021-08-20</t>
        </is>
      </c>
    </row>
    <row r="128">
      <c r="A128" s="3" t="inlineStr">
        <is>
          <t>세종특별자치시 나성동 829</t>
        </is>
      </c>
      <c r="B128" s="3" t="inlineStr">
        <is>
          <t>중심상업지역</t>
        </is>
      </c>
      <c r="C128" s="3" t="inlineStr">
        <is>
          <t>대</t>
        </is>
      </c>
      <c r="D128" s="3" t="inlineStr">
        <is>
          <t>창고</t>
        </is>
      </c>
      <c r="E128" s="3" t="inlineStr">
        <is>
          <t>월세</t>
        </is>
      </c>
      <c r="F128" s="4" t="n">
        <v>2000</v>
      </c>
      <c r="G128" s="4" t="n">
        <v>200</v>
      </c>
      <c r="H128" s="4" t="n">
        <v>1155</v>
      </c>
      <c r="I128" s="4" t="n">
        <v>349</v>
      </c>
      <c r="J128" s="5" t="n">
        <v>0.6</v>
      </c>
      <c r="K128" s="4" t="n">
        <v>232</v>
      </c>
      <c r="L128" s="4" t="n">
        <v>70</v>
      </c>
      <c r="M128" s="5" t="n">
        <v>2.9</v>
      </c>
      <c r="N128" s="3" t="inlineStr">
        <is>
          <t>1</t>
        </is>
      </c>
      <c r="O128" s="3" t="inlineStr">
        <is>
          <t>-</t>
        </is>
      </c>
      <c r="P128" s="3" t="inlineStr">
        <is>
          <t>nan</t>
        </is>
      </c>
      <c r="Q128" s="6">
        <f>HYPERLINK("https://fin.land.naver.com/articles/2647683698", "매물Link")</f>
        <v/>
      </c>
      <c r="R128" s="6">
        <f>HYPERLINK("https://map.naver.com/p/search/세종특별자치시 나성동 829", "지도Link")</f>
        <v/>
      </c>
      <c r="S128" s="6">
        <f>HYPERLINK("http://www.eum.go.kr/web/ar/lu/luLandDet.jsp?pnu=3611010700108290000&amp;isNoScr=script&amp;mode=search", "토지이음")</f>
        <v/>
      </c>
      <c r="T128" s="3" t="inlineStr">
        <is>
          <t>교차로</t>
        </is>
      </c>
      <c r="U128" s="3" t="n">
        <v>1</v>
      </c>
      <c r="V128" s="3" t="inlineStr">
        <is>
          <t>공동주택 보육시설</t>
        </is>
      </c>
      <c r="W128" s="4" t="n">
        <v>232</v>
      </c>
      <c r="X128" s="3" t="inlineStr">
        <is>
          <t>철근콘크리트구조</t>
        </is>
      </c>
      <c r="Y128" s="3" t="inlineStr">
        <is>
          <t>공동주택</t>
        </is>
      </c>
      <c r="Z128" s="3" t="inlineStr">
        <is>
          <t>-m</t>
        </is>
      </c>
      <c r="AA128" s="3" t="inlineStr">
        <is>
          <t>2021-08-20</t>
        </is>
      </c>
    </row>
    <row r="129">
      <c r="A129" s="3" t="inlineStr">
        <is>
          <t>세종특별자치시 나성동 829</t>
        </is>
      </c>
      <c r="B129" s="3" t="inlineStr">
        <is>
          <t>중심상업지역</t>
        </is>
      </c>
      <c r="C129" s="3" t="inlineStr">
        <is>
          <t>대</t>
        </is>
      </c>
      <c r="D129" s="3" t="inlineStr">
        <is>
          <t>공장</t>
        </is>
      </c>
      <c r="E129" s="3" t="inlineStr">
        <is>
          <t>매매</t>
        </is>
      </c>
      <c r="F129" s="4" t="n">
        <v>260000</v>
      </c>
      <c r="G129" s="4" t="n">
        <v>0</v>
      </c>
      <c r="H129" s="4" t="n">
        <v>2585</v>
      </c>
      <c r="I129" s="4" t="n">
        <v>782</v>
      </c>
      <c r="J129" s="5" t="n">
        <v>332.5</v>
      </c>
      <c r="K129" s="4" t="n">
        <v>637</v>
      </c>
      <c r="L129" s="4" t="n">
        <v>193</v>
      </c>
      <c r="M129" s="5" t="n">
        <v>1347.2</v>
      </c>
      <c r="N129" s="3" t="inlineStr">
        <is>
          <t>2</t>
        </is>
      </c>
      <c r="O129" s="3" t="inlineStr">
        <is>
          <t>-</t>
        </is>
      </c>
      <c r="P129" s="3" t="inlineStr">
        <is>
          <t>석곡교차로 인근 2차선 도로접한 공장</t>
        </is>
      </c>
      <c r="Q129" s="6">
        <f>HYPERLINK("https://fin.land.naver.com/articles/2648082267", "매물Link")</f>
        <v/>
      </c>
      <c r="R129" s="6">
        <f>HYPERLINK("https://map.naver.com/p/search/세종특별자치시 나성동 829", "지도Link")</f>
        <v/>
      </c>
      <c r="S129" s="6">
        <f>HYPERLINK("http://www.eum.go.kr/web/ar/lu/luLandDet.jsp?pnu=3611010700108290000&amp;isNoScr=script&amp;mode=search", "토지이음")</f>
        <v/>
      </c>
      <c r="T129" s="3" t="inlineStr">
        <is>
          <t>좋은터</t>
        </is>
      </c>
      <c r="U129" s="3" t="n">
        <v>1</v>
      </c>
      <c r="V129" s="3" t="inlineStr">
        <is>
          <t>803</t>
        </is>
      </c>
      <c r="W129" s="4" t="n">
        <v>637</v>
      </c>
      <c r="X129" s="3" t="inlineStr">
        <is>
          <t>철근콘크리트구조</t>
        </is>
      </c>
      <c r="Y129" s="3" t="inlineStr">
        <is>
          <t>제2종근린생활시설</t>
        </is>
      </c>
      <c r="Z129" s="3" t="inlineStr">
        <is>
          <t>-m</t>
        </is>
      </c>
      <c r="AA129" s="3" t="inlineStr">
        <is>
          <t>2021-08-20</t>
        </is>
      </c>
    </row>
    <row r="130">
      <c r="A130" s="3" t="inlineStr">
        <is>
          <t>세종특별자치시 나성동 829</t>
        </is>
      </c>
      <c r="B130" s="3" t="inlineStr">
        <is>
          <t>중심상업지역</t>
        </is>
      </c>
      <c r="C130" s="3" t="inlineStr">
        <is>
          <t>대</t>
        </is>
      </c>
      <c r="D130" s="3" t="inlineStr">
        <is>
          <t>공장</t>
        </is>
      </c>
      <c r="E130" s="3" t="inlineStr">
        <is>
          <t>매매</t>
        </is>
      </c>
      <c r="F130" s="4" t="n">
        <v>300000</v>
      </c>
      <c r="G130" s="4" t="n">
        <v>0</v>
      </c>
      <c r="H130" s="4" t="n">
        <v>3740</v>
      </c>
      <c r="I130" s="4" t="n">
        <v>1131</v>
      </c>
      <c r="J130" s="5" t="n">
        <v>265.3</v>
      </c>
      <c r="K130" s="4" t="n">
        <v>490</v>
      </c>
      <c r="L130" s="4" t="n">
        <v>148</v>
      </c>
      <c r="M130" s="5" t="n">
        <v>2027</v>
      </c>
      <c r="N130" s="3" t="inlineStr">
        <is>
          <t>1</t>
        </is>
      </c>
      <c r="O130" s="3" t="inlineStr">
        <is>
          <t>-</t>
        </is>
      </c>
      <c r="P130" s="3" t="inlineStr">
        <is>
          <t>nan</t>
        </is>
      </c>
      <c r="Q130" s="6">
        <f>HYPERLINK("https://fin.land.naver.com/articles/2647472758", "매물Link")</f>
        <v/>
      </c>
      <c r="R130" s="6">
        <f>HYPERLINK("https://map.naver.com/p/search/세종특별자치시 나성동 829", "지도Link")</f>
        <v/>
      </c>
      <c r="S130" s="6">
        <f>HYPERLINK("http://www.eum.go.kr/web/ar/lu/luLandDet.jsp?pnu=3611010700108290000&amp;isNoScr=script&amp;mode=search", "토지이음")</f>
        <v/>
      </c>
      <c r="T130" s="3" t="inlineStr">
        <is>
          <t>좋은터</t>
        </is>
      </c>
      <c r="U130" s="3" t="n">
        <v>1</v>
      </c>
      <c r="V130" s="3" t="inlineStr">
        <is>
          <t>전망공간 기계실</t>
        </is>
      </c>
      <c r="W130" s="4" t="n">
        <v>490</v>
      </c>
      <c r="X130" s="3" t="inlineStr">
        <is>
          <t>철근콘크리트구조</t>
        </is>
      </c>
      <c r="Y130" s="3" t="inlineStr">
        <is>
          <t>제2종근린생활시설</t>
        </is>
      </c>
      <c r="Z130" s="3" t="inlineStr">
        <is>
          <t>-m</t>
        </is>
      </c>
      <c r="AA130" s="3" t="inlineStr">
        <is>
          <t>2021-08-20</t>
        </is>
      </c>
    </row>
    <row r="131">
      <c r="A131" s="3" t="inlineStr">
        <is>
          <t>세종특별자치시 나성동 829</t>
        </is>
      </c>
      <c r="B131" s="3" t="inlineStr">
        <is>
          <t>중심상업지역</t>
        </is>
      </c>
      <c r="C131" s="3" t="inlineStr">
        <is>
          <t>대</t>
        </is>
      </c>
      <c r="D131" s="3" t="inlineStr">
        <is>
          <t>공장</t>
        </is>
      </c>
      <c r="E131" s="3" t="inlineStr">
        <is>
          <t>월세</t>
        </is>
      </c>
      <c r="F131" s="4" t="n">
        <v>15000</v>
      </c>
      <c r="G131" s="4" t="n">
        <v>0</v>
      </c>
      <c r="H131" s="4" t="n">
        <v>2336</v>
      </c>
      <c r="I131" s="4" t="n">
        <v>707</v>
      </c>
      <c r="J131" s="5" t="n">
        <v>0</v>
      </c>
      <c r="K131" s="4" t="n">
        <v>933</v>
      </c>
      <c r="L131" s="4" t="n">
        <v>282</v>
      </c>
      <c r="M131" s="5" t="n">
        <v>0</v>
      </c>
      <c r="N131" s="3" t="inlineStr">
        <is>
          <t>1</t>
        </is>
      </c>
      <c r="O131" s="3" t="inlineStr">
        <is>
          <t>-</t>
        </is>
      </c>
      <c r="P131" s="3" t="inlineStr">
        <is>
          <t>청주,제조업소및창고,광고효과좋음</t>
        </is>
      </c>
      <c r="Q131" s="6">
        <f>HYPERLINK("https://fin.land.naver.com/articles/2646121745", "매물Link")</f>
        <v/>
      </c>
      <c r="R131" s="6">
        <f>HYPERLINK("https://map.naver.com/p/search/세종특별자치시 나성동 829", "지도Link")</f>
        <v/>
      </c>
      <c r="S131" s="6">
        <f>HYPERLINK("http://www.eum.go.kr/web/ar/lu/luLandDet.jsp?pnu=3611010700108290000&amp;isNoScr=script&amp;mode=search", "토지이음")</f>
        <v/>
      </c>
      <c r="T131" s="3" t="inlineStr">
        <is>
          <t>LBA리치아노합동사무소</t>
        </is>
      </c>
      <c r="U131" s="3" t="n">
        <v>1</v>
      </c>
      <c r="V131" s="3" t="inlineStr">
        <is>
          <t>전망공간 지하주차장</t>
        </is>
      </c>
      <c r="W131" s="4" t="n">
        <v>933</v>
      </c>
      <c r="X131" s="3" t="inlineStr">
        <is>
          <t>철근콘크리트구조</t>
        </is>
      </c>
      <c r="Y131" s="3" t="inlineStr">
        <is>
          <t>제2종근린생활시설</t>
        </is>
      </c>
      <c r="Z131" s="3" t="inlineStr">
        <is>
          <t>4.50m</t>
        </is>
      </c>
      <c r="AA131" s="3" t="inlineStr">
        <is>
          <t>2021-08-20</t>
        </is>
      </c>
    </row>
    <row r="132">
      <c r="A132" s="3" t="inlineStr">
        <is>
          <t>세종특별자치시 나성동 829</t>
        </is>
      </c>
      <c r="B132" s="3" t="inlineStr">
        <is>
          <t>중심상업지역</t>
        </is>
      </c>
      <c r="C132" s="3" t="inlineStr">
        <is>
          <t>대</t>
        </is>
      </c>
      <c r="D132" s="3" t="inlineStr">
        <is>
          <t>창고</t>
        </is>
      </c>
      <c r="E132" s="3" t="inlineStr">
        <is>
          <t>월세</t>
        </is>
      </c>
      <c r="F132" s="4" t="n">
        <v>2000</v>
      </c>
      <c r="G132" s="4" t="n">
        <v>120</v>
      </c>
      <c r="H132" s="4" t="n">
        <v>1782</v>
      </c>
      <c r="I132" s="4" t="n">
        <v>539</v>
      </c>
      <c r="J132" s="5" t="n">
        <v>0.2</v>
      </c>
      <c r="K132" s="4" t="n">
        <v>160</v>
      </c>
      <c r="L132" s="4" t="n">
        <v>48</v>
      </c>
      <c r="M132" s="5" t="n">
        <v>2.5</v>
      </c>
      <c r="N132" s="3" t="inlineStr">
        <is>
          <t>1</t>
        </is>
      </c>
      <c r="O132" s="3" t="inlineStr">
        <is>
          <t>-</t>
        </is>
      </c>
      <c r="P132" s="3" t="inlineStr">
        <is>
          <t>강서하이패스 IC접근성편리</t>
        </is>
      </c>
      <c r="Q132" s="6">
        <f>HYPERLINK("https://fin.land.naver.com/articles/2644882634", "매물Link")</f>
        <v/>
      </c>
      <c r="R132" s="6">
        <f>HYPERLINK("https://map.naver.com/p/search/세종특별자치시 나성동 829", "지도Link")</f>
        <v/>
      </c>
      <c r="S132" s="6">
        <f>HYPERLINK("http://www.eum.go.kr/web/ar/lu/luLandDet.jsp?pnu=3611010700108290000&amp;isNoScr=script&amp;mode=search", "토지이음")</f>
        <v/>
      </c>
      <c r="T132" s="3" t="inlineStr">
        <is>
          <t>문광</t>
        </is>
      </c>
      <c r="U132" s="3" t="n">
        <v>1</v>
      </c>
      <c r="V132" s="3" t="inlineStr">
        <is>
          <t>공동주택 관리사무소</t>
        </is>
      </c>
      <c r="W132" s="4" t="n">
        <v>160</v>
      </c>
      <c r="X132" s="3" t="inlineStr">
        <is>
          <t>철근콘크리트구조</t>
        </is>
      </c>
      <c r="Y132" s="3" t="inlineStr">
        <is>
          <t>공동주택</t>
        </is>
      </c>
      <c r="Z132" s="3" t="inlineStr">
        <is>
          <t>-m</t>
        </is>
      </c>
      <c r="AA132" s="3" t="inlineStr">
        <is>
          <t>2021-08-20</t>
        </is>
      </c>
    </row>
    <row r="133">
      <c r="A133" s="3" t="inlineStr">
        <is>
          <t>세종특별자치시 나성동 829</t>
        </is>
      </c>
      <c r="B133" s="3" t="inlineStr">
        <is>
          <t>중심상업지역</t>
        </is>
      </c>
      <c r="C133" s="3" t="inlineStr">
        <is>
          <t>대</t>
        </is>
      </c>
      <c r="D133" s="3" t="inlineStr">
        <is>
          <t>창고</t>
        </is>
      </c>
      <c r="E133" s="3" t="inlineStr">
        <is>
          <t>월세</t>
        </is>
      </c>
      <c r="F133" s="4" t="n">
        <v>2500</v>
      </c>
      <c r="G133" s="4" t="n">
        <v>240</v>
      </c>
      <c r="H133" s="4" t="n">
        <v>1288</v>
      </c>
      <c r="I133" s="4" t="n">
        <v>390</v>
      </c>
      <c r="J133" s="5" t="n">
        <v>0.6</v>
      </c>
      <c r="K133" s="4" t="n">
        <v>265</v>
      </c>
      <c r="L133" s="4" t="n">
        <v>80</v>
      </c>
      <c r="M133" s="5" t="n">
        <v>3</v>
      </c>
      <c r="N133" s="3" t="inlineStr">
        <is>
          <t>2</t>
        </is>
      </c>
      <c r="O133" s="3" t="inlineStr">
        <is>
          <t>-</t>
        </is>
      </c>
      <c r="P133" s="3" t="inlineStr">
        <is>
          <t>석곡사거리 접근성좋은 위치의 1.2층상가,창고 ,매장등 가능</t>
        </is>
      </c>
      <c r="Q133" s="6">
        <f>HYPERLINK("https://fin.land.naver.com/articles/2644663688", "매물Link")</f>
        <v/>
      </c>
      <c r="R133" s="6">
        <f>HYPERLINK("https://map.naver.com/p/search/세종특별자치시 나성동 829", "지도Link")</f>
        <v/>
      </c>
      <c r="S133" s="6">
        <f>HYPERLINK("http://www.eum.go.kr/web/ar/lu/luLandDet.jsp?pnu=3611010700108290000&amp;isNoScr=script&amp;mode=search", "토지이음")</f>
        <v/>
      </c>
      <c r="T133" s="3" t="inlineStr">
        <is>
          <t>더원</t>
        </is>
      </c>
      <c r="U133" s="3" t="n">
        <v>1</v>
      </c>
      <c r="V133" s="3" t="inlineStr">
        <is>
          <t>근린생활시설 기계실</t>
        </is>
      </c>
      <c r="W133" s="4" t="n">
        <v>265</v>
      </c>
      <c r="X133" s="3" t="inlineStr">
        <is>
          <t>철근콘크리트구조</t>
        </is>
      </c>
      <c r="Y133" s="3" t="inlineStr">
        <is>
          <t>제2종근린생활시설</t>
        </is>
      </c>
      <c r="Z133" s="3" t="inlineStr">
        <is>
          <t>-m</t>
        </is>
      </c>
      <c r="AA133" s="3" t="inlineStr">
        <is>
          <t>2021-08-20</t>
        </is>
      </c>
    </row>
    <row r="134">
      <c r="A134" s="3" t="inlineStr">
        <is>
          <t>세종특별자치시 나성동 829</t>
        </is>
      </c>
      <c r="B134" s="3" t="inlineStr">
        <is>
          <t>중심상업지역</t>
        </is>
      </c>
      <c r="C134" s="3" t="inlineStr">
        <is>
          <t>대</t>
        </is>
      </c>
      <c r="D134" s="3" t="inlineStr">
        <is>
          <t>공장</t>
        </is>
      </c>
      <c r="E134" s="3" t="inlineStr">
        <is>
          <t>매매</t>
        </is>
      </c>
      <c r="F134" s="4" t="n">
        <v>200000</v>
      </c>
      <c r="G134" s="4" t="n">
        <v>0</v>
      </c>
      <c r="H134" s="4" t="n">
        <v>2482</v>
      </c>
      <c r="I134" s="4" t="n">
        <v>751</v>
      </c>
      <c r="J134" s="5" t="n">
        <v>266.3</v>
      </c>
      <c r="K134" s="4" t="n">
        <v>390</v>
      </c>
      <c r="L134" s="4" t="n">
        <v>118</v>
      </c>
      <c r="M134" s="5" t="n">
        <v>1694.9</v>
      </c>
      <c r="N134" s="3" t="inlineStr">
        <is>
          <t>1</t>
        </is>
      </c>
      <c r="O134" s="3" t="inlineStr">
        <is>
          <t>-</t>
        </is>
      </c>
      <c r="P134" s="3" t="inlineStr">
        <is>
          <t>석곡동 제조업 공장 매매</t>
        </is>
      </c>
      <c r="Q134" s="6">
        <f>HYPERLINK("https://fin.land.naver.com/articles/2648732228", "매물Link")</f>
        <v/>
      </c>
      <c r="R134" s="6">
        <f>HYPERLINK("https://map.naver.com/p/search/세종특별자치시 나성동 829", "지도Link")</f>
        <v/>
      </c>
      <c r="S134" s="6">
        <f>HYPERLINK("http://www.eum.go.kr/web/ar/lu/luLandDet.jsp?pnu=3611010700108290000&amp;isNoScr=script&amp;mode=search", "토지이음")</f>
        <v/>
      </c>
      <c r="T134" s="3" t="inlineStr">
        <is>
          <t>사거리</t>
        </is>
      </c>
      <c r="U134" s="3" t="n">
        <v>1</v>
      </c>
      <c r="V134" s="3" t="inlineStr">
        <is>
          <t>전망공간 기계실</t>
        </is>
      </c>
      <c r="W134" s="4" t="n">
        <v>390</v>
      </c>
      <c r="X134" s="3" t="inlineStr">
        <is>
          <t>철근콘크리트구조</t>
        </is>
      </c>
      <c r="Y134" s="3" t="inlineStr">
        <is>
          <t>제2종근린생활시설</t>
        </is>
      </c>
      <c r="Z134" s="3" t="inlineStr">
        <is>
          <t>-m</t>
        </is>
      </c>
      <c r="AA134" s="3" t="inlineStr">
        <is>
          <t>2021-08-20</t>
        </is>
      </c>
    </row>
    <row r="135">
      <c r="A135" s="3" t="inlineStr">
        <is>
          <t>세종특별자치시 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HYPERLINK("https://map.naver.com/p/search/세종특별자치시 나성동 829", "지도Link")</f>
        <v/>
      </c>
      <c r="S135" s="6">
        <f>HYPERLINK("http://www.eum.go.kr/web/ar/lu/luLandDet.jsp?pnu=3611010700108290000&amp;isNoScr=script&amp;mode=search", "토지이음")</f>
        <v/>
      </c>
      <c r="T135" s="3" t="inlineStr">
        <is>
          <t>공장365</t>
        </is>
      </c>
      <c r="U135" s="3" t="n">
        <v>1</v>
      </c>
      <c r="V135" s="3" t="inlineStr">
        <is>
          <t>공동주택 지하주차장</t>
        </is>
      </c>
      <c r="W135" s="4" t="n">
        <v>21516</v>
      </c>
      <c r="X135" s="3" t="inlineStr">
        <is>
          <t>철근콘크리트구조</t>
        </is>
      </c>
      <c r="Y135" s="3" t="inlineStr">
        <is>
          <t>공동주택</t>
        </is>
      </c>
      <c r="Z135" s="3" t="inlineStr">
        <is>
          <t>-m</t>
        </is>
      </c>
      <c r="AA135" s="3" t="inlineStr">
        <is>
          <t>2021-08-20</t>
        </is>
      </c>
    </row>
    <row r="136">
      <c r="A136" s="3" t="inlineStr">
        <is>
          <t>세종특별자치시 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HYPERLINK("https://map.naver.com/p/search/세종특별자치시 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94.45m</t>
        </is>
      </c>
      <c r="AA136" s="3" t="inlineStr">
        <is>
          <t>2021-08-20</t>
        </is>
      </c>
    </row>
    <row r="137">
      <c r="A137" s="3" t="inlineStr">
        <is>
          <t>세종특별자치시 나성동 829</t>
        </is>
      </c>
      <c r="B137" s="3" t="inlineStr">
        <is>
          <t>중심상업지역</t>
        </is>
      </c>
      <c r="C137" s="3" t="inlineStr">
        <is>
          <t>대</t>
        </is>
      </c>
      <c r="D137" s="3" t="inlineStr">
        <is>
          <t>공장</t>
        </is>
      </c>
      <c r="E137" s="3" t="inlineStr">
        <is>
          <t>매매</t>
        </is>
      </c>
      <c r="F137" s="4" t="n">
        <v>450000</v>
      </c>
      <c r="G137" s="4" t="n">
        <v>0</v>
      </c>
      <c r="H137" s="4" t="n">
        <v>1652</v>
      </c>
      <c r="I137" s="4" t="n">
        <v>500</v>
      </c>
      <c r="J137" s="5" t="n">
        <v>900</v>
      </c>
      <c r="K137" s="4" t="n">
        <v>1192</v>
      </c>
      <c r="L137" s="4" t="n">
        <v>361</v>
      </c>
      <c r="M137" s="5" t="n">
        <v>1246.5</v>
      </c>
      <c r="N137" s="3" t="inlineStr">
        <is>
          <t>2</t>
        </is>
      </c>
      <c r="O137" s="3" t="inlineStr">
        <is>
          <t>-</t>
        </is>
      </c>
      <c r="P137" s="3" t="inlineStr">
        <is>
          <t>서청주ic 하이닉스 인접한 청주일반산업단지  공장매매 입주협의</t>
        </is>
      </c>
      <c r="Q137" s="6">
        <f>HYPERLINK("https://fin.land.naver.com/articles/2646993787", "매물Link")</f>
        <v/>
      </c>
      <c r="R137" s="6">
        <f>HYPERLINK("https://map.naver.com/p/search/세종특별자치시 나성동 829", "지도Link")</f>
        <v/>
      </c>
      <c r="S137" s="6">
        <f>HYPERLINK("http://www.eum.go.kr/web/ar/lu/luLandDet.jsp?pnu=3611010700108290000&amp;isNoScr=script&amp;mode=search", "토지이음")</f>
        <v/>
      </c>
      <c r="T137" s="3" t="inlineStr">
        <is>
          <t>더원</t>
        </is>
      </c>
      <c r="U137" s="3" t="n">
        <v>1</v>
      </c>
      <c r="V137" s="3" t="inlineStr">
        <is>
          <t>605</t>
        </is>
      </c>
      <c r="W137" s="4" t="n">
        <v>1192</v>
      </c>
      <c r="X137" s="3" t="inlineStr">
        <is>
          <t>철근콘크리트구조</t>
        </is>
      </c>
      <c r="Y137" s="3" t="inlineStr">
        <is>
          <t>공동주택</t>
        </is>
      </c>
      <c r="Z137" s="3" t="inlineStr">
        <is>
          <t>45.30m</t>
        </is>
      </c>
      <c r="AA137" s="3" t="inlineStr">
        <is>
          <t>2021-08-20</t>
        </is>
      </c>
    </row>
    <row r="138">
      <c r="A138" s="3" t="inlineStr">
        <is>
          <t>세종특별자치시 나성동 829</t>
        </is>
      </c>
      <c r="B138" s="3" t="inlineStr">
        <is>
          <t>중심상업지역</t>
        </is>
      </c>
      <c r="C138" s="3" t="inlineStr">
        <is>
          <t>대</t>
        </is>
      </c>
      <c r="D138" s="3" t="inlineStr">
        <is>
          <t>공장</t>
        </is>
      </c>
      <c r="E138" s="3" t="inlineStr">
        <is>
          <t>월세</t>
        </is>
      </c>
      <c r="F138" s="4" t="n">
        <v>10000</v>
      </c>
      <c r="G138" s="4" t="n">
        <v>0</v>
      </c>
      <c r="H138" s="4" t="n">
        <v>2149</v>
      </c>
      <c r="I138" s="4" t="n">
        <v>650</v>
      </c>
      <c r="J138" s="5" t="n">
        <v>0</v>
      </c>
      <c r="K138" s="4" t="n">
        <v>1544</v>
      </c>
      <c r="L138" s="4" t="n">
        <v>467</v>
      </c>
      <c r="M138" s="5" t="n">
        <v>0</v>
      </c>
      <c r="N138" s="3" t="inlineStr">
        <is>
          <t>1</t>
        </is>
      </c>
      <c r="O138" s="3" t="inlineStr">
        <is>
          <t>-</t>
        </is>
      </c>
      <c r="P138" s="3" t="inlineStr">
        <is>
          <t>흥덕구 제2운천교 옆 신봉사거리 부근에 위치한 교통 좋은 공장입니다</t>
        </is>
      </c>
      <c r="Q138" s="6">
        <f>HYPERLINK("https://fin.land.naver.com/articles/2647080320", "매물Link")</f>
        <v/>
      </c>
      <c r="R138" s="6">
        <f>HYPERLINK("https://map.naver.com/p/search/세종특별자치시 나성동 829", "지도Link")</f>
        <v/>
      </c>
      <c r="S138" s="6">
        <f>HYPERLINK("http://www.eum.go.kr/web/ar/lu/luLandDet.jsp?pnu=3611010700108290000&amp;isNoScr=script&amp;mode=search", "토지이음")</f>
        <v/>
      </c>
      <c r="T138" s="3" t="inlineStr">
        <is>
          <t>지구촌무소</t>
        </is>
      </c>
      <c r="U138" s="3" t="n">
        <v>1</v>
      </c>
      <c r="V138" s="3" t="inlineStr">
        <is>
          <t>605</t>
        </is>
      </c>
      <c r="W138" s="4" t="n">
        <v>1544</v>
      </c>
      <c r="X138" s="3" t="inlineStr">
        <is>
          <t>철근콘크리트구조</t>
        </is>
      </c>
      <c r="Y138" s="3" t="inlineStr">
        <is>
          <t>공동주택</t>
        </is>
      </c>
      <c r="Z138" s="3" t="inlineStr">
        <is>
          <t>45.30m</t>
        </is>
      </c>
      <c r="AA138" s="3" t="inlineStr">
        <is>
          <t>2021-08-20</t>
        </is>
      </c>
    </row>
    <row r="139">
      <c r="A139" s="3" t="inlineStr">
        <is>
          <t>세종특별자치시 나성동 829</t>
        </is>
      </c>
      <c r="B139" s="3" t="inlineStr">
        <is>
          <t>중심상업지역</t>
        </is>
      </c>
      <c r="C139" s="3" t="inlineStr">
        <is>
          <t>대</t>
        </is>
      </c>
      <c r="D139" s="3" t="inlineStr">
        <is>
          <t>공장</t>
        </is>
      </c>
      <c r="E139" s="3" t="inlineStr">
        <is>
          <t>월세</t>
        </is>
      </c>
      <c r="F139" s="4" t="n">
        <v>7000</v>
      </c>
      <c r="G139" s="4" t="n">
        <v>660</v>
      </c>
      <c r="H139" s="4" t="n">
        <v>2114</v>
      </c>
      <c r="I139" s="4" t="n">
        <v>639</v>
      </c>
      <c r="J139" s="5" t="n">
        <v>1</v>
      </c>
      <c r="K139" s="4" t="n">
        <v>979</v>
      </c>
      <c r="L139" s="4" t="n">
        <v>296</v>
      </c>
      <c r="M139" s="5" t="n">
        <v>2.2</v>
      </c>
      <c r="N139" s="3" t="inlineStr">
        <is>
          <t>1</t>
        </is>
      </c>
      <c r="O139" s="3" t="inlineStr">
        <is>
          <t>-</t>
        </is>
      </c>
      <c r="P139" s="3" t="inlineStr">
        <is>
          <t>깔끔한  대형창고 임대  빠른입주 가능</t>
        </is>
      </c>
      <c r="Q139" s="6">
        <f>HYPERLINK("https://fin.land.naver.com/articles/2644394002", "매물Link")</f>
        <v/>
      </c>
      <c r="R139" s="6">
        <f>HYPERLINK("https://map.naver.com/p/search/세종특별자치시 나성동 829", "지도Link")</f>
        <v/>
      </c>
      <c r="S139" s="6">
        <f>HYPERLINK("http://www.eum.go.kr/web/ar/lu/luLandDet.jsp?pnu=3611010700108290000&amp;isNoScr=script&amp;mode=search", "토지이음")</f>
        <v/>
      </c>
      <c r="T139" s="3" t="inlineStr">
        <is>
          <t>삼익</t>
        </is>
      </c>
      <c r="U139" s="3" t="n">
        <v>1</v>
      </c>
      <c r="V139" s="3" t="inlineStr">
        <is>
          <t>604</t>
        </is>
      </c>
      <c r="W139" s="4" t="n">
        <v>979</v>
      </c>
      <c r="X139" s="3" t="inlineStr">
        <is>
          <t>철근콘크리트구조</t>
        </is>
      </c>
      <c r="Y139" s="3" t="inlineStr">
        <is>
          <t>공동주택</t>
        </is>
      </c>
      <c r="Z139" s="3" t="inlineStr">
        <is>
          <t>38.30m</t>
        </is>
      </c>
      <c r="AA139" s="3" t="inlineStr">
        <is>
          <t>2021-08-20</t>
        </is>
      </c>
    </row>
    <row r="140">
      <c r="A140" s="3" t="inlineStr">
        <is>
          <t>세종특별자치시 나성동 829</t>
        </is>
      </c>
      <c r="B140" s="3" t="inlineStr">
        <is>
          <t>중심상업지역</t>
        </is>
      </c>
      <c r="C140" s="3" t="inlineStr">
        <is>
          <t>대</t>
        </is>
      </c>
      <c r="D140" s="3" t="inlineStr">
        <is>
          <t>창고</t>
        </is>
      </c>
      <c r="E140" s="3" t="inlineStr">
        <is>
          <t>월세</t>
        </is>
      </c>
      <c r="F140" s="4" t="n">
        <v>25000</v>
      </c>
      <c r="G140" s="4" t="n">
        <v>0</v>
      </c>
      <c r="H140" s="4" t="n">
        <v>19215</v>
      </c>
      <c r="I140" s="4" t="n">
        <v>5813</v>
      </c>
      <c r="J140" s="5" t="n">
        <v>0</v>
      </c>
      <c r="K140" s="4" t="n">
        <v>1373</v>
      </c>
      <c r="L140" s="4" t="n">
        <v>415</v>
      </c>
      <c r="M140" s="5" t="n">
        <v>0</v>
      </c>
      <c r="N140" s="3" t="inlineStr">
        <is>
          <t>3</t>
        </is>
      </c>
      <c r="O140" s="3" t="inlineStr">
        <is>
          <t>B1</t>
        </is>
      </c>
      <c r="P140" s="3" t="inlineStr">
        <is>
          <t>남청주ic인근 냉동냉장창고 임대 대형차 진출입 용이</t>
        </is>
      </c>
      <c r="Q140" s="6">
        <f>HYPERLINK("https://fin.land.naver.com/articles/2644663645", "매물Link")</f>
        <v/>
      </c>
      <c r="R140" s="6">
        <f>HYPERLINK("https://map.naver.com/p/search/세종특별자치시 나성동 829", "지도Link")</f>
        <v/>
      </c>
      <c r="S140" s="6">
        <f>HYPERLINK("http://www.eum.go.kr/web/ar/lu/luLandDet.jsp?pnu=3611010700108290000&amp;isNoScr=script&amp;mode=search", "토지이음")</f>
        <v/>
      </c>
      <c r="T140" s="3" t="inlineStr">
        <is>
          <t>더원</t>
        </is>
      </c>
      <c r="U140" s="3" t="n">
        <v>1</v>
      </c>
      <c r="V140" s="3" t="inlineStr">
        <is>
          <t>605</t>
        </is>
      </c>
      <c r="W140" s="4" t="n">
        <v>1373</v>
      </c>
      <c r="X140" s="3" t="inlineStr">
        <is>
          <t>철근콘크리트구조</t>
        </is>
      </c>
      <c r="Y140" s="3" t="inlineStr">
        <is>
          <t>공동주택</t>
        </is>
      </c>
      <c r="Z140" s="3" t="inlineStr">
        <is>
          <t>45.30m</t>
        </is>
      </c>
      <c r="AA140" s="3" t="inlineStr">
        <is>
          <t>2021-08-20</t>
        </is>
      </c>
    </row>
    <row r="141">
      <c r="A141" s="3" t="inlineStr">
        <is>
          <t>세종특별자치시 나성동 829</t>
        </is>
      </c>
      <c r="B141" s="3" t="inlineStr">
        <is>
          <t>중심상업지역</t>
        </is>
      </c>
      <c r="C141" s="3" t="inlineStr">
        <is>
          <t>대</t>
        </is>
      </c>
      <c r="D141" s="3" t="inlineStr">
        <is>
          <t>공장</t>
        </is>
      </c>
      <c r="E141" s="3" t="inlineStr">
        <is>
          <t>매매</t>
        </is>
      </c>
      <c r="F141" s="4" t="n">
        <v>120000</v>
      </c>
      <c r="G141" s="4" t="n">
        <v>0</v>
      </c>
      <c r="H141" s="4" t="n">
        <v>1650</v>
      </c>
      <c r="I141" s="4" t="n">
        <v>499</v>
      </c>
      <c r="J141" s="5" t="n">
        <v>240.5</v>
      </c>
      <c r="K141" s="4" t="n">
        <v>450</v>
      </c>
      <c r="L141" s="4" t="n">
        <v>136</v>
      </c>
      <c r="M141" s="5" t="n">
        <v>882.4</v>
      </c>
      <c r="N141" s="3" t="inlineStr">
        <is>
          <t>1</t>
        </is>
      </c>
      <c r="O141" s="3" t="inlineStr">
        <is>
          <t>-</t>
        </is>
      </c>
      <c r="P141" s="3" t="inlineStr">
        <is>
          <t>nan</t>
        </is>
      </c>
      <c r="Q141" s="6">
        <f>HYPERLINK("https://fin.land.naver.com/articles/2649270524", "매물Link")</f>
        <v/>
      </c>
      <c r="R141" s="6">
        <f>HYPERLINK("https://map.naver.com/p/search/세종특별자치시 나성동 829", "지도Link")</f>
        <v/>
      </c>
      <c r="S141" s="6">
        <f>HYPERLINK("http://www.eum.go.kr/web/ar/lu/luLandDet.jsp?pnu=3611010700108290000&amp;isNoScr=script&amp;mode=search", "토지이음")</f>
        <v/>
      </c>
      <c r="T141" s="3" t="inlineStr">
        <is>
          <t>태영컨설팅</t>
        </is>
      </c>
      <c r="U141" s="3" t="n">
        <v>1</v>
      </c>
      <c r="V141" s="3" t="inlineStr">
        <is>
          <t>전망공간 기계실</t>
        </is>
      </c>
      <c r="W141" s="4" t="n">
        <v>450</v>
      </c>
      <c r="X141" s="3" t="inlineStr">
        <is>
          <t>철근콘크리트구조</t>
        </is>
      </c>
      <c r="Y141" s="3" t="inlineStr">
        <is>
          <t>제2종근린생활시설</t>
        </is>
      </c>
      <c r="Z141" s="3" t="inlineStr">
        <is>
          <t>-m</t>
        </is>
      </c>
      <c r="AA141" s="3" t="inlineStr">
        <is>
          <t>2021-08-20</t>
        </is>
      </c>
    </row>
    <row r="142">
      <c r="A142" s="3" t="inlineStr">
        <is>
          <t>세종특별자치시 나성동 829</t>
        </is>
      </c>
      <c r="B142" s="3" t="inlineStr">
        <is>
          <t>중심상업지역</t>
        </is>
      </c>
      <c r="C142" s="3" t="inlineStr">
        <is>
          <t>대</t>
        </is>
      </c>
      <c r="D142" s="3" t="inlineStr">
        <is>
          <t>공장</t>
        </is>
      </c>
      <c r="E142" s="3" t="inlineStr">
        <is>
          <t>매매</t>
        </is>
      </c>
      <c r="F142" s="4" t="n">
        <v>280000</v>
      </c>
      <c r="G142" s="4" t="n">
        <v>0</v>
      </c>
      <c r="H142" s="4" t="n">
        <v>764</v>
      </c>
      <c r="I142" s="4" t="n">
        <v>231</v>
      </c>
      <c r="J142" s="5" t="n">
        <v>1212.1</v>
      </c>
      <c r="K142" s="4" t="n">
        <v>116</v>
      </c>
      <c r="L142" s="4" t="n">
        <v>35</v>
      </c>
      <c r="M142" s="5" t="n">
        <v>8000</v>
      </c>
      <c r="N142" s="3" t="inlineStr">
        <is>
          <t>1</t>
        </is>
      </c>
      <c r="O142" s="3" t="inlineStr">
        <is>
          <t>B1</t>
        </is>
      </c>
      <c r="P142" s="3" t="inlineStr">
        <is>
          <t>nan</t>
        </is>
      </c>
      <c r="Q142" s="6">
        <f>HYPERLINK("https://fin.land.naver.com/articles/2644908744", "매물Link")</f>
        <v/>
      </c>
      <c r="R142" s="6">
        <f>HYPERLINK("https://map.naver.com/p/search/세종특별자치시 나성동 829", "지도Link")</f>
        <v/>
      </c>
      <c r="S142" s="6">
        <f>HYPERLINK("http://www.eum.go.kr/web/ar/lu/luLandDet.jsp?pnu=3611010700108290000&amp;isNoScr=script&amp;mode=search", "토지이음")</f>
        <v/>
      </c>
      <c r="T142" s="3" t="inlineStr">
        <is>
          <t>금룡</t>
        </is>
      </c>
      <c r="U142" s="3" t="n">
        <v>1</v>
      </c>
      <c r="V142" s="3" t="inlineStr">
        <is>
          <t>판매시설 지하주차장</t>
        </is>
      </c>
      <c r="W142" s="4" t="n">
        <v>116</v>
      </c>
      <c r="X142" s="3" t="inlineStr">
        <is>
          <t>철근콘크리트구조</t>
        </is>
      </c>
      <c r="Y142" s="3" t="inlineStr">
        <is>
          <t>판매시설</t>
        </is>
      </c>
      <c r="Z142" s="3" t="inlineStr">
        <is>
          <t>-m</t>
        </is>
      </c>
      <c r="AA142" s="3" t="inlineStr">
        <is>
          <t>2021-08-20</t>
        </is>
      </c>
    </row>
    <row r="143">
      <c r="A143" s="3" t="inlineStr">
        <is>
          <t>세종특별자치시 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HYPERLINK("https://map.naver.com/p/search/세종특별자치시 나성동 829", "지도Link")</f>
        <v/>
      </c>
      <c r="S143" s="6">
        <f>HYPERLINK("http://www.eum.go.kr/web/ar/lu/luLandDet.jsp?pnu=3611010700108290000&amp;isNoScr=script&amp;mode=search", "토지이음")</f>
        <v/>
      </c>
      <c r="T143" s="3" t="inlineStr">
        <is>
          <t>남청주ic합동무소</t>
        </is>
      </c>
      <c r="U143" s="3" t="n">
        <v>1</v>
      </c>
      <c r="V143" s="3" t="inlineStr">
        <is>
          <t>근린생활시설 지하주차장</t>
        </is>
      </c>
      <c r="W143" s="4" t="n">
        <v>2300</v>
      </c>
      <c r="X143" s="3" t="inlineStr">
        <is>
          <t>철근콘크리트구조</t>
        </is>
      </c>
      <c r="Y143" s="3" t="inlineStr">
        <is>
          <t>제2종근린생활시설</t>
        </is>
      </c>
      <c r="Z143" s="3" t="inlineStr">
        <is>
          <t>-m</t>
        </is>
      </c>
      <c r="AA143" s="3" t="inlineStr">
        <is>
          <t>2021-08-20</t>
        </is>
      </c>
    </row>
    <row r="144">
      <c r="A144" s="3" t="inlineStr">
        <is>
          <t>세종특별자치시 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HYPERLINK("https://map.naver.com/p/search/세종특별자치시 나성동 829", "지도Link")</f>
        <v/>
      </c>
      <c r="S144" s="6">
        <f>HYPERLINK("http://www.eum.go.kr/web/ar/lu/luLandDet.jsp?pnu=3611010700108290000&amp;isNoScr=script&amp;mode=search", "토지이음")</f>
        <v/>
      </c>
      <c r="T144" s="3" t="inlineStr">
        <is>
          <t>남청주ic합동무소</t>
        </is>
      </c>
      <c r="U144" s="3" t="n">
        <v>1</v>
      </c>
      <c r="V144" s="3" t="inlineStr">
        <is>
          <t>802</t>
        </is>
      </c>
      <c r="W144" s="4" t="n">
        <v>3466</v>
      </c>
      <c r="X144" s="3" t="inlineStr">
        <is>
          <t>철근콘크리트구조</t>
        </is>
      </c>
      <c r="Y144" s="3" t="inlineStr">
        <is>
          <t>제2종근린생활시설</t>
        </is>
      </c>
      <c r="Z144" s="3" t="inlineStr">
        <is>
          <t>-m</t>
        </is>
      </c>
      <c r="AA144" s="3" t="inlineStr">
        <is>
          <t>2021-08-20</t>
        </is>
      </c>
    </row>
    <row r="145">
      <c r="A145" s="3" t="inlineStr">
        <is>
          <t>세종특별자치시 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HYPERLINK("https://map.naver.com/p/search/세종특별자치시 나성동 829", "지도Link")</f>
        <v/>
      </c>
      <c r="S145" s="6">
        <f>HYPERLINK("http://www.eum.go.kr/web/ar/lu/luLandDet.jsp?pnu=3611010700108290000&amp;isNoScr=script&amp;mode=search", "토지이음")</f>
        <v/>
      </c>
      <c r="T145" s="3" t="inlineStr">
        <is>
          <t>남청주ic합동무소</t>
        </is>
      </c>
      <c r="U145" s="3" t="n">
        <v>1</v>
      </c>
      <c r="V145" s="3" t="inlineStr">
        <is>
          <t>901(전망공간)</t>
        </is>
      </c>
      <c r="W145" s="4" t="n">
        <v>1700</v>
      </c>
      <c r="X145" s="3" t="inlineStr">
        <is>
          <t>철근콘크리트구조</t>
        </is>
      </c>
      <c r="Y145" s="3" t="inlineStr">
        <is>
          <t>제2종근린생활시설</t>
        </is>
      </c>
      <c r="Z145" s="3" t="inlineStr">
        <is>
          <t>-m</t>
        </is>
      </c>
      <c r="AA145" s="3" t="inlineStr">
        <is>
          <t>2021-08-20</t>
        </is>
      </c>
    </row>
    <row r="146">
      <c r="A146" s="3" t="inlineStr">
        <is>
          <t>세종특별자치시 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HYPERLINK("https://map.naver.com/p/search/세종특별자치시 나성동 829", "지도Link")</f>
        <v/>
      </c>
      <c r="S146" s="6">
        <f>HYPERLINK("http://www.eum.go.kr/web/ar/lu/luLandDet.jsp?pnu=3611010700108290000&amp;isNoScr=script&amp;mode=search", "토지이음")</f>
        <v/>
      </c>
      <c r="T146" s="3" t="inlineStr">
        <is>
          <t>남청주ic합동무소</t>
        </is>
      </c>
      <c r="U146" s="3" t="n">
        <v>1</v>
      </c>
      <c r="V146" s="3" t="inlineStr">
        <is>
          <t>전망공간 기계실</t>
        </is>
      </c>
      <c r="W146" s="4" t="n">
        <v>449</v>
      </c>
      <c r="X146" s="3" t="inlineStr">
        <is>
          <t>철근콘크리트구조</t>
        </is>
      </c>
      <c r="Y146" s="3" t="inlineStr">
        <is>
          <t>제2종근린생활시설</t>
        </is>
      </c>
      <c r="Z146" s="3" t="inlineStr">
        <is>
          <t>-m</t>
        </is>
      </c>
      <c r="AA146" s="3" t="inlineStr">
        <is>
          <t>2021-08-20</t>
        </is>
      </c>
    </row>
    <row r="147">
      <c r="A147" s="3" t="inlineStr">
        <is>
          <t>세종특별자치시 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HYPERLINK("https://map.naver.com/p/search/세종특별자치시 나성동 829", "지도Link")</f>
        <v/>
      </c>
      <c r="S147" s="6">
        <f>HYPERLINK("http://www.eum.go.kr/web/ar/lu/luLandDet.jsp?pnu=3611010700108290000&amp;isNoScr=script&amp;mode=search", "토지이음")</f>
        <v/>
      </c>
      <c r="T147" s="3" t="inlineStr">
        <is>
          <t>산업</t>
        </is>
      </c>
      <c r="U147" s="3" t="n">
        <v>1</v>
      </c>
      <c r="V147" s="3" t="inlineStr">
        <is>
          <t>901(전망공간)</t>
        </is>
      </c>
      <c r="W147" s="4" t="n">
        <v>1810</v>
      </c>
      <c r="X147" s="3" t="inlineStr">
        <is>
          <t>철근콘크리트구조</t>
        </is>
      </c>
      <c r="Y147" s="3" t="inlineStr">
        <is>
          <t>제2종근린생활시설</t>
        </is>
      </c>
      <c r="Z147" s="3" t="inlineStr">
        <is>
          <t>-m</t>
        </is>
      </c>
      <c r="AA147" s="3" t="inlineStr">
        <is>
          <t>2021-08-20</t>
        </is>
      </c>
    </row>
    <row r="148">
      <c r="A148" s="3" t="inlineStr">
        <is>
          <t>세종특별자치시 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HYPERLINK("https://map.naver.com/p/search/세종특별자치시 나성동 829", "지도Link")</f>
        <v/>
      </c>
      <c r="S148" s="6">
        <f>HYPERLINK("http://www.eum.go.kr/web/ar/lu/luLandDet.jsp?pnu=3611010700108290000&amp;isNoScr=script&amp;mode=search", "토지이음")</f>
        <v/>
      </c>
      <c r="T148" s="3" t="inlineStr">
        <is>
          <t>태영컨설팅</t>
        </is>
      </c>
      <c r="U148" s="3" t="n">
        <v>1</v>
      </c>
      <c r="V148" s="3" t="inlineStr">
        <is>
          <t>전망공간 기계실</t>
        </is>
      </c>
      <c r="W148" s="4" t="n">
        <v>425</v>
      </c>
      <c r="X148" s="3" t="inlineStr">
        <is>
          <t>철근콘크리트구조</t>
        </is>
      </c>
      <c r="Y148" s="3" t="inlineStr">
        <is>
          <t>제2종근린생활시설</t>
        </is>
      </c>
      <c r="Z148" s="3" t="inlineStr">
        <is>
          <t>-m</t>
        </is>
      </c>
      <c r="AA148" s="3" t="inlineStr">
        <is>
          <t>2021-08-20</t>
        </is>
      </c>
    </row>
    <row r="149">
      <c r="A149" s="3" t="inlineStr">
        <is>
          <t>세종특별자치시 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HYPERLINK("https://map.naver.com/p/search/세종특별자치시 나성동 829", "지도Link")</f>
        <v/>
      </c>
      <c r="S149" s="6">
        <f>HYPERLINK("http://www.eum.go.kr/web/ar/lu/luLandDet.jsp?pnu=3611010700108290000&amp;isNoScr=script&amp;mode=search", "토지이음")</f>
        <v/>
      </c>
      <c r="T149" s="3" t="inlineStr">
        <is>
          <t>산업</t>
        </is>
      </c>
      <c r="U149" s="3" t="n">
        <v>1</v>
      </c>
      <c r="V149" s="3" t="inlineStr">
        <is>
          <t>802</t>
        </is>
      </c>
      <c r="W149" s="4" t="n">
        <v>3300</v>
      </c>
      <c r="X149" s="3" t="inlineStr">
        <is>
          <t>철근콘크리트구조</t>
        </is>
      </c>
      <c r="Y149" s="3" t="inlineStr">
        <is>
          <t>제2종근린생활시설</t>
        </is>
      </c>
      <c r="Z149" s="3" t="inlineStr">
        <is>
          <t>-m</t>
        </is>
      </c>
      <c r="AA149" s="3" t="inlineStr">
        <is>
          <t>2021-08-20</t>
        </is>
      </c>
    </row>
    <row r="150">
      <c r="A150" s="3" t="inlineStr">
        <is>
          <t>세종특별자치시 나성동 829</t>
        </is>
      </c>
      <c r="B150" s="3" t="inlineStr">
        <is>
          <t>중심상업지역</t>
        </is>
      </c>
      <c r="C150" s="3" t="inlineStr">
        <is>
          <t>대</t>
        </is>
      </c>
      <c r="D150" s="3" t="inlineStr">
        <is>
          <t>공장</t>
        </is>
      </c>
      <c r="E150" s="3" t="inlineStr">
        <is>
          <t>월세</t>
        </is>
      </c>
      <c r="F150" s="4" t="n">
        <v>6000</v>
      </c>
      <c r="G150" s="4" t="n">
        <v>400</v>
      </c>
      <c r="H150" s="4" t="n">
        <v>2404</v>
      </c>
      <c r="I150" s="4" t="n">
        <v>727</v>
      </c>
      <c r="J150" s="5" t="n">
        <v>0.6</v>
      </c>
      <c r="K150" s="4" t="n">
        <v>529</v>
      </c>
      <c r="L150" s="4" t="n">
        <v>160</v>
      </c>
      <c r="M150" s="5" t="n">
        <v>2.5</v>
      </c>
      <c r="N150" s="3" t="inlineStr">
        <is>
          <t>1</t>
        </is>
      </c>
      <c r="O150" s="3" t="inlineStr">
        <is>
          <t>-</t>
        </is>
      </c>
      <c r="P150" s="3" t="inlineStr">
        <is>
          <t>접근성이 아주 좋은 단독 공장임.</t>
        </is>
      </c>
      <c r="Q150" s="6">
        <f>HYPERLINK("https://fin.land.naver.com/articles/2647681474", "매물Link")</f>
        <v/>
      </c>
      <c r="R150" s="6">
        <f>HYPERLINK("https://map.naver.com/p/search/세종특별자치시 나성동 829", "지도Link")</f>
        <v/>
      </c>
      <c r="S150" s="6">
        <f>HYPERLINK("http://www.eum.go.kr/web/ar/lu/luLandDet.jsp?pnu=3611010700108290000&amp;isNoScr=script&amp;mode=search", "토지이음")</f>
        <v/>
      </c>
      <c r="T150" s="3" t="inlineStr">
        <is>
          <t>교차로</t>
        </is>
      </c>
      <c r="U150" s="3" t="n">
        <v>1</v>
      </c>
      <c r="V150" s="3" t="inlineStr">
        <is>
          <t>전망공간 기계실</t>
        </is>
      </c>
      <c r="W150" s="4" t="n">
        <v>529</v>
      </c>
      <c r="X150" s="3" t="inlineStr">
        <is>
          <t>철근콘크리트구조</t>
        </is>
      </c>
      <c r="Y150" s="3" t="inlineStr">
        <is>
          <t>제2종근린생활시설</t>
        </is>
      </c>
      <c r="Z150" s="3" t="inlineStr">
        <is>
          <t>-m</t>
        </is>
      </c>
      <c r="AA150" s="3" t="inlineStr">
        <is>
          <t>2021-08-20</t>
        </is>
      </c>
    </row>
    <row r="151">
      <c r="A151" s="3" t="inlineStr">
        <is>
          <t>세종특별자치시 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HYPERLINK("https://map.naver.com/p/search/세종특별자치시 나성동 829", "지도Link")</f>
        <v/>
      </c>
      <c r="S151" s="6">
        <f>HYPERLINK("http://www.eum.go.kr/web/ar/lu/luLandDet.jsp?pnu=3611010700108290000&amp;isNoScr=script&amp;mode=search", "토지이음")</f>
        <v/>
      </c>
      <c r="T151" s="3" t="inlineStr">
        <is>
          <t>현대</t>
        </is>
      </c>
      <c r="U151" s="3" t="n">
        <v>1</v>
      </c>
      <c r="V151" s="3" t="inlineStr">
        <is>
          <t>801</t>
        </is>
      </c>
      <c r="W151" s="4" t="n">
        <v>315</v>
      </c>
      <c r="X151" s="3" t="inlineStr">
        <is>
          <t>철근콘크리트구조</t>
        </is>
      </c>
      <c r="Y151" s="3" t="inlineStr">
        <is>
          <t>제2종근린생활시설</t>
        </is>
      </c>
      <c r="Z151" s="3" t="inlineStr">
        <is>
          <t>-m</t>
        </is>
      </c>
      <c r="AA151" s="3" t="inlineStr">
        <is>
          <t>2021-08-20</t>
        </is>
      </c>
    </row>
    <row r="152">
      <c r="A152" s="3" t="inlineStr">
        <is>
          <t>세종특별자치시 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HYPERLINK("https://map.naver.com/p/search/세종특별자치시 나성동 829", "지도Link")</f>
        <v/>
      </c>
      <c r="S152" s="6">
        <f>HYPERLINK("http://www.eum.go.kr/web/ar/lu/luLandDet.jsp?pnu=3611010700108290000&amp;isNoScr=script&amp;mode=search", "토지이음")</f>
        <v/>
      </c>
      <c r="T152" s="3" t="inlineStr">
        <is>
          <t>현대</t>
        </is>
      </c>
      <c r="U152" s="3" t="n">
        <v>1</v>
      </c>
      <c r="V152" s="3" t="inlineStr">
        <is>
          <t>801</t>
        </is>
      </c>
      <c r="W152" s="4" t="n">
        <v>315</v>
      </c>
      <c r="X152" s="3" t="inlineStr">
        <is>
          <t>철근콘크리트구조</t>
        </is>
      </c>
      <c r="Y152" s="3" t="inlineStr">
        <is>
          <t>제2종근린생활시설</t>
        </is>
      </c>
      <c r="Z152" s="3" t="inlineStr">
        <is>
          <t>-m</t>
        </is>
      </c>
      <c r="AA152" s="3" t="inlineStr">
        <is>
          <t>2021-08-20</t>
        </is>
      </c>
    </row>
    <row r="153">
      <c r="A153" s="3" t="inlineStr">
        <is>
          <t>세종특별자치시 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HYPERLINK("https://map.naver.com/p/search/세종특별자치시 나성동 829", "지도Link")</f>
        <v/>
      </c>
      <c r="S153" s="6">
        <f>HYPERLINK("http://www.eum.go.kr/web/ar/lu/luLandDet.jsp?pnu=3611010700108290000&amp;isNoScr=script&amp;mode=search", "토지이음")</f>
        <v/>
      </c>
      <c r="T153" s="3" t="inlineStr">
        <is>
          <t>운산</t>
        </is>
      </c>
      <c r="U153" s="3" t="n">
        <v>1</v>
      </c>
      <c r="V153" s="3" t="inlineStr">
        <is>
          <t>전망공간 기계실</t>
        </is>
      </c>
      <c r="W153" s="4" t="n">
        <v>492</v>
      </c>
      <c r="X153" s="3" t="inlineStr">
        <is>
          <t>철근콘크리트구조</t>
        </is>
      </c>
      <c r="Y153" s="3" t="inlineStr">
        <is>
          <t>제2종근린생활시설</t>
        </is>
      </c>
      <c r="Z153" s="3" t="inlineStr">
        <is>
          <t>-m</t>
        </is>
      </c>
      <c r="AA153" s="3" t="inlineStr">
        <is>
          <t>2021-08-20</t>
        </is>
      </c>
    </row>
    <row r="154">
      <c r="A154" s="3" t="inlineStr">
        <is>
          <t>세종특별자치시 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HYPERLINK("https://map.naver.com/p/search/세종특별자치시 나성동 829", "지도Link")</f>
        <v/>
      </c>
      <c r="S154" s="6">
        <f>HYPERLINK("http://www.eum.go.kr/web/ar/lu/luLandDet.jsp?pnu=3611010700108290000&amp;isNoScr=script&amp;mode=search", "토지이음")</f>
        <v/>
      </c>
      <c r="T154" s="3" t="inlineStr">
        <is>
          <t>더원</t>
        </is>
      </c>
      <c r="U154" s="3" t="n">
        <v>1</v>
      </c>
      <c r="V154" s="3" t="inlineStr">
        <is>
          <t>802</t>
        </is>
      </c>
      <c r="W154" s="4" t="n">
        <v>3676</v>
      </c>
      <c r="X154" s="3" t="inlineStr">
        <is>
          <t>철근콘크리트구조</t>
        </is>
      </c>
      <c r="Y154" s="3" t="inlineStr">
        <is>
          <t>제2종근린생활시설</t>
        </is>
      </c>
      <c r="Z154" s="3" t="inlineStr">
        <is>
          <t>-m</t>
        </is>
      </c>
      <c r="AA154" s="3" t="inlineStr">
        <is>
          <t>2021-08-20</t>
        </is>
      </c>
    </row>
    <row r="155">
      <c r="A155" s="3" t="inlineStr">
        <is>
          <t>세종특별자치시 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HYPERLINK("https://map.naver.com/p/search/세종특별자치시 나성동 829", "지도Link")</f>
        <v/>
      </c>
      <c r="S155" s="6">
        <f>HYPERLINK("http://www.eum.go.kr/web/ar/lu/luLandDet.jsp?pnu=3611010700108290000&amp;isNoScr=script&amp;mode=search", "토지이음")</f>
        <v/>
      </c>
      <c r="T155" s="3" t="inlineStr">
        <is>
          <t>컨설팅박사</t>
        </is>
      </c>
      <c r="U155" s="3" t="n">
        <v>1</v>
      </c>
      <c r="V155" s="3" t="inlineStr">
        <is>
          <t>공동주택 주민공동시설</t>
        </is>
      </c>
      <c r="W155" s="4" t="n">
        <v>198</v>
      </c>
      <c r="X155" s="3" t="inlineStr">
        <is>
          <t>철근콘크리트구조</t>
        </is>
      </c>
      <c r="Y155" s="3" t="inlineStr">
        <is>
          <t>공동주택</t>
        </is>
      </c>
      <c r="Z155" s="3" t="inlineStr">
        <is>
          <t>-m</t>
        </is>
      </c>
      <c r="AA155" s="3" t="inlineStr">
        <is>
          <t>2021-08-20</t>
        </is>
      </c>
    </row>
    <row r="156">
      <c r="A156" s="3" t="inlineStr">
        <is>
          <t>세종특별자치시 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HYPERLINK("https://map.naver.com/p/search/세종특별자치시 나성동 829", "지도Link")</f>
        <v/>
      </c>
      <c r="S156" s="6">
        <f>HYPERLINK("http://www.eum.go.kr/web/ar/lu/luLandDet.jsp?pnu=3611010700108290000&amp;isNoScr=script&amp;mode=search", "토지이음")</f>
        <v/>
      </c>
      <c r="T156" s="3" t="inlineStr">
        <is>
          <t>컨설팅박사</t>
        </is>
      </c>
      <c r="U156" s="3" t="n">
        <v>1</v>
      </c>
      <c r="V156" s="3" t="inlineStr">
        <is>
          <t>전망공간 기계실</t>
        </is>
      </c>
      <c r="W156" s="4" t="n">
        <v>396</v>
      </c>
      <c r="X156" s="3" t="inlineStr">
        <is>
          <t>철근콘크리트구조</t>
        </is>
      </c>
      <c r="Y156" s="3" t="inlineStr">
        <is>
          <t>제2종근린생활시설</t>
        </is>
      </c>
      <c r="Z156" s="3" t="inlineStr">
        <is>
          <t>-m</t>
        </is>
      </c>
      <c r="AA156" s="3" t="inlineStr">
        <is>
          <t>2021-08-20</t>
        </is>
      </c>
    </row>
    <row r="157">
      <c r="A157" s="3" t="inlineStr">
        <is>
          <t>세종특별자치시 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HYPERLINK("https://map.naver.com/p/search/세종특별자치시 나성동 829", "지도Link")</f>
        <v/>
      </c>
      <c r="S157" s="6">
        <f>HYPERLINK("http://www.eum.go.kr/web/ar/lu/luLandDet.jsp?pnu=3611010700108290000&amp;isNoScr=script&amp;mode=search", "토지이음")</f>
        <v/>
      </c>
      <c r="T157" s="3" t="inlineStr">
        <is>
          <t>컨설팅박사</t>
        </is>
      </c>
      <c r="U157" s="3" t="n">
        <v>1</v>
      </c>
      <c r="V157" s="3" t="inlineStr">
        <is>
          <t>근린생활시설 지하주차장</t>
        </is>
      </c>
      <c r="W157" s="4" t="n">
        <v>2399</v>
      </c>
      <c r="X157" s="3" t="inlineStr">
        <is>
          <t>철근콘크리트구조</t>
        </is>
      </c>
      <c r="Y157" s="3" t="inlineStr">
        <is>
          <t>제2종근린생활시설</t>
        </is>
      </c>
      <c r="Z157" s="3" t="inlineStr">
        <is>
          <t>-m</t>
        </is>
      </c>
      <c r="AA157" s="3" t="inlineStr">
        <is>
          <t>2021-08-20</t>
        </is>
      </c>
    </row>
    <row r="158">
      <c r="A158" s="3" t="inlineStr">
        <is>
          <t>세종특별자치시 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HYPERLINK("https://map.naver.com/p/search/세종특별자치시 나성동 829", "지도Link")</f>
        <v/>
      </c>
      <c r="S158" s="6">
        <f>HYPERLINK("http://www.eum.go.kr/web/ar/lu/luLandDet.jsp?pnu=3611010700108290000&amp;isNoScr=script&amp;mode=search", "토지이음")</f>
        <v/>
      </c>
      <c r="T158" s="3" t="inlineStr">
        <is>
          <t>맨하탄</t>
        </is>
      </c>
      <c r="U158" s="3" t="n">
        <v>1</v>
      </c>
      <c r="V158" s="3" t="inlineStr">
        <is>
          <t>604</t>
        </is>
      </c>
      <c r="W158" s="4" t="n">
        <v>991</v>
      </c>
      <c r="X158" s="3" t="inlineStr">
        <is>
          <t>철근콘크리트구조</t>
        </is>
      </c>
      <c r="Y158" s="3" t="inlineStr">
        <is>
          <t>공동주택</t>
        </is>
      </c>
      <c r="Z158" s="3" t="inlineStr">
        <is>
          <t>38.30m</t>
        </is>
      </c>
      <c r="AA158" s="3" t="inlineStr">
        <is>
          <t>2021-08-20</t>
        </is>
      </c>
    </row>
    <row r="159">
      <c r="A159" s="3" t="inlineStr">
        <is>
          <t>세종특별자치시 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HYPERLINK("https://map.naver.com/p/search/세종특별자치시 나성동 829", "지도Link")</f>
        <v/>
      </c>
      <c r="S159" s="6">
        <f>HYPERLINK("http://www.eum.go.kr/web/ar/lu/luLandDet.jsp?pnu=3611010700108290000&amp;isNoScr=script&amp;mode=search", "토지이음")</f>
        <v/>
      </c>
      <c r="T159" s="3" t="inlineStr">
        <is>
          <t>컨설팅박사</t>
        </is>
      </c>
      <c r="U159" s="3" t="n">
        <v>1</v>
      </c>
      <c r="V159" s="3" t="inlineStr">
        <is>
          <t>802</t>
        </is>
      </c>
      <c r="W159" s="4" t="n">
        <v>3305</v>
      </c>
      <c r="X159" s="3" t="inlineStr">
        <is>
          <t>철근콘크리트구조</t>
        </is>
      </c>
      <c r="Y159" s="3" t="inlineStr">
        <is>
          <t>제2종근린생활시설</t>
        </is>
      </c>
      <c r="Z159" s="3" t="inlineStr">
        <is>
          <t>-m</t>
        </is>
      </c>
      <c r="AA159" s="3" t="inlineStr">
        <is>
          <t>2021-08-20</t>
        </is>
      </c>
    </row>
    <row r="160">
      <c r="A160" s="3" t="inlineStr">
        <is>
          <t>세종특별자치시 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HYPERLINK("https://map.naver.com/p/search/세종특별자치시 나성동 829", "지도Link")</f>
        <v/>
      </c>
      <c r="S160" s="6">
        <f>HYPERLINK("http://www.eum.go.kr/web/ar/lu/luLandDet.jsp?pnu=3611010700108290000&amp;isNoScr=script&amp;mode=search", "토지이음")</f>
        <v/>
      </c>
      <c r="T160" s="3" t="inlineStr">
        <is>
          <t>컨설팅박사</t>
        </is>
      </c>
      <c r="U160" s="3" t="n">
        <v>1</v>
      </c>
      <c r="V160" s="3" t="inlineStr">
        <is>
          <t>전망공간 기계실</t>
        </is>
      </c>
      <c r="W160" s="4" t="n">
        <v>396</v>
      </c>
      <c r="X160" s="3" t="inlineStr">
        <is>
          <t>철근콘크리트구조</t>
        </is>
      </c>
      <c r="Y160" s="3" t="inlineStr">
        <is>
          <t>제2종근린생활시설</t>
        </is>
      </c>
      <c r="Z160" s="3" t="inlineStr">
        <is>
          <t>-m</t>
        </is>
      </c>
      <c r="AA160" s="3" t="inlineStr">
        <is>
          <t>2021-08-20</t>
        </is>
      </c>
    </row>
    <row r="161">
      <c r="A161" s="3" t="inlineStr">
        <is>
          <t>세종특별자치시 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HYPERLINK("https://map.naver.com/p/search/세종특별자치시 나성동 829", "지도Link")</f>
        <v/>
      </c>
      <c r="S161" s="6">
        <f>HYPERLINK("http://www.eum.go.kr/web/ar/lu/luLandDet.jsp?pnu=3611010700108290000&amp;isNoScr=script&amp;mode=search", "토지이음")</f>
        <v/>
      </c>
      <c r="T161" s="3" t="inlineStr">
        <is>
          <t>컨설팅박사</t>
        </is>
      </c>
      <c r="U161" s="3" t="n">
        <v>1</v>
      </c>
      <c r="V161" s="3" t="inlineStr">
        <is>
          <t>801</t>
        </is>
      </c>
      <c r="W161" s="4" t="n">
        <v>300</v>
      </c>
      <c r="X161" s="3" t="inlineStr">
        <is>
          <t>철근콘크리트구조</t>
        </is>
      </c>
      <c r="Y161" s="3" t="inlineStr">
        <is>
          <t>제2종근린생활시설</t>
        </is>
      </c>
      <c r="Z161" s="3" t="inlineStr">
        <is>
          <t>-m</t>
        </is>
      </c>
      <c r="AA161" s="3" t="inlineStr">
        <is>
          <t>2021-08-20</t>
        </is>
      </c>
    </row>
    <row r="162">
      <c r="A162" s="3" t="inlineStr">
        <is>
          <t>세종특별자치시 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HYPERLINK("https://map.naver.com/p/search/세종특별자치시 나성동 829", "지도Link")</f>
        <v/>
      </c>
      <c r="S162" s="6">
        <f>HYPERLINK("http://www.eum.go.kr/web/ar/lu/luLandDet.jsp?pnu=3611010700108290000&amp;isNoScr=script&amp;mode=search", "토지이음")</f>
        <v/>
      </c>
      <c r="T162" s="3" t="inlineStr">
        <is>
          <t>컨설팅박사</t>
        </is>
      </c>
      <c r="U162" s="3" t="n">
        <v>1</v>
      </c>
      <c r="V162" s="3" t="inlineStr">
        <is>
          <t>901(전망공간)</t>
        </is>
      </c>
      <c r="W162" s="4" t="n">
        <v>1993</v>
      </c>
      <c r="X162" s="3" t="inlineStr">
        <is>
          <t>철근콘크리트구조</t>
        </is>
      </c>
      <c r="Y162" s="3" t="inlineStr">
        <is>
          <t>제2종근린생활시설</t>
        </is>
      </c>
      <c r="Z162" s="3" t="inlineStr">
        <is>
          <t>-m</t>
        </is>
      </c>
      <c r="AA162" s="3" t="inlineStr">
        <is>
          <t>2021-08-20</t>
        </is>
      </c>
    </row>
    <row r="163">
      <c r="A163" s="3" t="inlineStr">
        <is>
          <t>세종특별자치시 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HYPERLINK("https://map.naver.com/p/search/세종특별자치시 나성동 829", "지도Link")</f>
        <v/>
      </c>
      <c r="S163" s="6">
        <f>HYPERLINK("http://www.eum.go.kr/web/ar/lu/luLandDet.jsp?pnu=3611010700108290000&amp;isNoScr=script&amp;mode=search", "토지이음")</f>
        <v/>
      </c>
      <c r="T163" s="3" t="inlineStr">
        <is>
          <t>컨설팅박사</t>
        </is>
      </c>
      <c r="U163" s="3" t="n">
        <v>1</v>
      </c>
      <c r="V163" s="3" t="inlineStr">
        <is>
          <t>전망공간 기계실</t>
        </is>
      </c>
      <c r="W163" s="4" t="n">
        <v>396</v>
      </c>
      <c r="X163" s="3" t="inlineStr">
        <is>
          <t>철근콘크리트구조</t>
        </is>
      </c>
      <c r="Y163" s="3" t="inlineStr">
        <is>
          <t>제2종근린생활시설</t>
        </is>
      </c>
      <c r="Z163" s="3" t="inlineStr">
        <is>
          <t>-m</t>
        </is>
      </c>
      <c r="AA163" s="3" t="inlineStr">
        <is>
          <t>2021-08-20</t>
        </is>
      </c>
    </row>
    <row r="164">
      <c r="A164" s="3" t="inlineStr">
        <is>
          <t>세종특별자치시 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HYPERLINK("https://map.naver.com/p/search/세종특별자치시 나성동 829", "지도Link")</f>
        <v/>
      </c>
      <c r="S164" s="6">
        <f>HYPERLINK("http://www.eum.go.kr/web/ar/lu/luLandDet.jsp?pnu=3611010700108290000&amp;isNoScr=script&amp;mode=search", "토지이음")</f>
        <v/>
      </c>
      <c r="T164" s="3" t="inlineStr">
        <is>
          <t>더책임</t>
        </is>
      </c>
      <c r="U164" s="3" t="n">
        <v>1</v>
      </c>
      <c r="V164" s="3" t="inlineStr">
        <is>
          <t>605</t>
        </is>
      </c>
      <c r="W164" s="4" t="n">
        <v>1357</v>
      </c>
      <c r="X164" s="3" t="inlineStr">
        <is>
          <t>철근콘크리트구조</t>
        </is>
      </c>
      <c r="Y164" s="3" t="inlineStr">
        <is>
          <t>공동주택</t>
        </is>
      </c>
      <c r="Z164" s="3" t="inlineStr">
        <is>
          <t>45.30m</t>
        </is>
      </c>
      <c r="AA164" s="3" t="inlineStr">
        <is>
          <t>2021-08-20</t>
        </is>
      </c>
    </row>
    <row r="165">
      <c r="A165" s="3" t="inlineStr">
        <is>
          <t>세종특별자치시 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HYPERLINK("https://map.naver.com/p/search/세종특별자치시 나성동 829", "지도Link")</f>
        <v/>
      </c>
      <c r="S165" s="6">
        <f>HYPERLINK("http://www.eum.go.kr/web/ar/lu/luLandDet.jsp?pnu=3611010700108290000&amp;isNoScr=script&amp;mode=search", "토지이음")</f>
        <v/>
      </c>
      <c r="T165" s="3" t="inlineStr">
        <is>
          <t>우리동네</t>
        </is>
      </c>
      <c r="U165" s="3" t="n">
        <v>1</v>
      </c>
      <c r="V165" s="3" t="inlineStr">
        <is>
          <t>공동주택 주민공동시설</t>
        </is>
      </c>
      <c r="W165" s="4" t="n">
        <v>211</v>
      </c>
      <c r="X165" s="3" t="inlineStr">
        <is>
          <t>철근콘크리트구조</t>
        </is>
      </c>
      <c r="Y165" s="3" t="inlineStr">
        <is>
          <t>공동주택</t>
        </is>
      </c>
      <c r="Z165" s="3" t="inlineStr">
        <is>
          <t>-m</t>
        </is>
      </c>
      <c r="AA165" s="3" t="inlineStr">
        <is>
          <t>2021-08-20</t>
        </is>
      </c>
    </row>
    <row r="166">
      <c r="A166" s="3" t="inlineStr">
        <is>
          <t>세종특별자치시 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HYPERLINK("https://map.naver.com/p/search/세종특별자치시 나성동 829", "지도Link")</f>
        <v/>
      </c>
      <c r="S166" s="6">
        <f>HYPERLINK("http://www.eum.go.kr/web/ar/lu/luLandDet.jsp?pnu=3611010700108290000&amp;isNoScr=script&amp;mode=search", "토지이음")</f>
        <v/>
      </c>
      <c r="T166" s="3" t="inlineStr">
        <is>
          <t>왕중왕기업</t>
        </is>
      </c>
      <c r="U166" s="3" t="n">
        <v>1</v>
      </c>
      <c r="V166" s="3" t="inlineStr">
        <is>
          <t>605</t>
        </is>
      </c>
      <c r="W166" s="4" t="n">
        <v>1357</v>
      </c>
      <c r="X166" s="3" t="inlineStr">
        <is>
          <t>철근콘크리트구조</t>
        </is>
      </c>
      <c r="Y166" s="3" t="inlineStr">
        <is>
          <t>공동주택</t>
        </is>
      </c>
      <c r="Z166" s="3" t="inlineStr">
        <is>
          <t>45.30m</t>
        </is>
      </c>
      <c r="AA166" s="3" t="inlineStr">
        <is>
          <t>2021-08-20</t>
        </is>
      </c>
    </row>
    <row r="167">
      <c r="A167" s="3" t="inlineStr">
        <is>
          <t>세종특별자치시 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HYPERLINK("https://map.naver.com/p/search/세종특별자치시 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94.45m</t>
        </is>
      </c>
      <c r="AA167" s="3" t="inlineStr">
        <is>
          <t>2021-08-20</t>
        </is>
      </c>
    </row>
    <row r="168">
      <c r="A168" s="3" t="inlineStr">
        <is>
          <t>세종특별자치시 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HYPERLINK("https://map.naver.com/p/search/세종특별자치시 나성동 829", "지도Link")</f>
        <v/>
      </c>
      <c r="S168" s="6">
        <f>HYPERLINK("http://www.eum.go.kr/web/ar/lu/luLandDet.jsp?pnu=3611010700108290000&amp;isNoScr=script&amp;mode=search", "토지이음")</f>
        <v/>
      </c>
      <c r="T168" s="3" t="inlineStr">
        <is>
          <t>호반114</t>
        </is>
      </c>
      <c r="U168" s="3" t="n">
        <v>1</v>
      </c>
      <c r="V168" s="3" t="inlineStr">
        <is>
          <t>803</t>
        </is>
      </c>
      <c r="W168" s="4" t="n">
        <v>655</v>
      </c>
      <c r="X168" s="3" t="inlineStr">
        <is>
          <t>철근콘크리트구조</t>
        </is>
      </c>
      <c r="Y168" s="3" t="inlineStr">
        <is>
          <t>제2종근린생활시설</t>
        </is>
      </c>
      <c r="Z168" s="3" t="inlineStr">
        <is>
          <t>-m</t>
        </is>
      </c>
      <c r="AA168" s="3" t="inlineStr">
        <is>
          <t>2021-08-20</t>
        </is>
      </c>
    </row>
    <row r="169">
      <c r="A169" s="3" t="inlineStr">
        <is>
          <t>세종특별자치시 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HYPERLINK("https://map.naver.com/p/search/세종특별자치시 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94.45m</t>
        </is>
      </c>
      <c r="AA169" s="3" t="inlineStr">
        <is>
          <t>2021-08-20</t>
        </is>
      </c>
    </row>
    <row r="170">
      <c r="A170" s="3" t="inlineStr">
        <is>
          <t>세종특별자치시 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HYPERLINK("https://map.naver.com/p/search/세종특별자치시 나성동 829", "지도Link")</f>
        <v/>
      </c>
      <c r="S170" s="6">
        <f>HYPERLINK("http://www.eum.go.kr/web/ar/lu/luLandDet.jsp?pnu=3611010700108290000&amp;isNoScr=script&amp;mode=search", "토지이음")</f>
        <v/>
      </c>
      <c r="T170" s="3" t="inlineStr">
        <is>
          <t>운산</t>
        </is>
      </c>
      <c r="U170" s="3" t="n">
        <v>1</v>
      </c>
      <c r="V170" s="3" t="inlineStr">
        <is>
          <t>802</t>
        </is>
      </c>
      <c r="W170" s="4" t="n">
        <v>6915</v>
      </c>
      <c r="X170" s="3" t="inlineStr">
        <is>
          <t>철근콘크리트구조</t>
        </is>
      </c>
      <c r="Y170" s="3" t="inlineStr">
        <is>
          <t>제2종근린생활시설</t>
        </is>
      </c>
      <c r="Z170" s="3" t="inlineStr">
        <is>
          <t>-m</t>
        </is>
      </c>
      <c r="AA170" s="3" t="inlineStr">
        <is>
          <t>2021-08-20</t>
        </is>
      </c>
    </row>
    <row r="171">
      <c r="A171" s="3" t="inlineStr">
        <is>
          <t>세종특별자치시 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HYPERLINK("https://map.naver.com/p/search/세종특별자치시 나성동 829", "지도Link")</f>
        <v/>
      </c>
      <c r="S171" s="6">
        <f>HYPERLINK("http://www.eum.go.kr/web/ar/lu/luLandDet.jsp?pnu=3611010700108290000&amp;isNoScr=script&amp;mode=search", "토지이음")</f>
        <v/>
      </c>
      <c r="T171" s="3" t="inlineStr">
        <is>
          <t>북세종</t>
        </is>
      </c>
      <c r="U171" s="3" t="n">
        <v>1</v>
      </c>
      <c r="V171" s="3" t="inlineStr">
        <is>
          <t>901(전망공간)</t>
        </is>
      </c>
      <c r="W171" s="4" t="n">
        <v>1989</v>
      </c>
      <c r="X171" s="3" t="inlineStr">
        <is>
          <t>철근콘크리트구조</t>
        </is>
      </c>
      <c r="Y171" s="3" t="inlineStr">
        <is>
          <t>제2종근린생활시설</t>
        </is>
      </c>
      <c r="Z171" s="3" t="inlineStr">
        <is>
          <t>-m</t>
        </is>
      </c>
      <c r="AA171" s="3" t="inlineStr">
        <is>
          <t>2021-08-20</t>
        </is>
      </c>
    </row>
    <row r="172">
      <c r="A172" s="3" t="inlineStr">
        <is>
          <t>세종특별자치시 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HYPERLINK("https://map.naver.com/p/search/세종특별자치시 나성동 829", "지도Link")</f>
        <v/>
      </c>
      <c r="S172" s="6">
        <f>HYPERLINK("http://www.eum.go.kr/web/ar/lu/luLandDet.jsp?pnu=3611010700108290000&amp;isNoScr=script&amp;mode=search", "토지이음")</f>
        <v/>
      </c>
      <c r="T172" s="3" t="inlineStr">
        <is>
          <t>북세종</t>
        </is>
      </c>
      <c r="U172" s="3" t="n">
        <v>1</v>
      </c>
      <c r="V172" s="3" t="inlineStr">
        <is>
          <t>604</t>
        </is>
      </c>
      <c r="W172" s="4" t="n">
        <v>1094</v>
      </c>
      <c r="X172" s="3" t="inlineStr">
        <is>
          <t>철근콘크리트구조</t>
        </is>
      </c>
      <c r="Y172" s="3" t="inlineStr">
        <is>
          <t>공동주택</t>
        </is>
      </c>
      <c r="Z172" s="3" t="inlineStr">
        <is>
          <t>38.30m</t>
        </is>
      </c>
      <c r="AA172" s="3" t="inlineStr">
        <is>
          <t>2021-08-20</t>
        </is>
      </c>
    </row>
    <row r="173">
      <c r="A173" s="3" t="inlineStr">
        <is>
          <t>세종특별자치시 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HYPERLINK("https://map.naver.com/p/search/세종특별자치시 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94.45m</t>
        </is>
      </c>
      <c r="AA173" s="3" t="inlineStr">
        <is>
          <t>2021-08-20</t>
        </is>
      </c>
    </row>
    <row r="174">
      <c r="A174" s="3" t="inlineStr">
        <is>
          <t>세종특별자치시 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HYPERLINK("https://map.naver.com/p/search/세종특별자치시 나성동 829", "지도Link")</f>
        <v/>
      </c>
      <c r="S174" s="6">
        <f>HYPERLINK("http://www.eum.go.kr/web/ar/lu/luLandDet.jsp?pnu=3611010700108290000&amp;isNoScr=script&amp;mode=search", "토지이음")</f>
        <v/>
      </c>
      <c r="T174" s="3" t="inlineStr">
        <is>
          <t>컨설팅박사</t>
        </is>
      </c>
      <c r="U174" s="3" t="n">
        <v>1</v>
      </c>
      <c r="V174" s="3" t="inlineStr">
        <is>
          <t>공동주택 주민공동시설</t>
        </is>
      </c>
      <c r="W174" s="4" t="n">
        <v>198</v>
      </c>
      <c r="X174" s="3" t="inlineStr">
        <is>
          <t>철근콘크리트구조</t>
        </is>
      </c>
      <c r="Y174" s="3" t="inlineStr">
        <is>
          <t>공동주택</t>
        </is>
      </c>
      <c r="Z174" s="3" t="inlineStr">
        <is>
          <t>-m</t>
        </is>
      </c>
      <c r="AA174" s="3" t="inlineStr">
        <is>
          <t>2021-08-20</t>
        </is>
      </c>
    </row>
    <row r="175">
      <c r="A175" s="3" t="inlineStr">
        <is>
          <t>세종특별자치시 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HYPERLINK("https://map.naver.com/p/search/세종특별자치시 나성동 829", "지도Link")</f>
        <v/>
      </c>
      <c r="S175" s="6">
        <f>HYPERLINK("http://www.eum.go.kr/web/ar/lu/luLandDet.jsp?pnu=3611010700108290000&amp;isNoScr=script&amp;mode=search", "토지이음")</f>
        <v/>
      </c>
      <c r="T175" s="3" t="inlineStr">
        <is>
          <t>OK허니</t>
        </is>
      </c>
      <c r="U175" s="3" t="n">
        <v>1</v>
      </c>
      <c r="V175" s="3" t="inlineStr">
        <is>
          <t>공동주택 주민공동시설</t>
        </is>
      </c>
      <c r="W175" s="4" t="n">
        <v>198</v>
      </c>
      <c r="X175" s="3" t="inlineStr">
        <is>
          <t>철근콘크리트구조</t>
        </is>
      </c>
      <c r="Y175" s="3" t="inlineStr">
        <is>
          <t>공동주택</t>
        </is>
      </c>
      <c r="Z175" s="3" t="inlineStr">
        <is>
          <t>-m</t>
        </is>
      </c>
      <c r="AA175" s="3" t="inlineStr">
        <is>
          <t>2021-08-20</t>
        </is>
      </c>
    </row>
    <row r="176">
      <c r="A176" s="3" t="inlineStr">
        <is>
          <t>세종특별자치시 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HYPERLINK("https://map.naver.com/p/search/세종특별자치시 나성동 829", "지도Link")</f>
        <v/>
      </c>
      <c r="S176" s="6">
        <f>HYPERLINK("http://www.eum.go.kr/web/ar/lu/luLandDet.jsp?pnu=3611010700108290000&amp;isNoScr=script&amp;mode=search", "토지이음")</f>
        <v/>
      </c>
      <c r="T176" s="3" t="inlineStr">
        <is>
          <t>컨설팅박사</t>
        </is>
      </c>
      <c r="U176" s="3" t="n">
        <v>1</v>
      </c>
      <c r="V176" s="3" t="inlineStr">
        <is>
          <t>전망공간 지하주차장</t>
        </is>
      </c>
      <c r="W176" s="4" t="n">
        <v>889</v>
      </c>
      <c r="X176" s="3" t="inlineStr">
        <is>
          <t>철근콘크리트구조</t>
        </is>
      </c>
      <c r="Y176" s="3" t="inlineStr">
        <is>
          <t>제2종근린생활시설</t>
        </is>
      </c>
      <c r="Z176" s="3" t="inlineStr">
        <is>
          <t>4.50m</t>
        </is>
      </c>
      <c r="AA176" s="3" t="inlineStr">
        <is>
          <t>2021-08-20</t>
        </is>
      </c>
    </row>
    <row r="177">
      <c r="A177" s="3" t="inlineStr">
        <is>
          <t>세종특별자치시 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HYPERLINK("https://map.naver.com/p/search/세종특별자치시 나성동 829", "지도Link")</f>
        <v/>
      </c>
      <c r="S177" s="6">
        <f>HYPERLINK("http://www.eum.go.kr/web/ar/lu/luLandDet.jsp?pnu=3611010700108290000&amp;isNoScr=script&amp;mode=search", "토지이음")</f>
        <v/>
      </c>
      <c r="T177" s="3" t="inlineStr">
        <is>
          <t>컨설팅박사</t>
        </is>
      </c>
      <c r="U177" s="3" t="n">
        <v>1</v>
      </c>
      <c r="V177" s="3" t="inlineStr">
        <is>
          <t>802</t>
        </is>
      </c>
      <c r="W177" s="4" t="n">
        <v>3487</v>
      </c>
      <c r="X177" s="3" t="inlineStr">
        <is>
          <t>철근콘크리트구조</t>
        </is>
      </c>
      <c r="Y177" s="3" t="inlineStr">
        <is>
          <t>제2종근린생활시설</t>
        </is>
      </c>
      <c r="Z177" s="3" t="inlineStr">
        <is>
          <t>-m</t>
        </is>
      </c>
      <c r="AA177" s="3" t="inlineStr">
        <is>
          <t>2021-08-20</t>
        </is>
      </c>
    </row>
    <row r="178">
      <c r="A178" s="3" t="inlineStr">
        <is>
          <t>세종특별자치시 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HYPERLINK("https://map.naver.com/p/search/세종특별자치시 나성동 829", "지도Link")</f>
        <v/>
      </c>
      <c r="S178" s="6">
        <f>HYPERLINK("http://www.eum.go.kr/web/ar/lu/luLandDet.jsp?pnu=3611010700108290000&amp;isNoScr=script&amp;mode=search", "토지이음")</f>
        <v/>
      </c>
      <c r="T178" s="3" t="inlineStr">
        <is>
          <t>스카이</t>
        </is>
      </c>
      <c r="U178" s="3" t="n">
        <v>1</v>
      </c>
      <c r="V178" s="3" t="inlineStr">
        <is>
          <t>605</t>
        </is>
      </c>
      <c r="W178" s="4" t="n">
        <v>1119</v>
      </c>
      <c r="X178" s="3" t="inlineStr">
        <is>
          <t>철근콘크리트구조</t>
        </is>
      </c>
      <c r="Y178" s="3" t="inlineStr">
        <is>
          <t>공동주택</t>
        </is>
      </c>
      <c r="Z178" s="3" t="inlineStr">
        <is>
          <t>45.30m</t>
        </is>
      </c>
      <c r="AA178" s="3" t="inlineStr">
        <is>
          <t>2021-08-20</t>
        </is>
      </c>
    </row>
    <row r="179">
      <c r="A179" s="3" t="inlineStr">
        <is>
          <t>세종특별자치시 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HYPERLINK("https://map.naver.com/p/search/세종특별자치시 나성동 829", "지도Link")</f>
        <v/>
      </c>
      <c r="S179" s="6">
        <f>HYPERLINK("http://www.eum.go.kr/web/ar/lu/luLandDet.jsp?pnu=3611010700108290000&amp;isNoScr=script&amp;mode=search", "토지이음")</f>
        <v/>
      </c>
      <c r="T179" s="3" t="inlineStr">
        <is>
          <t>컨설팅박사</t>
        </is>
      </c>
      <c r="U179" s="3" t="n">
        <v>1</v>
      </c>
      <c r="V179" s="3" t="inlineStr">
        <is>
          <t>근린생활시설 지하주차장</t>
        </is>
      </c>
      <c r="W179" s="4" t="n">
        <v>2314</v>
      </c>
      <c r="X179" s="3" t="inlineStr">
        <is>
          <t>철근콘크리트구조</t>
        </is>
      </c>
      <c r="Y179" s="3" t="inlineStr">
        <is>
          <t>제2종근린생활시설</t>
        </is>
      </c>
      <c r="Z179" s="3" t="inlineStr">
        <is>
          <t>-m</t>
        </is>
      </c>
      <c r="AA179" s="3" t="inlineStr">
        <is>
          <t>2021-08-20</t>
        </is>
      </c>
    </row>
    <row r="180">
      <c r="A180" s="3" t="inlineStr">
        <is>
          <t>세종특별자치시 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HYPERLINK("https://map.naver.com/p/search/세종특별자치시 나성동 829", "지도Link")</f>
        <v/>
      </c>
      <c r="S180" s="6">
        <f>HYPERLINK("http://www.eum.go.kr/web/ar/lu/luLandDet.jsp?pnu=3611010700108290000&amp;isNoScr=script&amp;mode=search", "토지이음")</f>
        <v/>
      </c>
      <c r="T180" s="3" t="inlineStr">
        <is>
          <t>스카이</t>
        </is>
      </c>
      <c r="U180" s="3" t="n">
        <v>1</v>
      </c>
      <c r="V180" s="3" t="inlineStr">
        <is>
          <t>802</t>
        </is>
      </c>
      <c r="W180" s="4" t="n">
        <v>3169</v>
      </c>
      <c r="X180" s="3" t="inlineStr">
        <is>
          <t>철근콘크리트구조</t>
        </is>
      </c>
      <c r="Y180" s="3" t="inlineStr">
        <is>
          <t>제2종근린생활시설</t>
        </is>
      </c>
      <c r="Z180" s="3" t="inlineStr">
        <is>
          <t>-m</t>
        </is>
      </c>
      <c r="AA180" s="3" t="inlineStr">
        <is>
          <t>2021-08-20</t>
        </is>
      </c>
    </row>
    <row r="181">
      <c r="A181" s="3" t="inlineStr">
        <is>
          <t>세종특별자치시 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HYPERLINK("https://map.naver.com/p/search/세종특별자치시 나성동 829", "지도Link")</f>
        <v/>
      </c>
      <c r="S181" s="6">
        <f>HYPERLINK("http://www.eum.go.kr/web/ar/lu/luLandDet.jsp?pnu=3611010700108290000&amp;isNoScr=script&amp;mode=search", "토지이음")</f>
        <v/>
      </c>
      <c r="T181" s="3" t="inlineStr">
        <is>
          <t>OK허니</t>
        </is>
      </c>
      <c r="U181" s="3" t="n">
        <v>1</v>
      </c>
      <c r="V181" s="3" t="inlineStr">
        <is>
          <t>801</t>
        </is>
      </c>
      <c r="W181" s="4" t="n">
        <v>336</v>
      </c>
      <c r="X181" s="3" t="inlineStr">
        <is>
          <t>철근콘크리트구조</t>
        </is>
      </c>
      <c r="Y181" s="3" t="inlineStr">
        <is>
          <t>제2종근린생활시설</t>
        </is>
      </c>
      <c r="Z181" s="3" t="inlineStr">
        <is>
          <t>-m</t>
        </is>
      </c>
      <c r="AA181" s="3" t="inlineStr">
        <is>
          <t>2021-08-20</t>
        </is>
      </c>
    </row>
    <row r="182">
      <c r="A182" s="3" t="inlineStr">
        <is>
          <t>세종특별자치시 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HYPERLINK("https://map.naver.com/p/search/세종특별자치시 나성동 829", "지도Link")</f>
        <v/>
      </c>
      <c r="S182" s="6">
        <f>HYPERLINK("http://www.eum.go.kr/web/ar/lu/luLandDet.jsp?pnu=3611010700108290000&amp;isNoScr=script&amp;mode=search", "토지이음")</f>
        <v/>
      </c>
      <c r="T182" s="3" t="inlineStr">
        <is>
          <t>OK허니</t>
        </is>
      </c>
      <c r="U182" s="3" t="n">
        <v>1</v>
      </c>
      <c r="V182" s="3" t="inlineStr">
        <is>
          <t>공동주택 기계실/열교환기실/펌프실</t>
        </is>
      </c>
      <c r="W182" s="4" t="n">
        <v>276</v>
      </c>
      <c r="X182" s="3" t="inlineStr">
        <is>
          <t>철근콘크리트구조</t>
        </is>
      </c>
      <c r="Y182" s="3" t="inlineStr">
        <is>
          <t>공동주택</t>
        </is>
      </c>
      <c r="Z182" s="3" t="inlineStr">
        <is>
          <t>-m</t>
        </is>
      </c>
      <c r="AA182" s="3" t="inlineStr">
        <is>
          <t>2021-08-20</t>
        </is>
      </c>
    </row>
    <row r="183">
      <c r="A183" s="3" t="inlineStr">
        <is>
          <t>세종특별자치시 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HYPERLINK("https://map.naver.com/p/search/세종특별자치시 나성동 829", "지도Link")</f>
        <v/>
      </c>
      <c r="S183" s="6">
        <f>HYPERLINK("http://www.eum.go.kr/web/ar/lu/luLandDet.jsp?pnu=3611010700108290000&amp;isNoScr=script&amp;mode=search", "토지이음")</f>
        <v/>
      </c>
      <c r="T183" s="3" t="inlineStr">
        <is>
          <t>세종OK</t>
        </is>
      </c>
      <c r="U183" s="3" t="n">
        <v>1</v>
      </c>
      <c r="V183" s="3" t="inlineStr">
        <is>
          <t>근린생활시설 전기/발전기실</t>
        </is>
      </c>
      <c r="W183" s="4" t="n">
        <v>136</v>
      </c>
      <c r="X183" s="3" t="inlineStr">
        <is>
          <t>철근콘크리트구조</t>
        </is>
      </c>
      <c r="Y183" s="3" t="inlineStr">
        <is>
          <t>제2종근린생활시설</t>
        </is>
      </c>
      <c r="Z183" s="3" t="inlineStr">
        <is>
          <t>-m</t>
        </is>
      </c>
      <c r="AA183" s="3" t="inlineStr">
        <is>
          <t>2021-08-20</t>
        </is>
      </c>
    </row>
    <row r="184">
      <c r="A184" s="3" t="inlineStr">
        <is>
          <t>세종특별자치시 나성동 829</t>
        </is>
      </c>
      <c r="B184" s="3" t="inlineStr">
        <is>
          <t>중심상업지역</t>
        </is>
      </c>
      <c r="C184" s="3" t="inlineStr">
        <is>
          <t>대</t>
        </is>
      </c>
      <c r="D184" s="3" t="inlineStr">
        <is>
          <t>공장</t>
        </is>
      </c>
      <c r="E184" s="3" t="inlineStr">
        <is>
          <t>매매</t>
        </is>
      </c>
      <c r="F184" s="4" t="n">
        <v>220000</v>
      </c>
      <c r="G184" s="4" t="n">
        <v>0</v>
      </c>
      <c r="H184" s="4" t="n">
        <v>7193</v>
      </c>
      <c r="I184" s="4" t="n">
        <v>2176</v>
      </c>
      <c r="J184" s="5" t="n">
        <v>101.1</v>
      </c>
      <c r="K184" s="4" t="n">
        <v>1603</v>
      </c>
      <c r="L184" s="4" t="n">
        <v>485</v>
      </c>
      <c r="M184" s="5" t="n">
        <v>453.6</v>
      </c>
      <c r="N184" s="3" t="inlineStr">
        <is>
          <t>2</t>
        </is>
      </c>
      <c r="O184" s="3" t="inlineStr">
        <is>
          <t>-</t>
        </is>
      </c>
      <c r="P184" s="3" t="inlineStr">
        <is>
          <t>세종시전의면유천리공장매매</t>
        </is>
      </c>
      <c r="Q184" s="6">
        <f>HYPERLINK("https://fin.land.naver.com/articles/2647971785", "매물Link")</f>
        <v/>
      </c>
      <c r="R184" s="6">
        <f>HYPERLINK("https://map.naver.com/p/search/세종특별자치시 나성동 829", "지도Link")</f>
        <v/>
      </c>
      <c r="S184" s="6">
        <f>HYPERLINK("http://www.eum.go.kr/web/ar/lu/luLandDet.jsp?pnu=3611010700108290000&amp;isNoScr=script&amp;mode=search", "토지이음")</f>
        <v/>
      </c>
      <c r="T184" s="3" t="inlineStr">
        <is>
          <t>컨설팅박사</t>
        </is>
      </c>
      <c r="U184" s="3" t="n">
        <v>1</v>
      </c>
      <c r="V184" s="3" t="inlineStr">
        <is>
          <t>901(전망공간)</t>
        </is>
      </c>
      <c r="W184" s="4" t="n">
        <v>1603</v>
      </c>
      <c r="X184" s="3" t="inlineStr">
        <is>
          <t>철근콘크리트구조</t>
        </is>
      </c>
      <c r="Y184" s="3" t="inlineStr">
        <is>
          <t>제2종근린생활시설</t>
        </is>
      </c>
      <c r="Z184" s="3" t="inlineStr">
        <is>
          <t>-m</t>
        </is>
      </c>
      <c r="AA184" s="3" t="inlineStr">
        <is>
          <t>2021-08-20</t>
        </is>
      </c>
    </row>
    <row r="185">
      <c r="A185" s="3" t="inlineStr">
        <is>
          <t>세종특별자치시 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HYPERLINK("https://map.naver.com/p/search/세종특별자치시 나성동 829", "지도Link")</f>
        <v/>
      </c>
      <c r="S185" s="6">
        <f>HYPERLINK("http://www.eum.go.kr/web/ar/lu/luLandDet.jsp?pnu=3611010700108290000&amp;isNoScr=script&amp;mode=search", "토지이음")</f>
        <v/>
      </c>
      <c r="T185" s="3" t="inlineStr">
        <is>
          <t>위드</t>
        </is>
      </c>
      <c r="U185" s="3" t="n">
        <v>1</v>
      </c>
      <c r="V185" s="3" t="inlineStr">
        <is>
          <t>802</t>
        </is>
      </c>
      <c r="W185" s="4" t="n">
        <v>3169</v>
      </c>
      <c r="X185" s="3" t="inlineStr">
        <is>
          <t>철근콘크리트구조</t>
        </is>
      </c>
      <c r="Y185" s="3" t="inlineStr">
        <is>
          <t>제2종근린생활시설</t>
        </is>
      </c>
      <c r="Z185" s="3" t="inlineStr">
        <is>
          <t>-m</t>
        </is>
      </c>
      <c r="AA185" s="3" t="inlineStr">
        <is>
          <t>2021-08-20</t>
        </is>
      </c>
    </row>
    <row r="186">
      <c r="A186" s="3" t="inlineStr">
        <is>
          <t>세종특별자치시 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HYPERLINK("https://map.naver.com/p/search/세종특별자치시 나성동 829", "지도Link")</f>
        <v/>
      </c>
      <c r="S186" s="6">
        <f>HYPERLINK("http://www.eum.go.kr/web/ar/lu/luLandDet.jsp?pnu=3611010700108290000&amp;isNoScr=script&amp;mode=search", "토지이음")</f>
        <v/>
      </c>
      <c r="T186" s="3" t="inlineStr">
        <is>
          <t>세종OK</t>
        </is>
      </c>
      <c r="U186" s="3" t="n">
        <v>1</v>
      </c>
      <c r="V186" s="3" t="inlineStr">
        <is>
          <t>근린생활시설 전기/발전기실</t>
        </is>
      </c>
      <c r="W186" s="4" t="n">
        <v>136</v>
      </c>
      <c r="X186" s="3" t="inlineStr">
        <is>
          <t>철근콘크리트구조</t>
        </is>
      </c>
      <c r="Y186" s="3" t="inlineStr">
        <is>
          <t>제2종근린생활시설</t>
        </is>
      </c>
      <c r="Z186" s="3" t="inlineStr">
        <is>
          <t>-m</t>
        </is>
      </c>
      <c r="AA186" s="3" t="inlineStr">
        <is>
          <t>2021-08-20</t>
        </is>
      </c>
    </row>
    <row r="187">
      <c r="A187" s="3" t="inlineStr">
        <is>
          <t>세종특별자치시 나성동 829</t>
        </is>
      </c>
      <c r="B187" s="3" t="inlineStr">
        <is>
          <t>중심상업지역</t>
        </is>
      </c>
      <c r="C187" s="3" t="inlineStr">
        <is>
          <t>대</t>
        </is>
      </c>
      <c r="D187" s="3" t="inlineStr">
        <is>
          <t>공장</t>
        </is>
      </c>
      <c r="E187" s="3" t="inlineStr">
        <is>
          <t>월세</t>
        </is>
      </c>
      <c r="F187" s="4" t="n">
        <v>7000</v>
      </c>
      <c r="G187" s="4" t="n">
        <v>700</v>
      </c>
      <c r="H187" s="4" t="n">
        <v>7193</v>
      </c>
      <c r="I187" s="4" t="n">
        <v>2176</v>
      </c>
      <c r="J187" s="5" t="n">
        <v>0.3</v>
      </c>
      <c r="K187" s="4" t="n">
        <v>1603</v>
      </c>
      <c r="L187" s="4" t="n">
        <v>485</v>
      </c>
      <c r="M187" s="5" t="n">
        <v>1.4</v>
      </c>
      <c r="N187" s="3" t="inlineStr">
        <is>
          <t>2</t>
        </is>
      </c>
      <c r="O187" s="3" t="inlineStr">
        <is>
          <t>-</t>
        </is>
      </c>
      <c r="P187" s="3" t="inlineStr">
        <is>
          <t>전의공장매매</t>
        </is>
      </c>
      <c r="Q187" s="6">
        <f>HYPERLINK("https://fin.land.naver.com/articles/2647971678", "매물Link")</f>
        <v/>
      </c>
      <c r="R187" s="6">
        <f>HYPERLINK("https://map.naver.com/p/search/세종특별자치시 나성동 829", "지도Link")</f>
        <v/>
      </c>
      <c r="S187" s="6">
        <f>HYPERLINK("http://www.eum.go.kr/web/ar/lu/luLandDet.jsp?pnu=3611010700108290000&amp;isNoScr=script&amp;mode=search", "토지이음")</f>
        <v/>
      </c>
      <c r="T187" s="3" t="inlineStr">
        <is>
          <t>컨설팅박사</t>
        </is>
      </c>
      <c r="U187" s="3" t="n">
        <v>1</v>
      </c>
      <c r="V187" s="3" t="inlineStr">
        <is>
          <t>901(전망공간)</t>
        </is>
      </c>
      <c r="W187" s="4" t="n">
        <v>1603</v>
      </c>
      <c r="X187" s="3" t="inlineStr">
        <is>
          <t>철근콘크리트구조</t>
        </is>
      </c>
      <c r="Y187" s="3" t="inlineStr">
        <is>
          <t>제2종근린생활시설</t>
        </is>
      </c>
      <c r="Z187" s="3" t="inlineStr">
        <is>
          <t>-m</t>
        </is>
      </c>
      <c r="AA187" s="3" t="inlineStr">
        <is>
          <t>2021-08-20</t>
        </is>
      </c>
    </row>
    <row r="188">
      <c r="A188" s="3" t="inlineStr">
        <is>
          <t>세종특별자치시 나성동 829</t>
        </is>
      </c>
      <c r="B188" s="3" t="inlineStr">
        <is>
          <t>중심상업지역</t>
        </is>
      </c>
      <c r="C188" s="3" t="inlineStr">
        <is>
          <t>대</t>
        </is>
      </c>
      <c r="D188" s="3" t="inlineStr">
        <is>
          <t>공장</t>
        </is>
      </c>
      <c r="E188" s="3" t="inlineStr">
        <is>
          <t>월세</t>
        </is>
      </c>
      <c r="F188" s="4" t="n">
        <v>6000</v>
      </c>
      <c r="G188" s="4" t="n">
        <v>600</v>
      </c>
      <c r="H188" s="4" t="n">
        <v>5000</v>
      </c>
      <c r="I188" s="4" t="n">
        <v>1512</v>
      </c>
      <c r="J188" s="5" t="n">
        <v>0.4</v>
      </c>
      <c r="K188" s="4" t="n">
        <v>996</v>
      </c>
      <c r="L188" s="4" t="n">
        <v>301</v>
      </c>
      <c r="M188" s="5" t="n">
        <v>2</v>
      </c>
      <c r="N188" s="3" t="inlineStr">
        <is>
          <t>1</t>
        </is>
      </c>
      <c r="O188" s="3" t="inlineStr">
        <is>
          <t>-</t>
        </is>
      </c>
      <c r="P188" s="3" t="inlineStr">
        <is>
          <t>nan</t>
        </is>
      </c>
      <c r="Q188" s="6">
        <f>HYPERLINK("https://fin.land.naver.com/articles/2649100064", "매물Link")</f>
        <v/>
      </c>
      <c r="R188" s="6">
        <f>HYPERLINK("https://map.naver.com/p/search/세종특별자치시 나성동 829", "지도Link")</f>
        <v/>
      </c>
      <c r="S188" s="6">
        <f>HYPERLINK("http://www.eum.go.kr/web/ar/lu/luLandDet.jsp?pnu=3611010700108290000&amp;isNoScr=script&amp;mode=search", "토지이음")</f>
        <v/>
      </c>
      <c r="T188" s="3" t="inlineStr">
        <is>
          <t>왕중왕기업</t>
        </is>
      </c>
      <c r="U188" s="3" t="n">
        <v>1</v>
      </c>
      <c r="V188" s="3" t="inlineStr">
        <is>
          <t>604</t>
        </is>
      </c>
      <c r="W188" s="4" t="n">
        <v>996</v>
      </c>
      <c r="X188" s="3" t="inlineStr">
        <is>
          <t>철근콘크리트구조</t>
        </is>
      </c>
      <c r="Y188" s="3" t="inlineStr">
        <is>
          <t>공동주택</t>
        </is>
      </c>
      <c r="Z188" s="3" t="inlineStr">
        <is>
          <t>38.30m</t>
        </is>
      </c>
      <c r="AA188" s="3" t="inlineStr">
        <is>
          <t>2021-08-20</t>
        </is>
      </c>
    </row>
    <row r="189">
      <c r="A189" s="3" t="inlineStr">
        <is>
          <t>세종특별자치시 나성동 829</t>
        </is>
      </c>
      <c r="B189" s="3" t="inlineStr">
        <is>
          <t>중심상업지역</t>
        </is>
      </c>
      <c r="C189" s="3" t="inlineStr">
        <is>
          <t>대</t>
        </is>
      </c>
      <c r="D189" s="3" t="inlineStr">
        <is>
          <t>창고</t>
        </is>
      </c>
      <c r="E189" s="3" t="inlineStr">
        <is>
          <t>매매</t>
        </is>
      </c>
      <c r="F189" s="4" t="n">
        <v>165000</v>
      </c>
      <c r="G189" s="4" t="n">
        <v>0</v>
      </c>
      <c r="H189" s="4" t="n">
        <v>3214</v>
      </c>
      <c r="I189" s="4" t="n">
        <v>972</v>
      </c>
      <c r="J189" s="5" t="n">
        <v>169.8</v>
      </c>
      <c r="K189" s="4" t="n">
        <v>640</v>
      </c>
      <c r="L189" s="4" t="n">
        <v>194</v>
      </c>
      <c r="M189" s="5" t="n">
        <v>850.5</v>
      </c>
      <c r="N189" s="3" t="inlineStr">
        <is>
          <t>1</t>
        </is>
      </c>
      <c r="O189" s="3" t="inlineStr">
        <is>
          <t>-</t>
        </is>
      </c>
      <c r="P189" s="3" t="inlineStr">
        <is>
          <t>청주시 서원구 창고매매 2023년 사용승인된 신축 창고</t>
        </is>
      </c>
      <c r="Q189" s="6">
        <f>HYPERLINK("https://fin.land.naver.com/articles/2649099391", "매물Link")</f>
        <v/>
      </c>
      <c r="R189" s="6">
        <f>HYPERLINK("https://map.naver.com/p/search/세종특별자치시 나성동 829", "지도Link")</f>
        <v/>
      </c>
      <c r="S189" s="6">
        <f>HYPERLINK("http://www.eum.go.kr/web/ar/lu/luLandDet.jsp?pnu=3611010700108290000&amp;isNoScr=script&amp;mode=search", "토지이음")</f>
        <v/>
      </c>
      <c r="T189" s="3" t="inlineStr">
        <is>
          <t>왕중왕기업</t>
        </is>
      </c>
      <c r="U189" s="3" t="n">
        <v>1</v>
      </c>
      <c r="V189" s="3" t="inlineStr">
        <is>
          <t>803</t>
        </is>
      </c>
      <c r="W189" s="4" t="n">
        <v>640</v>
      </c>
      <c r="X189" s="3" t="inlineStr">
        <is>
          <t>철근콘크리트구조</t>
        </is>
      </c>
      <c r="Y189" s="3" t="inlineStr">
        <is>
          <t>제2종근린생활시설</t>
        </is>
      </c>
      <c r="Z189" s="3" t="inlineStr">
        <is>
          <t>-m</t>
        </is>
      </c>
      <c r="AA189" s="3" t="inlineStr">
        <is>
          <t>2021-08-20</t>
        </is>
      </c>
    </row>
    <row r="190">
      <c r="A190" s="3" t="inlineStr">
        <is>
          <t>세종특별자치시 나성동 829</t>
        </is>
      </c>
      <c r="B190" s="3" t="inlineStr">
        <is>
          <t>중심상업지역</t>
        </is>
      </c>
      <c r="C190" s="3" t="inlineStr">
        <is>
          <t>대</t>
        </is>
      </c>
      <c r="D190" s="3" t="inlineStr">
        <is>
          <t>공장</t>
        </is>
      </c>
      <c r="E190" s="3" t="inlineStr">
        <is>
          <t>매매</t>
        </is>
      </c>
      <c r="F190" s="4" t="n">
        <v>130000</v>
      </c>
      <c r="G190" s="4" t="n">
        <v>0</v>
      </c>
      <c r="H190" s="4" t="n">
        <v>1283</v>
      </c>
      <c r="I190" s="4" t="n">
        <v>388</v>
      </c>
      <c r="J190" s="5" t="n">
        <v>335.1</v>
      </c>
      <c r="K190" s="4" t="n">
        <v>747</v>
      </c>
      <c r="L190" s="4" t="n">
        <v>226</v>
      </c>
      <c r="M190" s="5" t="n">
        <v>575.2</v>
      </c>
      <c r="N190" s="3" t="inlineStr">
        <is>
          <t>3</t>
        </is>
      </c>
      <c r="O190" s="3" t="inlineStr">
        <is>
          <t>-</t>
        </is>
      </c>
      <c r="P190" s="3" t="inlineStr">
        <is>
          <t>2차선도로변 남청주ic 및 강서하이패스ic 접근성 좋은 위치의 공장</t>
        </is>
      </c>
      <c r="Q190" s="6">
        <f>HYPERLINK("https://fin.land.naver.com/articles/2649015887", "매물Link")</f>
        <v/>
      </c>
      <c r="R190" s="6">
        <f>HYPERLINK("https://map.naver.com/p/search/세종특별자치시 나성동 829", "지도Link")</f>
        <v/>
      </c>
      <c r="S190" s="6">
        <f>HYPERLINK("http://www.eum.go.kr/web/ar/lu/luLandDet.jsp?pnu=3611010700108290000&amp;isNoScr=script&amp;mode=search", "토지이음")</f>
        <v/>
      </c>
      <c r="T190" s="3" t="inlineStr">
        <is>
          <t>더원</t>
        </is>
      </c>
      <c r="U190" s="3" t="n">
        <v>1</v>
      </c>
      <c r="V190" s="3" t="inlineStr">
        <is>
          <t>공동주택 휘트니스</t>
        </is>
      </c>
      <c r="W190" s="4" t="n">
        <v>747</v>
      </c>
      <c r="X190" s="3" t="inlineStr">
        <is>
          <t>철근콘크리트구조</t>
        </is>
      </c>
      <c r="Y190" s="3" t="inlineStr">
        <is>
          <t>공동주택</t>
        </is>
      </c>
      <c r="Z190" s="3" t="inlineStr">
        <is>
          <t>-m</t>
        </is>
      </c>
      <c r="AA190" s="3" t="inlineStr">
        <is>
          <t>2021-08-20</t>
        </is>
      </c>
    </row>
    <row r="191">
      <c r="A191" s="3" t="inlineStr">
        <is>
          <t>세종특별자치시 나성동 829</t>
        </is>
      </c>
      <c r="B191" s="3" t="inlineStr">
        <is>
          <t>중심상업지역</t>
        </is>
      </c>
      <c r="C191" s="3" t="inlineStr">
        <is>
          <t>대</t>
        </is>
      </c>
      <c r="D191" s="3" t="inlineStr">
        <is>
          <t>공장</t>
        </is>
      </c>
      <c r="E191" s="3" t="inlineStr">
        <is>
          <t>매매</t>
        </is>
      </c>
      <c r="F191" s="4" t="n">
        <v>250000</v>
      </c>
      <c r="G191" s="4" t="n">
        <v>0</v>
      </c>
      <c r="H191" s="4" t="n">
        <v>5147</v>
      </c>
      <c r="I191" s="4" t="n">
        <v>1557</v>
      </c>
      <c r="J191" s="5" t="n">
        <v>160.6</v>
      </c>
      <c r="K191" s="4" t="n">
        <v>1239</v>
      </c>
      <c r="L191" s="4" t="n">
        <v>375</v>
      </c>
      <c r="M191" s="5" t="n">
        <v>666.7</v>
      </c>
      <c r="N191" s="3" t="inlineStr">
        <is>
          <t>1</t>
        </is>
      </c>
      <c r="O191" s="3" t="inlineStr">
        <is>
          <t>-</t>
        </is>
      </c>
      <c r="P191" s="3" t="inlineStr">
        <is>
          <t>2차선도로접 대형차 진출입 가능 야적면적 넓음</t>
        </is>
      </c>
      <c r="Q191" s="6">
        <f>HYPERLINK("https://fin.land.naver.com/articles/2649015321", "매물Link")</f>
        <v/>
      </c>
      <c r="R191" s="6">
        <f>HYPERLINK("https://map.naver.com/p/search/세종특별자치시 나성동 829", "지도Link")</f>
        <v/>
      </c>
      <c r="S191" s="6">
        <f>HYPERLINK("http://www.eum.go.kr/web/ar/lu/luLandDet.jsp?pnu=3611010700108290000&amp;isNoScr=script&amp;mode=search", "토지이음")</f>
        <v/>
      </c>
      <c r="T191" s="3" t="inlineStr">
        <is>
          <t>더원</t>
        </is>
      </c>
      <c r="U191" s="3" t="n">
        <v>1</v>
      </c>
      <c r="V191" s="3" t="inlineStr">
        <is>
          <t>605</t>
        </is>
      </c>
      <c r="W191" s="4" t="n">
        <v>1239</v>
      </c>
      <c r="X191" s="3" t="inlineStr">
        <is>
          <t>철근콘크리트구조</t>
        </is>
      </c>
      <c r="Y191" s="3" t="inlineStr">
        <is>
          <t>공동주택</t>
        </is>
      </c>
      <c r="Z191" s="3" t="inlineStr">
        <is>
          <t>45.30m</t>
        </is>
      </c>
      <c r="AA191" s="3" t="inlineStr">
        <is>
          <t>2021-08-20</t>
        </is>
      </c>
    </row>
    <row r="192">
      <c r="A192" s="3" t="inlineStr">
        <is>
          <t>세종특별자치시 나성동 829</t>
        </is>
      </c>
      <c r="B192" s="3" t="inlineStr">
        <is>
          <t>중심상업지역</t>
        </is>
      </c>
      <c r="C192" s="3" t="inlineStr">
        <is>
          <t>대</t>
        </is>
      </c>
      <c r="D192" s="3" t="inlineStr">
        <is>
          <t>창고</t>
        </is>
      </c>
      <c r="E192" s="3" t="inlineStr">
        <is>
          <t>매매</t>
        </is>
      </c>
      <c r="F192" s="4" t="n">
        <v>3400000</v>
      </c>
      <c r="G192" s="4" t="n">
        <v>0</v>
      </c>
      <c r="H192" s="4" t="n">
        <v>45651</v>
      </c>
      <c r="I192" s="4" t="n">
        <v>13809</v>
      </c>
      <c r="J192" s="5" t="n">
        <v>246.2</v>
      </c>
      <c r="K192" s="4" t="n">
        <v>20806</v>
      </c>
      <c r="L192" s="4" t="n">
        <v>6294</v>
      </c>
      <c r="M192" s="5" t="n">
        <v>540.2</v>
      </c>
      <c r="N192" s="3" t="inlineStr">
        <is>
          <t>1</t>
        </is>
      </c>
      <c r="O192" s="3" t="inlineStr">
        <is>
          <t>-</t>
        </is>
      </c>
      <c r="P192" s="3" t="inlineStr">
        <is>
          <t>남청주IC에서 가까워대형차 진출입이 편리한곳,대형 물류창고,층고14m</t>
        </is>
      </c>
      <c r="Q192" s="6">
        <f>HYPERLINK("https://fin.land.naver.com/articles/2648734082", "매물Link")</f>
        <v/>
      </c>
      <c r="R192" s="6">
        <f>HYPERLINK("https://map.naver.com/p/search/세종특별자치시 나성동 829", "지도Link")</f>
        <v/>
      </c>
      <c r="S192" s="6">
        <f>HYPERLINK("http://www.eum.go.kr/web/ar/lu/luLandDet.jsp?pnu=3611010700108290000&amp;isNoScr=script&amp;mode=search", "토지이음")</f>
        <v/>
      </c>
      <c r="T192" s="3" t="inlineStr">
        <is>
          <t>(주)미르</t>
        </is>
      </c>
      <c r="U192" s="3" t="n">
        <v>1</v>
      </c>
      <c r="V192" s="3" t="inlineStr">
        <is>
          <t>공동주택 지하주차장</t>
        </is>
      </c>
      <c r="W192" s="4" t="n">
        <v>20806</v>
      </c>
      <c r="X192" s="3" t="inlineStr">
        <is>
          <t>철근콘크리트구조</t>
        </is>
      </c>
      <c r="Y192" s="3" t="inlineStr">
        <is>
          <t>공동주택</t>
        </is>
      </c>
      <c r="Z192" s="3" t="inlineStr">
        <is>
          <t>-m</t>
        </is>
      </c>
      <c r="AA192" s="3" t="inlineStr">
        <is>
          <t>2021-08-20</t>
        </is>
      </c>
    </row>
    <row r="193">
      <c r="A193" s="3" t="inlineStr">
        <is>
          <t>세종특별자치시 나성동 829</t>
        </is>
      </c>
      <c r="B193" s="3" t="inlineStr">
        <is>
          <t>중심상업지역</t>
        </is>
      </c>
      <c r="C193" s="3" t="inlineStr">
        <is>
          <t>대</t>
        </is>
      </c>
      <c r="D193" s="3" t="inlineStr">
        <is>
          <t>공장</t>
        </is>
      </c>
      <c r="E193" s="3" t="inlineStr">
        <is>
          <t>매매</t>
        </is>
      </c>
      <c r="F193" s="4" t="n">
        <v>300000</v>
      </c>
      <c r="G193" s="4" t="n">
        <v>0</v>
      </c>
      <c r="H193" s="4" t="n">
        <v>5120</v>
      </c>
      <c r="I193" s="4" t="n">
        <v>1549</v>
      </c>
      <c r="J193" s="5" t="n">
        <v>193.7</v>
      </c>
      <c r="K193" s="4" t="n">
        <v>2124</v>
      </c>
      <c r="L193" s="4" t="n">
        <v>643</v>
      </c>
      <c r="M193" s="5" t="n">
        <v>466.6</v>
      </c>
      <c r="N193" s="3" t="inlineStr">
        <is>
          <t>1</t>
        </is>
      </c>
      <c r="O193" s="3" t="inlineStr">
        <is>
          <t>-</t>
        </is>
      </c>
      <c r="P193" s="3" t="inlineStr">
        <is>
          <t>남청주IC와 가까워 대형차 진출입이 편리하며 접근성이 좋은 공장</t>
        </is>
      </c>
      <c r="Q193" s="6">
        <f>HYPERLINK("https://fin.land.naver.com/articles/2648354710", "매물Link")</f>
        <v/>
      </c>
      <c r="R193" s="6">
        <f>HYPERLINK("https://map.naver.com/p/search/세종특별자치시 나성동 829", "지도Link")</f>
        <v/>
      </c>
      <c r="S193" s="6">
        <f>HYPERLINK("http://www.eum.go.kr/web/ar/lu/luLandDet.jsp?pnu=3611010700108290000&amp;isNoScr=script&amp;mode=search", "토지이음")</f>
        <v/>
      </c>
      <c r="T193" s="3" t="inlineStr">
        <is>
          <t>(주)미르</t>
        </is>
      </c>
      <c r="U193" s="3" t="n">
        <v>1</v>
      </c>
      <c r="V193" s="3" t="inlineStr">
        <is>
          <t>근린생활시설 지하주차장</t>
        </is>
      </c>
      <c r="W193" s="4" t="n">
        <v>2124</v>
      </c>
      <c r="X193" s="3" t="inlineStr">
        <is>
          <t>철근콘크리트구조</t>
        </is>
      </c>
      <c r="Y193" s="3" t="inlineStr">
        <is>
          <t>제2종근린생활시설</t>
        </is>
      </c>
      <c r="Z193" s="3" t="inlineStr">
        <is>
          <t>-m</t>
        </is>
      </c>
      <c r="AA193" s="3" t="inlineStr">
        <is>
          <t>2021-08-20</t>
        </is>
      </c>
    </row>
    <row r="194">
      <c r="A194" s="3" t="inlineStr">
        <is>
          <t>세종특별자치시 나성동 829</t>
        </is>
      </c>
      <c r="B194" s="3" t="inlineStr">
        <is>
          <t>중심상업지역</t>
        </is>
      </c>
      <c r="C194" s="3" t="inlineStr">
        <is>
          <t>대</t>
        </is>
      </c>
      <c r="D194" s="3" t="inlineStr">
        <is>
          <t>공장</t>
        </is>
      </c>
      <c r="E194" s="3" t="inlineStr">
        <is>
          <t>월세</t>
        </is>
      </c>
      <c r="F194" s="4" t="n">
        <v>6500</v>
      </c>
      <c r="G194" s="4" t="n">
        <v>650</v>
      </c>
      <c r="H194" s="4" t="n">
        <v>5514</v>
      </c>
      <c r="I194" s="4" t="n">
        <v>1668</v>
      </c>
      <c r="J194" s="5" t="n">
        <v>0.4</v>
      </c>
      <c r="K194" s="4" t="n">
        <v>1040</v>
      </c>
      <c r="L194" s="4" t="n">
        <v>315</v>
      </c>
      <c r="M194" s="5" t="n">
        <v>2.1</v>
      </c>
      <c r="N194" s="3" t="inlineStr">
        <is>
          <t>1</t>
        </is>
      </c>
      <c r="O194" s="3" t="inlineStr">
        <is>
          <t>-</t>
        </is>
      </c>
      <c r="P194" s="3" t="inlineStr">
        <is>
          <t>층고높고 빠른입주가능한 마당넓은 공장입니다.</t>
        </is>
      </c>
      <c r="Q194" s="6">
        <f>HYPERLINK("https://fin.land.naver.com/articles/2647792489", "매물Link")</f>
        <v/>
      </c>
      <c r="R194" s="6">
        <f>HYPERLINK("https://map.naver.com/p/search/세종특별자치시 나성동 829", "지도Link")</f>
        <v/>
      </c>
      <c r="S194" s="6">
        <f>HYPERLINK("http://www.eum.go.kr/web/ar/lu/luLandDet.jsp?pnu=3611010700108290000&amp;isNoScr=script&amp;mode=search", "토지이음")</f>
        <v/>
      </c>
      <c r="T194" s="3" t="inlineStr">
        <is>
          <t>삼익</t>
        </is>
      </c>
      <c r="U194" s="3" t="n">
        <v>1</v>
      </c>
      <c r="V194" s="3" t="inlineStr">
        <is>
          <t>604</t>
        </is>
      </c>
      <c r="W194" s="4" t="n">
        <v>1040</v>
      </c>
      <c r="X194" s="3" t="inlineStr">
        <is>
          <t>철근콘크리트구조</t>
        </is>
      </c>
      <c r="Y194" s="3" t="inlineStr">
        <is>
          <t>공동주택</t>
        </is>
      </c>
      <c r="Z194" s="3" t="inlineStr">
        <is>
          <t>38.30m</t>
        </is>
      </c>
      <c r="AA194" s="3" t="inlineStr">
        <is>
          <t>2021-08-20</t>
        </is>
      </c>
    </row>
    <row r="195">
      <c r="A195" s="3" t="inlineStr">
        <is>
          <t>세종특별자치시 나성동 829</t>
        </is>
      </c>
      <c r="B195" s="3" t="inlineStr">
        <is>
          <t>중심상업지역</t>
        </is>
      </c>
      <c r="C195" s="3" t="inlineStr">
        <is>
          <t>대</t>
        </is>
      </c>
      <c r="D195" s="3" t="inlineStr">
        <is>
          <t>공장</t>
        </is>
      </c>
      <c r="E195" s="3" t="inlineStr">
        <is>
          <t>월세</t>
        </is>
      </c>
      <c r="F195" s="4" t="n">
        <v>15000</v>
      </c>
      <c r="G195" s="4" t="n">
        <v>0</v>
      </c>
      <c r="H195" s="4" t="n">
        <v>4997</v>
      </c>
      <c r="I195" s="4" t="n">
        <v>1512</v>
      </c>
      <c r="J195" s="5" t="n">
        <v>0</v>
      </c>
      <c r="K195" s="4" t="n">
        <v>1998</v>
      </c>
      <c r="L195" s="4" t="n">
        <v>604</v>
      </c>
      <c r="M195" s="5" t="n">
        <v>0</v>
      </c>
      <c r="N195" s="3" t="inlineStr">
        <is>
          <t>2</t>
        </is>
      </c>
      <c r="O195" s="3" t="inlineStr">
        <is>
          <t>-</t>
        </is>
      </c>
      <c r="P195" s="3" t="inlineStr">
        <is>
          <t>nan</t>
        </is>
      </c>
      <c r="Q195" s="6">
        <f>HYPERLINK("https://fin.land.naver.com/articles/2647425844", "매물Link")</f>
        <v/>
      </c>
      <c r="R195" s="6">
        <f>HYPERLINK("https://map.naver.com/p/search/세종특별자치시 나성동 829", "지도Link")</f>
        <v/>
      </c>
      <c r="S195" s="6">
        <f>HYPERLINK("http://www.eum.go.kr/web/ar/lu/luLandDet.jsp?pnu=3611010700108290000&amp;isNoScr=script&amp;mode=search", "토지이음")</f>
        <v/>
      </c>
      <c r="T195" s="3" t="inlineStr">
        <is>
          <t>왕중왕기업</t>
        </is>
      </c>
      <c r="U195" s="3" t="n">
        <v>1</v>
      </c>
      <c r="V195" s="3" t="inlineStr">
        <is>
          <t>901(전망공간)</t>
        </is>
      </c>
      <c r="W195" s="4" t="n">
        <v>1998</v>
      </c>
      <c r="X195" s="3" t="inlineStr">
        <is>
          <t>철근콘크리트구조</t>
        </is>
      </c>
      <c r="Y195" s="3" t="inlineStr">
        <is>
          <t>제2종근린생활시설</t>
        </is>
      </c>
      <c r="Z195" s="3" t="inlineStr">
        <is>
          <t>-m</t>
        </is>
      </c>
      <c r="AA195" s="3" t="inlineStr">
        <is>
          <t>2021-08-20</t>
        </is>
      </c>
    </row>
    <row r="196">
      <c r="A196" s="3" t="inlineStr">
        <is>
          <t>세종특별자치시 나성동 829</t>
        </is>
      </c>
      <c r="B196" s="3" t="inlineStr">
        <is>
          <t>중심상업지역</t>
        </is>
      </c>
      <c r="C196" s="3" t="inlineStr">
        <is>
          <t>대</t>
        </is>
      </c>
      <c r="D196" s="3" t="inlineStr">
        <is>
          <t>공장</t>
        </is>
      </c>
      <c r="E196" s="3" t="inlineStr">
        <is>
          <t>월세</t>
        </is>
      </c>
      <c r="F196" s="4" t="n">
        <v>7000</v>
      </c>
      <c r="G196" s="4" t="n">
        <v>680</v>
      </c>
      <c r="H196" s="4" t="n">
        <v>2473</v>
      </c>
      <c r="I196" s="4" t="n">
        <v>748</v>
      </c>
      <c r="J196" s="5" t="n">
        <v>0.9</v>
      </c>
      <c r="K196" s="4" t="n">
        <v>987</v>
      </c>
      <c r="L196" s="4" t="n">
        <v>299</v>
      </c>
      <c r="M196" s="5" t="n">
        <v>2.3</v>
      </c>
      <c r="N196" s="3" t="inlineStr">
        <is>
          <t>1</t>
        </is>
      </c>
      <c r="O196" s="3" t="inlineStr">
        <is>
          <t>-</t>
        </is>
      </c>
      <c r="P196" s="3" t="inlineStr">
        <is>
          <t>nan</t>
        </is>
      </c>
      <c r="Q196" s="6">
        <f>HYPERLINK("https://fin.land.naver.com/articles/2647423936", "매물Link")</f>
        <v/>
      </c>
      <c r="R196" s="6">
        <f>HYPERLINK("https://map.naver.com/p/search/세종특별자치시 나성동 829", "지도Link")</f>
        <v/>
      </c>
      <c r="S196" s="6">
        <f>HYPERLINK("http://www.eum.go.kr/web/ar/lu/luLandDet.jsp?pnu=3611010700108290000&amp;isNoScr=script&amp;mode=search", "토지이음")</f>
        <v/>
      </c>
      <c r="T196" s="3" t="inlineStr">
        <is>
          <t>왕중왕기업</t>
        </is>
      </c>
      <c r="U196" s="3" t="n">
        <v>1</v>
      </c>
      <c r="V196" s="3" t="inlineStr">
        <is>
          <t>604</t>
        </is>
      </c>
      <c r="W196" s="4" t="n">
        <v>987</v>
      </c>
      <c r="X196" s="3" t="inlineStr">
        <is>
          <t>철근콘크리트구조</t>
        </is>
      </c>
      <c r="Y196" s="3" t="inlineStr">
        <is>
          <t>공동주택</t>
        </is>
      </c>
      <c r="Z196" s="3" t="inlineStr">
        <is>
          <t>38.30m</t>
        </is>
      </c>
      <c r="AA196" s="3" t="inlineStr">
        <is>
          <t>2021-08-20</t>
        </is>
      </c>
    </row>
    <row r="197">
      <c r="A197" s="3" t="inlineStr">
        <is>
          <t>세종특별자치시 나성동 829</t>
        </is>
      </c>
      <c r="B197" s="3" t="inlineStr">
        <is>
          <t>중심상업지역</t>
        </is>
      </c>
      <c r="C197" s="3" t="inlineStr">
        <is>
          <t>대</t>
        </is>
      </c>
      <c r="D197" s="3" t="inlineStr">
        <is>
          <t>공장</t>
        </is>
      </c>
      <c r="E197" s="3" t="inlineStr">
        <is>
          <t>매매</t>
        </is>
      </c>
      <c r="F197" s="4" t="n">
        <v>50000</v>
      </c>
      <c r="G197" s="4" t="n">
        <v>0</v>
      </c>
      <c r="H197" s="4" t="n">
        <v>2334</v>
      </c>
      <c r="I197" s="4" t="n">
        <v>706</v>
      </c>
      <c r="J197" s="5" t="n">
        <v>70.8</v>
      </c>
      <c r="K197" s="4" t="n">
        <v>469</v>
      </c>
      <c r="L197" s="4" t="n">
        <v>142</v>
      </c>
      <c r="M197" s="5" t="n">
        <v>352.1</v>
      </c>
      <c r="N197" s="3" t="inlineStr">
        <is>
          <t>1</t>
        </is>
      </c>
      <c r="O197" s="3" t="inlineStr">
        <is>
          <t>-</t>
        </is>
      </c>
      <c r="P197" s="3" t="inlineStr">
        <is>
          <t>Point 남청주IC 약 10분, 주변 지가 상승,개발 호재,투자용 추천</t>
        </is>
      </c>
      <c r="Q197" s="6">
        <f>HYPERLINK("https://fin.land.naver.com/articles/2645152402", "매물Link")</f>
        <v/>
      </c>
      <c r="R197" s="6">
        <f>HYPERLINK("https://map.naver.com/p/search/세종특별자치시 나성동 829", "지도Link")</f>
        <v/>
      </c>
      <c r="S197" s="6">
        <f>HYPERLINK("http://www.eum.go.kr/web/ar/lu/luLandDet.jsp?pnu=3611010700108290000&amp;isNoScr=script&amp;mode=search", "토지이음")</f>
        <v/>
      </c>
      <c r="T197" s="3" t="inlineStr">
        <is>
          <t>도마호반</t>
        </is>
      </c>
      <c r="U197" s="3" t="n">
        <v>1</v>
      </c>
      <c r="V197" s="3" t="inlineStr">
        <is>
          <t>전망공간 기계실</t>
        </is>
      </c>
      <c r="W197" s="4" t="n">
        <v>469</v>
      </c>
      <c r="X197" s="3" t="inlineStr">
        <is>
          <t>철근콘크리트구조</t>
        </is>
      </c>
      <c r="Y197" s="3" t="inlineStr">
        <is>
          <t>제2종근린생활시설</t>
        </is>
      </c>
      <c r="Z197" s="3" t="inlineStr">
        <is>
          <t>-m</t>
        </is>
      </c>
      <c r="AA197" s="3" t="inlineStr">
        <is>
          <t>2021-08-20</t>
        </is>
      </c>
    </row>
    <row r="198">
      <c r="A198" s="3" t="inlineStr">
        <is>
          <t>세종특별자치시 나성동 829</t>
        </is>
      </c>
      <c r="B198" s="3" t="inlineStr">
        <is>
          <t>중심상업지역</t>
        </is>
      </c>
      <c r="C198" s="3" t="inlineStr">
        <is>
          <t>대</t>
        </is>
      </c>
      <c r="D198" s="3" t="inlineStr">
        <is>
          <t>공장</t>
        </is>
      </c>
      <c r="E198" s="3" t="inlineStr">
        <is>
          <t>매매</t>
        </is>
      </c>
      <c r="F198" s="4" t="n">
        <v>120000</v>
      </c>
      <c r="G198" s="4" t="n">
        <v>0</v>
      </c>
      <c r="H198" s="4" t="n">
        <v>1350</v>
      </c>
      <c r="I198" s="4" t="n">
        <v>408</v>
      </c>
      <c r="J198" s="5" t="n">
        <v>294.1</v>
      </c>
      <c r="K198" s="4" t="n">
        <v>493</v>
      </c>
      <c r="L198" s="4" t="n">
        <v>149</v>
      </c>
      <c r="M198" s="5" t="n">
        <v>805.4</v>
      </c>
      <c r="N198" s="3" t="inlineStr">
        <is>
          <t>1</t>
        </is>
      </c>
      <c r="O198" s="3" t="inlineStr">
        <is>
          <t>B1</t>
        </is>
      </c>
      <c r="P198" s="3" t="inlineStr">
        <is>
          <t>척산리 공장 매매</t>
        </is>
      </c>
      <c r="Q198" s="6">
        <f>HYPERLINK("https://fin.land.naver.com/articles/2647130460", "매물Link")</f>
        <v/>
      </c>
      <c r="R198" s="6">
        <f>HYPERLINK("https://map.naver.com/p/search/세종특별자치시 나성동 829", "지도Link")</f>
        <v/>
      </c>
      <c r="S198" s="6">
        <f>HYPERLINK("http://www.eum.go.kr/web/ar/lu/luLandDet.jsp?pnu=3611010700108290000&amp;isNoScr=script&amp;mode=search", "토지이음")</f>
        <v/>
      </c>
      <c r="T198" s="3" t="inlineStr">
        <is>
          <t>사거리</t>
        </is>
      </c>
      <c r="U198" s="3" t="n">
        <v>1</v>
      </c>
      <c r="V198" s="3" t="inlineStr">
        <is>
          <t>전망공간 기계실</t>
        </is>
      </c>
      <c r="W198" s="4" t="n">
        <v>493</v>
      </c>
      <c r="X198" s="3" t="inlineStr">
        <is>
          <t>철근콘크리트구조</t>
        </is>
      </c>
      <c r="Y198" s="3" t="inlineStr">
        <is>
          <t>제2종근린생활시설</t>
        </is>
      </c>
      <c r="Z198" s="3" t="inlineStr">
        <is>
          <t>-m</t>
        </is>
      </c>
      <c r="AA198" s="3" t="inlineStr">
        <is>
          <t>2021-08-20</t>
        </is>
      </c>
    </row>
    <row r="199">
      <c r="A199" s="3" t="inlineStr">
        <is>
          <t>세종특별자치시 나성동 829</t>
        </is>
      </c>
      <c r="B199" s="3" t="inlineStr">
        <is>
          <t>중심상업지역</t>
        </is>
      </c>
      <c r="C199" s="3" t="inlineStr">
        <is>
          <t>대</t>
        </is>
      </c>
      <c r="D199" s="3" t="inlineStr">
        <is>
          <t>창고</t>
        </is>
      </c>
      <c r="E199" s="3" t="inlineStr">
        <is>
          <t>월세</t>
        </is>
      </c>
      <c r="F199" s="4" t="n">
        <v>5000</v>
      </c>
      <c r="G199" s="4" t="n">
        <v>500</v>
      </c>
      <c r="H199" s="4" t="n">
        <v>2404</v>
      </c>
      <c r="I199" s="4" t="n">
        <v>727</v>
      </c>
      <c r="J199" s="5" t="n">
        <v>0.7</v>
      </c>
      <c r="K199" s="4" t="n">
        <v>850</v>
      </c>
      <c r="L199" s="4" t="n">
        <v>257</v>
      </c>
      <c r="M199" s="5" t="n">
        <v>1.9</v>
      </c>
      <c r="N199" s="3" t="inlineStr">
        <is>
          <t>1</t>
        </is>
      </c>
      <c r="O199" s="3" t="inlineStr">
        <is>
          <t>-</t>
        </is>
      </c>
      <c r="P199" s="3" t="inlineStr">
        <is>
          <t>사진, 남청주IC10분, 마당넓음, 트레일러진입, 내부사무실, 층고8m</t>
        </is>
      </c>
      <c r="Q199" s="6">
        <f>HYPERLINK("https://fin.land.naver.com/articles/2646858380", "매물Link")</f>
        <v/>
      </c>
      <c r="R199" s="6">
        <f>HYPERLINK("https://map.naver.com/p/search/세종특별자치시 나성동 829", "지도Link")</f>
        <v/>
      </c>
      <c r="S199" s="6">
        <f>HYPERLINK("http://www.eum.go.kr/web/ar/lu/luLandDet.jsp?pnu=3611010700108290000&amp;isNoScr=script&amp;mode=search", "토지이음")</f>
        <v/>
      </c>
      <c r="T199" s="3" t="inlineStr">
        <is>
          <t>OK허니</t>
        </is>
      </c>
      <c r="U199" s="3" t="n">
        <v>2</v>
      </c>
      <c r="V199" s="3" t="inlineStr">
        <is>
          <t>공동주택 휘트니스</t>
        </is>
      </c>
      <c r="W199" s="4" t="n">
        <v>850</v>
      </c>
      <c r="X199" s="3" t="inlineStr">
        <is>
          <t>철근콘크리트구조</t>
        </is>
      </c>
      <c r="Y199" s="3" t="inlineStr">
        <is>
          <t>공동주택</t>
        </is>
      </c>
      <c r="Z199" s="3" t="inlineStr">
        <is>
          <t>-m</t>
        </is>
      </c>
      <c r="AA199" s="3" t="inlineStr">
        <is>
          <t>2021-08-20</t>
        </is>
      </c>
    </row>
    <row r="200">
      <c r="A200" s="3" t="inlineStr">
        <is>
          <t>세종특별자치시 나성동 829</t>
        </is>
      </c>
      <c r="B200" s="3" t="inlineStr">
        <is>
          <t>중심상업지역</t>
        </is>
      </c>
      <c r="C200" s="3" t="inlineStr">
        <is>
          <t>대</t>
        </is>
      </c>
      <c r="D200" s="3" t="inlineStr">
        <is>
          <t>공장</t>
        </is>
      </c>
      <c r="E200" s="3" t="inlineStr">
        <is>
          <t>월세</t>
        </is>
      </c>
      <c r="F200" s="4" t="n">
        <v>5000</v>
      </c>
      <c r="G200" s="4" t="n">
        <v>490</v>
      </c>
      <c r="H200" s="4" t="n">
        <v>1777</v>
      </c>
      <c r="I200" s="4" t="n">
        <v>538</v>
      </c>
      <c r="J200" s="5" t="n">
        <v>0.9</v>
      </c>
      <c r="K200" s="4" t="n">
        <v>704</v>
      </c>
      <c r="L200" s="4" t="n">
        <v>213</v>
      </c>
      <c r="M200" s="5" t="n">
        <v>2.3</v>
      </c>
      <c r="N200" s="3" t="inlineStr">
        <is>
          <t>1</t>
        </is>
      </c>
      <c r="O200" s="3" t="inlineStr">
        <is>
          <t>-</t>
        </is>
      </c>
      <c r="P200" s="3" t="inlineStr">
        <is>
          <t>남이면 공장 임대</t>
        </is>
      </c>
      <c r="Q200" s="6">
        <f>HYPERLINK("https://fin.land.naver.com/articles/2649150743", "매물Link")</f>
        <v/>
      </c>
      <c r="R200" s="6">
        <f>HYPERLINK("https://map.naver.com/p/search/세종특별자치시 나성동 829", "지도Link")</f>
        <v/>
      </c>
      <c r="S200" s="6">
        <f>HYPERLINK("http://www.eum.go.kr/web/ar/lu/luLandDet.jsp?pnu=3611010700108290000&amp;isNoScr=script&amp;mode=search", "토지이음")</f>
        <v/>
      </c>
      <c r="T200" s="3" t="inlineStr">
        <is>
          <t>사거리</t>
        </is>
      </c>
      <c r="U200" s="3" t="n">
        <v>1</v>
      </c>
      <c r="V200" s="3" t="inlineStr">
        <is>
          <t>803</t>
        </is>
      </c>
      <c r="W200" s="4" t="n">
        <v>704</v>
      </c>
      <c r="X200" s="3" t="inlineStr">
        <is>
          <t>철근콘크리트구조</t>
        </is>
      </c>
      <c r="Y200" s="3" t="inlineStr">
        <is>
          <t>제2종근린생활시설</t>
        </is>
      </c>
      <c r="Z200" s="3" t="inlineStr">
        <is>
          <t>-m</t>
        </is>
      </c>
      <c r="AA200" s="3" t="inlineStr">
        <is>
          <t>2021-08-20</t>
        </is>
      </c>
    </row>
    <row r="201">
      <c r="A201" s="3" t="inlineStr">
        <is>
          <t>세종특별자치시 나성동 829</t>
        </is>
      </c>
      <c r="B201" s="3" t="inlineStr">
        <is>
          <t>중심상업지역</t>
        </is>
      </c>
      <c r="C201" s="3" t="inlineStr">
        <is>
          <t>대</t>
        </is>
      </c>
      <c r="D201" s="3" t="inlineStr">
        <is>
          <t>창고</t>
        </is>
      </c>
      <c r="E201" s="3" t="inlineStr">
        <is>
          <t>월세</t>
        </is>
      </c>
      <c r="F201" s="4" t="n">
        <v>3500</v>
      </c>
      <c r="G201" s="4" t="n">
        <v>350</v>
      </c>
      <c r="H201" s="4" t="n">
        <v>2490</v>
      </c>
      <c r="I201" s="4" t="n">
        <v>753</v>
      </c>
      <c r="J201" s="5" t="n">
        <v>0.5</v>
      </c>
      <c r="K201" s="4" t="n">
        <v>495</v>
      </c>
      <c r="L201" s="4" t="n">
        <v>150</v>
      </c>
      <c r="M201" s="5" t="n">
        <v>2.3</v>
      </c>
      <c r="N201" s="3" t="inlineStr">
        <is>
          <t>1</t>
        </is>
      </c>
      <c r="O201" s="3" t="inlineStr">
        <is>
          <t>-</t>
        </is>
      </c>
      <c r="P201" s="3" t="inlineStr">
        <is>
          <t>사진, 남청주IC10분,신축,1종근생,단독사용,마당넓음,사무실,매매임대</t>
        </is>
      </c>
      <c r="Q201" s="6">
        <f>HYPERLINK("https://fin.land.naver.com/articles/2646856004", "매물Link")</f>
        <v/>
      </c>
      <c r="R201" s="6">
        <f>HYPERLINK("https://map.naver.com/p/search/세종특별자치시 나성동 829", "지도Link")</f>
        <v/>
      </c>
      <c r="S201" s="6">
        <f>HYPERLINK("http://www.eum.go.kr/web/ar/lu/luLandDet.jsp?pnu=3611010700108290000&amp;isNoScr=script&amp;mode=search", "토지이음")</f>
        <v/>
      </c>
      <c r="T201" s="3" t="inlineStr">
        <is>
          <t>OK허니</t>
        </is>
      </c>
      <c r="U201" s="3" t="n">
        <v>1</v>
      </c>
      <c r="V201" s="3" t="inlineStr">
        <is>
          <t>전망공간 기계실</t>
        </is>
      </c>
      <c r="W201" s="4" t="n">
        <v>495</v>
      </c>
      <c r="X201" s="3" t="inlineStr">
        <is>
          <t>철근콘크리트구조</t>
        </is>
      </c>
      <c r="Y201" s="3" t="inlineStr">
        <is>
          <t>제2종근린생활시설</t>
        </is>
      </c>
      <c r="Z201" s="3" t="inlineStr">
        <is>
          <t>-m</t>
        </is>
      </c>
      <c r="AA201" s="3" t="inlineStr">
        <is>
          <t>2021-08-20</t>
        </is>
      </c>
    </row>
    <row r="202">
      <c r="A202" s="3" t="inlineStr">
        <is>
          <t>세종특별자치시 나성동 829</t>
        </is>
      </c>
      <c r="B202" s="3" t="inlineStr">
        <is>
          <t>중심상업지역</t>
        </is>
      </c>
      <c r="C202" s="3" t="inlineStr">
        <is>
          <t>대</t>
        </is>
      </c>
      <c r="D202" s="3" t="inlineStr">
        <is>
          <t>창고</t>
        </is>
      </c>
      <c r="E202" s="3" t="inlineStr">
        <is>
          <t>월세</t>
        </is>
      </c>
      <c r="F202" s="4" t="n">
        <v>3000</v>
      </c>
      <c r="G202" s="4" t="n">
        <v>300</v>
      </c>
      <c r="H202" s="4" t="n">
        <v>2</v>
      </c>
      <c r="I202" s="4" t="n">
        <v>1</v>
      </c>
      <c r="J202" s="5" t="n">
        <v>300</v>
      </c>
      <c r="K202" s="4" t="n">
        <v>295</v>
      </c>
      <c r="L202" s="4" t="n">
        <v>89</v>
      </c>
      <c r="M202" s="5" t="n">
        <v>3.4</v>
      </c>
      <c r="N202" s="3" t="inlineStr">
        <is>
          <t>1</t>
        </is>
      </c>
      <c r="O202" s="3" t="inlineStr">
        <is>
          <t>-</t>
        </is>
      </c>
      <c r="P202" s="3" t="inlineStr">
        <is>
          <t>진입 원할하고 도로 접합 신축 창고 임대</t>
        </is>
      </c>
      <c r="Q202" s="6">
        <f>HYPERLINK("https://fin.land.naver.com/articles/2649240940", "매물Link")</f>
        <v/>
      </c>
      <c r="R202" s="6">
        <f>HYPERLINK("https://map.naver.com/p/search/세종특별자치시 나성동 829", "지도Link")</f>
        <v/>
      </c>
      <c r="S202" s="6">
        <f>HYPERLINK("http://www.eum.go.kr/web/ar/lu/luLandDet.jsp?pnu=3611010700108290000&amp;isNoScr=script&amp;mode=search", "토지이음")</f>
        <v/>
      </c>
      <c r="T202" s="3" t="inlineStr">
        <is>
          <t>한방</t>
        </is>
      </c>
      <c r="U202" s="3" t="n">
        <v>1</v>
      </c>
      <c r="V202" s="3" t="inlineStr">
        <is>
          <t>공동주택 전기,발전기실</t>
        </is>
      </c>
      <c r="W202" s="4" t="n">
        <v>295</v>
      </c>
      <c r="X202" s="3" t="inlineStr">
        <is>
          <t>철근콘크리트구조</t>
        </is>
      </c>
      <c r="Y202" s="3" t="inlineStr">
        <is>
          <t>공동주택</t>
        </is>
      </c>
      <c r="Z202" s="3" t="inlineStr">
        <is>
          <t>-m</t>
        </is>
      </c>
      <c r="AA202" s="3" t="inlineStr">
        <is>
          <t>2021-08-20</t>
        </is>
      </c>
    </row>
    <row r="203">
      <c r="A203" s="3" t="inlineStr">
        <is>
          <t>세종특별자치시 나성동 829</t>
        </is>
      </c>
      <c r="B203" s="3" t="inlineStr">
        <is>
          <t>중심상업지역</t>
        </is>
      </c>
      <c r="C203" s="3" t="inlineStr">
        <is>
          <t>대</t>
        </is>
      </c>
      <c r="D203" s="3" t="inlineStr">
        <is>
          <t>공장</t>
        </is>
      </c>
      <c r="E203" s="3" t="inlineStr">
        <is>
          <t>매매</t>
        </is>
      </c>
      <c r="F203" s="4" t="n">
        <v>250000</v>
      </c>
      <c r="G203" s="4" t="n">
        <v>0</v>
      </c>
      <c r="H203" s="4" t="n">
        <v>4449</v>
      </c>
      <c r="I203" s="4" t="n">
        <v>1346</v>
      </c>
      <c r="J203" s="5" t="n">
        <v>185.7</v>
      </c>
      <c r="K203" s="4" t="n">
        <v>2796</v>
      </c>
      <c r="L203" s="4" t="n">
        <v>846</v>
      </c>
      <c r="M203" s="5" t="n">
        <v>295.5</v>
      </c>
      <c r="N203" s="3" t="inlineStr">
        <is>
          <t>4</t>
        </is>
      </c>
      <c r="O203" s="3" t="inlineStr">
        <is>
          <t>B1</t>
        </is>
      </c>
      <c r="P203" s="3" t="inlineStr">
        <is>
          <t>남청주i,c 10분 흥덕구청15분 위치 단독공장 바이오,전자,반도체</t>
        </is>
      </c>
      <c r="Q203" s="6">
        <f>HYPERLINK("https://fin.land.naver.com/articles/2649559210", "매물Link")</f>
        <v/>
      </c>
      <c r="R203" s="6">
        <f>HYPERLINK("https://map.naver.com/p/search/세종특별자치시 나성동 829", "지도Link")</f>
        <v/>
      </c>
      <c r="S203" s="6">
        <f>HYPERLINK("http://www.eum.go.kr/web/ar/lu/luLandDet.jsp?pnu=3611010700108290000&amp;isNoScr=script&amp;mode=search", "토지이음")</f>
        <v/>
      </c>
      <c r="T203" s="3" t="inlineStr">
        <is>
          <t>공장365</t>
        </is>
      </c>
      <c r="U203" s="3" t="n">
        <v>1</v>
      </c>
      <c r="V203" s="3" t="inlineStr">
        <is>
          <t>802</t>
        </is>
      </c>
      <c r="W203" s="4" t="n">
        <v>2796</v>
      </c>
      <c r="X203" s="3" t="inlineStr">
        <is>
          <t>철근콘크리트구조</t>
        </is>
      </c>
      <c r="Y203" s="3" t="inlineStr">
        <is>
          <t>제2종근린생활시설</t>
        </is>
      </c>
      <c r="Z203" s="3" t="inlineStr">
        <is>
          <t>-m</t>
        </is>
      </c>
      <c r="AA203" s="3" t="inlineStr">
        <is>
          <t>2021-08-20</t>
        </is>
      </c>
    </row>
    <row r="204">
      <c r="A204" s="3" t="inlineStr">
        <is>
          <t>세종특별자치시 나성동 829</t>
        </is>
      </c>
      <c r="B204" s="3" t="inlineStr">
        <is>
          <t>중심상업지역</t>
        </is>
      </c>
      <c r="C204" s="3" t="inlineStr">
        <is>
          <t>대</t>
        </is>
      </c>
      <c r="D204" s="3" t="inlineStr">
        <is>
          <t>공장</t>
        </is>
      </c>
      <c r="E204" s="3" t="inlineStr">
        <is>
          <t>월세</t>
        </is>
      </c>
      <c r="F204" s="4" t="n">
        <v>3000</v>
      </c>
      <c r="G204" s="4" t="n">
        <v>350</v>
      </c>
      <c r="H204" s="4" t="n">
        <v>1653</v>
      </c>
      <c r="I204" s="4" t="n">
        <v>500</v>
      </c>
      <c r="J204" s="5" t="n">
        <v>0.7</v>
      </c>
      <c r="K204" s="4" t="n">
        <v>324</v>
      </c>
      <c r="L204" s="4" t="n">
        <v>98</v>
      </c>
      <c r="M204" s="5" t="n">
        <v>3.6</v>
      </c>
      <c r="N204" s="3" t="inlineStr">
        <is>
          <t>1</t>
        </is>
      </c>
      <c r="O204" s="3" t="inlineStr">
        <is>
          <t>-</t>
        </is>
      </c>
      <c r="P204" s="3" t="inlineStr">
        <is>
          <t>매매가능 대지,평200만</t>
        </is>
      </c>
      <c r="Q204" s="6">
        <f>HYPERLINK("https://fin.land.naver.com/articles/2649459058", "매물Link")</f>
        <v/>
      </c>
      <c r="R204" s="6">
        <f>HYPERLINK("https://map.naver.com/p/search/세종특별자치시 나성동 829", "지도Link")</f>
        <v/>
      </c>
      <c r="S204" s="6">
        <f>HYPERLINK("http://www.eum.go.kr/web/ar/lu/luLandDet.jsp?pnu=3611010700108290000&amp;isNoScr=script&amp;mode=search", "토지이음")</f>
        <v/>
      </c>
      <c r="T204" s="3" t="inlineStr">
        <is>
          <t>청주합동</t>
        </is>
      </c>
      <c r="U204" s="3" t="n">
        <v>1</v>
      </c>
      <c r="V204" s="3" t="inlineStr">
        <is>
          <t>801</t>
        </is>
      </c>
      <c r="W204" s="4" t="n">
        <v>324</v>
      </c>
      <c r="X204" s="3" t="inlineStr">
        <is>
          <t>철근콘크리트구조</t>
        </is>
      </c>
      <c r="Y204" s="3" t="inlineStr">
        <is>
          <t>제2종근린생활시설</t>
        </is>
      </c>
      <c r="Z204" s="3" t="inlineStr">
        <is>
          <t>-m</t>
        </is>
      </c>
      <c r="AA204" s="3" t="inlineStr">
        <is>
          <t>2021-08-20</t>
        </is>
      </c>
    </row>
    <row r="205">
      <c r="A205" s="3" t="inlineStr">
        <is>
          <t>세종특별자치시 나성동 829</t>
        </is>
      </c>
      <c r="B205" s="3" t="inlineStr">
        <is>
          <t>중심상업지역</t>
        </is>
      </c>
      <c r="C205" s="3" t="inlineStr">
        <is>
          <t>대</t>
        </is>
      </c>
      <c r="D205" s="3" t="inlineStr">
        <is>
          <t>창고</t>
        </is>
      </c>
      <c r="E205" s="3" t="inlineStr">
        <is>
          <t>월세</t>
        </is>
      </c>
      <c r="F205" s="4" t="n">
        <v>2000</v>
      </c>
      <c r="G205" s="4" t="n">
        <v>200</v>
      </c>
      <c r="H205" s="4" t="n">
        <v>1420</v>
      </c>
      <c r="I205" s="4" t="n">
        <v>430</v>
      </c>
      <c r="J205" s="5" t="n">
        <v>0.5</v>
      </c>
      <c r="K205" s="4" t="n">
        <v>330</v>
      </c>
      <c r="L205" s="4" t="n">
        <v>100</v>
      </c>
      <c r="M205" s="5" t="n">
        <v>2</v>
      </c>
      <c r="N205" s="3" t="inlineStr">
        <is>
          <t>1</t>
        </is>
      </c>
      <c r="O205" s="3" t="inlineStr">
        <is>
          <t>-</t>
        </is>
      </c>
      <c r="P205" s="3" t="inlineStr">
        <is>
          <t>nan</t>
        </is>
      </c>
      <c r="Q205" s="6">
        <f>HYPERLINK("https://fin.land.naver.com/articles/2647068125", "매물Link")</f>
        <v/>
      </c>
      <c r="R205" s="6">
        <f>HYPERLINK("https://map.naver.com/p/search/세종특별자치시 나성동 829", "지도Link")</f>
        <v/>
      </c>
      <c r="S205" s="6">
        <f>HYPERLINK("http://www.eum.go.kr/web/ar/lu/luLandDet.jsp?pnu=3611010700108290000&amp;isNoScr=script&amp;mode=search", "토지이음")</f>
        <v/>
      </c>
      <c r="T205" s="3" t="inlineStr">
        <is>
          <t>방서비타민</t>
        </is>
      </c>
      <c r="U205" s="3" t="n">
        <v>1</v>
      </c>
      <c r="V205" s="3" t="inlineStr">
        <is>
          <t>801</t>
        </is>
      </c>
      <c r="W205" s="4" t="n">
        <v>330</v>
      </c>
      <c r="X205" s="3" t="inlineStr">
        <is>
          <t>철근콘크리트구조</t>
        </is>
      </c>
      <c r="Y205" s="3" t="inlineStr">
        <is>
          <t>제2종근린생활시설</t>
        </is>
      </c>
      <c r="Z205" s="3" t="inlineStr">
        <is>
          <t>-m</t>
        </is>
      </c>
      <c r="AA205" s="3" t="inlineStr">
        <is>
          <t>2021-08-20</t>
        </is>
      </c>
    </row>
    <row r="206">
      <c r="A206" s="3" t="inlineStr">
        <is>
          <t>세종특별자치시 나성동 829</t>
        </is>
      </c>
      <c r="B206" s="3" t="inlineStr">
        <is>
          <t>중심상업지역</t>
        </is>
      </c>
      <c r="C206" s="3" t="inlineStr">
        <is>
          <t>대</t>
        </is>
      </c>
      <c r="D206" s="3" t="inlineStr">
        <is>
          <t>창고</t>
        </is>
      </c>
      <c r="E206" s="3" t="inlineStr">
        <is>
          <t>매매</t>
        </is>
      </c>
      <c r="F206" s="4" t="n">
        <v>4300000</v>
      </c>
      <c r="G206" s="4" t="n">
        <v>0</v>
      </c>
      <c r="H206" s="4" t="n">
        <v>64943</v>
      </c>
      <c r="I206" s="4" t="n">
        <v>19645</v>
      </c>
      <c r="J206" s="5" t="n">
        <v>218.9</v>
      </c>
      <c r="K206" s="4" t="n">
        <v>21249</v>
      </c>
      <c r="L206" s="4" t="n">
        <v>6428</v>
      </c>
      <c r="M206" s="5" t="n">
        <v>668.9</v>
      </c>
      <c r="N206" s="3" t="inlineStr">
        <is>
          <t>1</t>
        </is>
      </c>
      <c r="O206" s="3" t="inlineStr">
        <is>
          <t>-</t>
        </is>
      </c>
      <c r="P206" s="3" t="inlineStr">
        <is>
          <t>대형차 진출입이 편리한 남청주IC와도 가까운 대형 물류창고</t>
        </is>
      </c>
      <c r="Q206" s="6">
        <f>HYPERLINK("https://fin.land.naver.com/articles/2649989570", "매물Link")</f>
        <v/>
      </c>
      <c r="R206" s="6">
        <f>HYPERLINK("https://map.naver.com/p/search/세종특별자치시 나성동 829", "지도Link")</f>
        <v/>
      </c>
      <c r="S206" s="6">
        <f>HYPERLINK("http://www.eum.go.kr/web/ar/lu/luLandDet.jsp?pnu=3611010700108290000&amp;isNoScr=script&amp;mode=search", "토지이음")</f>
        <v/>
      </c>
      <c r="T206" s="3" t="inlineStr">
        <is>
          <t>(주)미르</t>
        </is>
      </c>
      <c r="U206" s="3" t="n">
        <v>1</v>
      </c>
      <c r="V206" s="3" t="inlineStr">
        <is>
          <t>공동주택 지하주차장</t>
        </is>
      </c>
      <c r="W206" s="4" t="n">
        <v>21249</v>
      </c>
      <c r="X206" s="3" t="inlineStr">
        <is>
          <t>철근콘크리트구조</t>
        </is>
      </c>
      <c r="Y206" s="3" t="inlineStr">
        <is>
          <t>공동주택</t>
        </is>
      </c>
      <c r="Z206" s="3" t="inlineStr">
        <is>
          <t>-m</t>
        </is>
      </c>
      <c r="AA206" s="3" t="inlineStr">
        <is>
          <t>2021-08-20</t>
        </is>
      </c>
    </row>
    <row r="207">
      <c r="A207" s="3" t="inlineStr">
        <is>
          <t>세종특별자치시 나성동 829</t>
        </is>
      </c>
      <c r="B207" s="3" t="inlineStr">
        <is>
          <t>중심상업지역</t>
        </is>
      </c>
      <c r="C207" s="3" t="inlineStr">
        <is>
          <t>대</t>
        </is>
      </c>
      <c r="D207" s="3" t="inlineStr">
        <is>
          <t>창고</t>
        </is>
      </c>
      <c r="E207" s="3" t="inlineStr">
        <is>
          <t>월세</t>
        </is>
      </c>
      <c r="F207" s="4" t="n">
        <v>2000</v>
      </c>
      <c r="G207" s="4" t="n">
        <v>180</v>
      </c>
      <c r="H207" s="4" t="n">
        <v>3157</v>
      </c>
      <c r="I207" s="4" t="n">
        <v>955</v>
      </c>
      <c r="J207" s="5" t="n">
        <v>0.2</v>
      </c>
      <c r="K207" s="4" t="n">
        <v>198</v>
      </c>
      <c r="L207" s="4" t="n">
        <v>60</v>
      </c>
      <c r="M207" s="5" t="n">
        <v>3</v>
      </c>
      <c r="N207" s="3" t="inlineStr">
        <is>
          <t>1</t>
        </is>
      </c>
      <c r="O207" s="3" t="inlineStr">
        <is>
          <t>-</t>
        </is>
      </c>
      <c r="P207" s="3" t="inlineStr">
        <is>
          <t>석실리 청주 도심 인접 소형 창고 2차선도로에서 진입</t>
        </is>
      </c>
      <c r="Q207" s="6">
        <f>HYPERLINK("https://fin.land.naver.com/articles/2649676040", "매물Link")</f>
        <v/>
      </c>
      <c r="R207" s="6">
        <f>HYPERLINK("https://map.naver.com/p/search/세종특별자치시 나성동 829", "지도Link")</f>
        <v/>
      </c>
      <c r="S207" s="6">
        <f>HYPERLINK("http://www.eum.go.kr/web/ar/lu/luLandDet.jsp?pnu=3611010700108290000&amp;isNoScr=script&amp;mode=search", "토지이음")</f>
        <v/>
      </c>
      <c r="T207" s="3" t="inlineStr">
        <is>
          <t>더원</t>
        </is>
      </c>
      <c r="U207" s="3" t="n">
        <v>1</v>
      </c>
      <c r="V207" s="3" t="inlineStr">
        <is>
          <t>공동주택 주민공동시설</t>
        </is>
      </c>
      <c r="W207" s="4" t="n">
        <v>198</v>
      </c>
      <c r="X207" s="3" t="inlineStr">
        <is>
          <t>철근콘크리트구조</t>
        </is>
      </c>
      <c r="Y207" s="3" t="inlineStr">
        <is>
          <t>공동주택</t>
        </is>
      </c>
      <c r="Z207" s="3" t="inlineStr">
        <is>
          <t>-m</t>
        </is>
      </c>
      <c r="AA207" s="3" t="inlineStr">
        <is>
          <t>2021-08-20</t>
        </is>
      </c>
    </row>
    <row r="208">
      <c r="A208" s="3" t="inlineStr">
        <is>
          <t>세종특별자치시 나성동 829</t>
        </is>
      </c>
      <c r="B208" s="3" t="inlineStr">
        <is>
          <t>중심상업지역</t>
        </is>
      </c>
      <c r="C208" s="3" t="inlineStr">
        <is>
          <t>대</t>
        </is>
      </c>
      <c r="D208" s="3" t="inlineStr">
        <is>
          <t>공장</t>
        </is>
      </c>
      <c r="E208" s="3" t="inlineStr">
        <is>
          <t>매매</t>
        </is>
      </c>
      <c r="F208" s="4" t="n">
        <v>110000</v>
      </c>
      <c r="G208" s="4" t="n">
        <v>0</v>
      </c>
      <c r="H208" s="4" t="n">
        <v>2315</v>
      </c>
      <c r="I208" s="4" t="n">
        <v>700</v>
      </c>
      <c r="J208" s="5" t="n">
        <v>157.1</v>
      </c>
      <c r="K208" s="4" t="n">
        <v>395</v>
      </c>
      <c r="L208" s="4" t="n">
        <v>119</v>
      </c>
      <c r="M208" s="5" t="n">
        <v>924.4</v>
      </c>
      <c r="N208" s="3" t="inlineStr">
        <is>
          <t>2</t>
        </is>
      </c>
      <c r="O208" s="3" t="inlineStr">
        <is>
          <t>-</t>
        </is>
      </c>
      <c r="P208" s="3" t="inlineStr">
        <is>
          <t>남청주ic 접근성 좋은 위치의 사무실완비된 공장</t>
        </is>
      </c>
      <c r="Q208" s="6">
        <f>HYPERLINK("https://fin.land.naver.com/articles/2646990954", "매물Link")</f>
        <v/>
      </c>
      <c r="R208" s="6">
        <f>HYPERLINK("https://map.naver.com/p/search/세종특별자치시 나성동 829", "지도Link")</f>
        <v/>
      </c>
      <c r="S208" s="6">
        <f>HYPERLINK("http://www.eum.go.kr/web/ar/lu/luLandDet.jsp?pnu=3611010700108290000&amp;isNoScr=script&amp;mode=search", "토지이음")</f>
        <v/>
      </c>
      <c r="T208" s="3" t="inlineStr">
        <is>
          <t>더원</t>
        </is>
      </c>
      <c r="U208" s="3" t="n">
        <v>1</v>
      </c>
      <c r="V208" s="3" t="inlineStr">
        <is>
          <t>전망공간 기계실</t>
        </is>
      </c>
      <c r="W208" s="4" t="n">
        <v>395</v>
      </c>
      <c r="X208" s="3" t="inlineStr">
        <is>
          <t>철근콘크리트구조</t>
        </is>
      </c>
      <c r="Y208" s="3" t="inlineStr">
        <is>
          <t>제2종근린생활시설</t>
        </is>
      </c>
      <c r="Z208" s="3" t="inlineStr">
        <is>
          <t>-m</t>
        </is>
      </c>
      <c r="AA208" s="3" t="inlineStr">
        <is>
          <t>2021-08-20</t>
        </is>
      </c>
    </row>
    <row r="209">
      <c r="A209" s="3" t="inlineStr">
        <is>
          <t>세종특별자치시 나성동 829</t>
        </is>
      </c>
      <c r="B209" s="3" t="inlineStr">
        <is>
          <t>중심상업지역</t>
        </is>
      </c>
      <c r="C209" s="3" t="inlineStr">
        <is>
          <t>대</t>
        </is>
      </c>
      <c r="D209" s="3" t="inlineStr">
        <is>
          <t>창고</t>
        </is>
      </c>
      <c r="E209" s="3" t="inlineStr">
        <is>
          <t>월세</t>
        </is>
      </c>
      <c r="F209" s="4" t="n">
        <v>3000</v>
      </c>
      <c r="G209" s="4" t="n">
        <v>300</v>
      </c>
      <c r="H209" s="4" t="n">
        <v>3524</v>
      </c>
      <c r="I209" s="4" t="n">
        <v>1066</v>
      </c>
      <c r="J209" s="5" t="n">
        <v>0.3</v>
      </c>
      <c r="K209" s="4" t="n">
        <v>270</v>
      </c>
      <c r="L209" s="4" t="n">
        <v>82</v>
      </c>
      <c r="M209" s="5" t="n">
        <v>3.7</v>
      </c>
      <c r="N209" s="3" t="inlineStr">
        <is>
          <t>1</t>
        </is>
      </c>
      <c r="O209" s="3" t="inlineStr">
        <is>
          <t>-</t>
        </is>
      </c>
      <c r="P209" s="3" t="inlineStr">
        <is>
          <t>청주,창고,마당넓음</t>
        </is>
      </c>
      <c r="Q209" s="6">
        <f>HYPERLINK("https://fin.land.naver.com/articles/2646709876", "매물Link")</f>
        <v/>
      </c>
      <c r="R209" s="6">
        <f>HYPERLINK("https://map.naver.com/p/search/세종특별자치시 나성동 829", "지도Link")</f>
        <v/>
      </c>
      <c r="S209" s="6">
        <f>HYPERLINK("http://www.eum.go.kr/web/ar/lu/luLandDet.jsp?pnu=3611010700108290000&amp;isNoScr=script&amp;mode=search", "토지이음")</f>
        <v/>
      </c>
      <c r="T209" s="3" t="inlineStr">
        <is>
          <t>LBA리치아노합동사무소</t>
        </is>
      </c>
      <c r="U209" s="3" t="n">
        <v>1</v>
      </c>
      <c r="V209" s="3" t="inlineStr">
        <is>
          <t>공동주택 기계실/열교환기실/펌프실</t>
        </is>
      </c>
      <c r="W209" s="4" t="n">
        <v>270</v>
      </c>
      <c r="X209" s="3" t="inlineStr">
        <is>
          <t>철근콘크리트구조</t>
        </is>
      </c>
      <c r="Y209" s="3" t="inlineStr">
        <is>
          <t>공동주택</t>
        </is>
      </c>
      <c r="Z209" s="3" t="inlineStr">
        <is>
          <t>-m</t>
        </is>
      </c>
      <c r="AA209" s="3" t="inlineStr">
        <is>
          <t>2021-08-20</t>
        </is>
      </c>
    </row>
    <row r="210">
      <c r="A210" s="3" t="inlineStr">
        <is>
          <t>세종특별자치시 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HYPERLINK("https://map.naver.com/p/search/세종특별자치시 나성동 829", "지도Link")</f>
        <v/>
      </c>
      <c r="S210" s="6">
        <f>HYPERLINK("http://www.eum.go.kr/web/ar/lu/luLandDet.jsp?pnu=3611010700108290000&amp;isNoScr=script&amp;mode=search", "토지이음")</f>
        <v/>
      </c>
      <c r="T210" s="3" t="inlineStr">
        <is>
          <t>(주)정민근</t>
        </is>
      </c>
      <c r="U210" s="3" t="n">
        <v>1</v>
      </c>
      <c r="V210" s="3" t="inlineStr">
        <is>
          <t>605</t>
        </is>
      </c>
      <c r="W210" s="4" t="n">
        <v>1541</v>
      </c>
      <c r="X210" s="3" t="inlineStr">
        <is>
          <t>철근콘크리트구조</t>
        </is>
      </c>
      <c r="Y210" s="3" t="inlineStr">
        <is>
          <t>공동주택</t>
        </is>
      </c>
      <c r="Z210" s="3" t="inlineStr">
        <is>
          <t>45.30m</t>
        </is>
      </c>
      <c r="AA210" s="3" t="inlineStr">
        <is>
          <t>2021-08-20</t>
        </is>
      </c>
    </row>
    <row r="211">
      <c r="A211" s="3" t="inlineStr">
        <is>
          <t>세종특별자치시 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HYPERLINK("https://map.naver.com/p/search/세종특별자치시 나성동 829", "지도Link")</f>
        <v/>
      </c>
      <c r="S211" s="6">
        <f>HYPERLINK("http://www.eum.go.kr/web/ar/lu/luLandDet.jsp?pnu=3611010700108290000&amp;isNoScr=script&amp;mode=search", "토지이음")</f>
        <v/>
      </c>
      <c r="T211" s="3" t="inlineStr">
        <is>
          <t>월정</t>
        </is>
      </c>
      <c r="U211" s="3" t="n">
        <v>1</v>
      </c>
      <c r="V211" s="3" t="inlineStr">
        <is>
          <t>802</t>
        </is>
      </c>
      <c r="W211" s="4" t="n">
        <v>4247</v>
      </c>
      <c r="X211" s="3" t="inlineStr">
        <is>
          <t>철근콘크리트구조</t>
        </is>
      </c>
      <c r="Y211" s="3" t="inlineStr">
        <is>
          <t>제2종근린생활시설</t>
        </is>
      </c>
      <c r="Z211" s="3" t="inlineStr">
        <is>
          <t>-m</t>
        </is>
      </c>
      <c r="AA211" s="3" t="inlineStr">
        <is>
          <t>2021-08-20</t>
        </is>
      </c>
    </row>
    <row r="212">
      <c r="A212" s="3" t="inlineStr">
        <is>
          <t>세종특별자치시 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HYPERLINK("https://map.naver.com/p/search/세종특별자치시 나성동 829", "지도Link")</f>
        <v/>
      </c>
      <c r="S212" s="6">
        <f>HYPERLINK("http://www.eum.go.kr/web/ar/lu/luLandDet.jsp?pnu=3611010700108290000&amp;isNoScr=script&amp;mode=search", "토지이음")</f>
        <v/>
      </c>
      <c r="T212" s="3" t="inlineStr">
        <is>
          <t>좋은터</t>
        </is>
      </c>
      <c r="U212" s="3" t="n">
        <v>1</v>
      </c>
      <c r="V212" s="3" t="inlineStr">
        <is>
          <t>801</t>
        </is>
      </c>
      <c r="W212" s="4" t="n">
        <v>311</v>
      </c>
      <c r="X212" s="3" t="inlineStr">
        <is>
          <t>철근콘크리트구조</t>
        </is>
      </c>
      <c r="Y212" s="3" t="inlineStr">
        <is>
          <t>제2종근린생활시설</t>
        </is>
      </c>
      <c r="Z212" s="3" t="inlineStr">
        <is>
          <t>-m</t>
        </is>
      </c>
      <c r="AA212" s="3" t="inlineStr">
        <is>
          <t>2021-08-20</t>
        </is>
      </c>
    </row>
    <row r="213">
      <c r="A213" s="3" t="inlineStr">
        <is>
          <t>세종특별자치시 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HYPERLINK("https://map.naver.com/p/search/세종특별자치시 나성동 829", "지도Link")</f>
        <v/>
      </c>
      <c r="S213" s="6">
        <f>HYPERLINK("http://www.eum.go.kr/web/ar/lu/luLandDet.jsp?pnu=3611010700108290000&amp;isNoScr=script&amp;mode=search", "토지이음")</f>
        <v/>
      </c>
      <c r="T213" s="3" t="inlineStr">
        <is>
          <t>더원</t>
        </is>
      </c>
      <c r="U213" s="3" t="n">
        <v>1</v>
      </c>
      <c r="V213" s="3" t="inlineStr">
        <is>
          <t>803</t>
        </is>
      </c>
      <c r="W213" s="4" t="n">
        <v>600</v>
      </c>
      <c r="X213" s="3" t="inlineStr">
        <is>
          <t>철근콘크리트구조</t>
        </is>
      </c>
      <c r="Y213" s="3" t="inlineStr">
        <is>
          <t>제2종근린생활시설</t>
        </is>
      </c>
      <c r="Z213" s="3" t="inlineStr">
        <is>
          <t>-m</t>
        </is>
      </c>
      <c r="AA213" s="3" t="inlineStr">
        <is>
          <t>2021-08-20</t>
        </is>
      </c>
    </row>
    <row r="214">
      <c r="A214" s="3" t="inlineStr">
        <is>
          <t>세종특별자치시 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HYPERLINK("https://map.naver.com/p/search/세종특별자치시 나성동 829", "지도Link")</f>
        <v/>
      </c>
      <c r="S214" s="6">
        <f>HYPERLINK("http://www.eum.go.kr/web/ar/lu/luLandDet.jsp?pnu=3611010700108290000&amp;isNoScr=script&amp;mode=search", "토지이음")</f>
        <v/>
      </c>
      <c r="T214" s="3" t="inlineStr">
        <is>
          <t>더원</t>
        </is>
      </c>
      <c r="U214" s="3" t="n">
        <v>1</v>
      </c>
      <c r="V214" s="3" t="inlineStr">
        <is>
          <t>604</t>
        </is>
      </c>
      <c r="W214" s="4" t="n">
        <v>990</v>
      </c>
      <c r="X214" s="3" t="inlineStr">
        <is>
          <t>철근콘크리트구조</t>
        </is>
      </c>
      <c r="Y214" s="3" t="inlineStr">
        <is>
          <t>공동주택</t>
        </is>
      </c>
      <c r="Z214" s="3" t="inlineStr">
        <is>
          <t>38.30m</t>
        </is>
      </c>
      <c r="AA214" s="3" t="inlineStr">
        <is>
          <t>2021-08-20</t>
        </is>
      </c>
    </row>
    <row r="215">
      <c r="A215" s="3" t="inlineStr">
        <is>
          <t>세종특별자치시 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HYPERLINK("https://map.naver.com/p/search/세종특별자치시 나성동 829", "지도Link")</f>
        <v/>
      </c>
      <c r="S215" s="6">
        <f>HYPERLINK("http://www.eum.go.kr/web/ar/lu/luLandDet.jsp?pnu=3611010700108290000&amp;isNoScr=script&amp;mode=search", "토지이음")</f>
        <v/>
      </c>
      <c r="T215" s="3" t="inlineStr">
        <is>
          <t>더원</t>
        </is>
      </c>
      <c r="U215" s="3" t="n">
        <v>1</v>
      </c>
      <c r="V215" s="3" t="inlineStr">
        <is>
          <t>604</t>
        </is>
      </c>
      <c r="W215" s="4" t="n">
        <v>1025</v>
      </c>
      <c r="X215" s="3" t="inlineStr">
        <is>
          <t>철근콘크리트구조</t>
        </is>
      </c>
      <c r="Y215" s="3" t="inlineStr">
        <is>
          <t>공동주택</t>
        </is>
      </c>
      <c r="Z215" s="3" t="inlineStr">
        <is>
          <t>38.30m</t>
        </is>
      </c>
      <c r="AA215" s="3" t="inlineStr">
        <is>
          <t>2021-08-20</t>
        </is>
      </c>
    </row>
    <row r="216">
      <c r="A216" s="3" t="inlineStr">
        <is>
          <t>세종특별자치시 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HYPERLINK("https://map.naver.com/p/search/세종특별자치시 나성동 829", "지도Link")</f>
        <v/>
      </c>
      <c r="S216" s="6">
        <f>HYPERLINK("http://www.eum.go.kr/web/ar/lu/luLandDet.jsp?pnu=3611010700108290000&amp;isNoScr=script&amp;mode=search", "토지이음")</f>
        <v/>
      </c>
      <c r="T216" s="3" t="inlineStr">
        <is>
          <t>더원</t>
        </is>
      </c>
      <c r="U216" s="3" t="n">
        <v>1</v>
      </c>
      <c r="V216" s="3" t="inlineStr">
        <is>
          <t>공동주택 휘트니스</t>
        </is>
      </c>
      <c r="W216" s="4" t="n">
        <v>827</v>
      </c>
      <c r="X216" s="3" t="inlineStr">
        <is>
          <t>철근콘크리트구조</t>
        </is>
      </c>
      <c r="Y216" s="3" t="inlineStr">
        <is>
          <t>공동주택</t>
        </is>
      </c>
      <c r="Z216" s="3" t="inlineStr">
        <is>
          <t>-m</t>
        </is>
      </c>
      <c r="AA216" s="3" t="inlineStr">
        <is>
          <t>2021-08-20</t>
        </is>
      </c>
    </row>
    <row r="217">
      <c r="A217" s="3" t="inlineStr">
        <is>
          <t>세종특별자치시 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HYPERLINK("https://map.naver.com/p/search/세종특별자치시 나성동 829", "지도Link")</f>
        <v/>
      </c>
      <c r="S217" s="6">
        <f>HYPERLINK("http://www.eum.go.kr/web/ar/lu/luLandDet.jsp?pnu=3611010700108290000&amp;isNoScr=script&amp;mode=search", "토지이음")</f>
        <v/>
      </c>
      <c r="T217" s="3" t="inlineStr">
        <is>
          <t>더원</t>
        </is>
      </c>
      <c r="U217" s="3" t="n">
        <v>1</v>
      </c>
      <c r="V217" s="3" t="inlineStr">
        <is>
          <t>803</t>
        </is>
      </c>
      <c r="W217" s="4" t="n">
        <v>704</v>
      </c>
      <c r="X217" s="3" t="inlineStr">
        <is>
          <t>철근콘크리트구조</t>
        </is>
      </c>
      <c r="Y217" s="3" t="inlineStr">
        <is>
          <t>제2종근린생활시설</t>
        </is>
      </c>
      <c r="Z217" s="3" t="inlineStr">
        <is>
          <t>-m</t>
        </is>
      </c>
      <c r="AA217" s="3" t="inlineStr">
        <is>
          <t>2021-08-20</t>
        </is>
      </c>
    </row>
    <row r="218">
      <c r="A218" s="3" t="inlineStr">
        <is>
          <t>세종특별자치시 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HYPERLINK("https://map.naver.com/p/search/세종특별자치시 나성동 829", "지도Link")</f>
        <v/>
      </c>
      <c r="S218" s="6">
        <f>HYPERLINK("http://www.eum.go.kr/web/ar/lu/luLandDet.jsp?pnu=3611010700108290000&amp;isNoScr=script&amp;mode=search", "토지이음")</f>
        <v/>
      </c>
      <c r="T218" s="3" t="inlineStr">
        <is>
          <t>사거리</t>
        </is>
      </c>
      <c r="U218" s="3" t="n">
        <v>1</v>
      </c>
      <c r="V218" s="3" t="inlineStr">
        <is>
          <t>공동주택 휘트니스</t>
        </is>
      </c>
      <c r="W218" s="4" t="n">
        <v>747</v>
      </c>
      <c r="X218" s="3" t="inlineStr">
        <is>
          <t>철근콘크리트구조</t>
        </is>
      </c>
      <c r="Y218" s="3" t="inlineStr">
        <is>
          <t>공동주택</t>
        </is>
      </c>
      <c r="Z218" s="3" t="inlineStr">
        <is>
          <t>-m</t>
        </is>
      </c>
      <c r="AA218" s="3" t="inlineStr">
        <is>
          <t>2021-08-20</t>
        </is>
      </c>
    </row>
    <row r="219">
      <c r="A219" s="3" t="inlineStr">
        <is>
          <t>세종특별자치시 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HYPERLINK("https://map.naver.com/p/search/세종특별자치시 나성동 829", "지도Link")</f>
        <v/>
      </c>
      <c r="S219" s="6">
        <f>HYPERLINK("http://www.eum.go.kr/web/ar/lu/luLandDet.jsp?pnu=3611010700108290000&amp;isNoScr=script&amp;mode=search", "토지이음")</f>
        <v/>
      </c>
      <c r="T219" s="3" t="inlineStr">
        <is>
          <t>금강로하스</t>
        </is>
      </c>
      <c r="U219" s="3" t="n">
        <v>1</v>
      </c>
      <c r="V219" s="3" t="inlineStr">
        <is>
          <t>605</t>
        </is>
      </c>
      <c r="W219" s="4" t="n">
        <v>1443</v>
      </c>
      <c r="X219" s="3" t="inlineStr">
        <is>
          <t>철근콘크리트구조</t>
        </is>
      </c>
      <c r="Y219" s="3" t="inlineStr">
        <is>
          <t>공동주택</t>
        </is>
      </c>
      <c r="Z219" s="3" t="inlineStr">
        <is>
          <t>45.30m</t>
        </is>
      </c>
      <c r="AA219" s="3" t="inlineStr">
        <is>
          <t>2021-08-20</t>
        </is>
      </c>
    </row>
    <row r="220">
      <c r="A220" s="3" t="inlineStr">
        <is>
          <t>세종특별자치시 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HYPERLINK("https://map.naver.com/p/search/세종특별자치시 나성동 829", "지도Link")</f>
        <v/>
      </c>
      <c r="S220" s="6">
        <f>HYPERLINK("http://www.eum.go.kr/web/ar/lu/luLandDet.jsp?pnu=3611010700108290000&amp;isNoScr=script&amp;mode=search", "토지이음")</f>
        <v/>
      </c>
      <c r="T220" s="3" t="inlineStr">
        <is>
          <t>더원</t>
        </is>
      </c>
      <c r="U220" s="3" t="n">
        <v>1</v>
      </c>
      <c r="V220" s="3" t="inlineStr">
        <is>
          <t>공동주택 지하주차장</t>
        </is>
      </c>
      <c r="W220" s="4" t="n">
        <v>21249</v>
      </c>
      <c r="X220" s="3" t="inlineStr">
        <is>
          <t>철근콘크리트구조</t>
        </is>
      </c>
      <c r="Y220" s="3" t="inlineStr">
        <is>
          <t>공동주택</t>
        </is>
      </c>
      <c r="Z220" s="3" t="inlineStr">
        <is>
          <t>-m</t>
        </is>
      </c>
      <c r="AA220" s="3" t="inlineStr">
        <is>
          <t>2021-08-20</t>
        </is>
      </c>
    </row>
    <row r="221">
      <c r="A221" s="3" t="inlineStr">
        <is>
          <t>세종특별자치시 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HYPERLINK("https://map.naver.com/p/search/세종특별자치시 나성동 829", "지도Link")</f>
        <v/>
      </c>
      <c r="S221" s="6">
        <f>HYPERLINK("http://www.eum.go.kr/web/ar/lu/luLandDet.jsp?pnu=3611010700108290000&amp;isNoScr=script&amp;mode=search", "토지이음")</f>
        <v/>
      </c>
      <c r="T221" s="3" t="inlineStr">
        <is>
          <t>더원</t>
        </is>
      </c>
      <c r="U221" s="3" t="n">
        <v>1</v>
      </c>
      <c r="V221" s="3" t="inlineStr">
        <is>
          <t>604</t>
        </is>
      </c>
      <c r="W221" s="4" t="n">
        <v>985</v>
      </c>
      <c r="X221" s="3" t="inlineStr">
        <is>
          <t>철근콘크리트구조</t>
        </is>
      </c>
      <c r="Y221" s="3" t="inlineStr">
        <is>
          <t>공동주택</t>
        </is>
      </c>
      <c r="Z221" s="3" t="inlineStr">
        <is>
          <t>38.30m</t>
        </is>
      </c>
      <c r="AA221" s="3" t="inlineStr">
        <is>
          <t>2021-08-20</t>
        </is>
      </c>
    </row>
    <row r="222">
      <c r="A222" s="3" t="inlineStr">
        <is>
          <t>세종특별자치시 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HYPERLINK("https://map.naver.com/p/search/세종특별자치시 나성동 829", "지도Link")</f>
        <v/>
      </c>
      <c r="S222" s="6">
        <f>HYPERLINK("http://www.eum.go.kr/web/ar/lu/luLandDet.jsp?pnu=3611010700108290000&amp;isNoScr=script&amp;mode=search", "토지이음")</f>
        <v/>
      </c>
      <c r="T222" s="3" t="inlineStr">
        <is>
          <t>더원</t>
        </is>
      </c>
      <c r="U222" s="3" t="n">
        <v>1</v>
      </c>
      <c r="V222" s="3" t="inlineStr">
        <is>
          <t>901(전망공간)</t>
        </is>
      </c>
      <c r="W222" s="4" t="n">
        <v>1581</v>
      </c>
      <c r="X222" s="3" t="inlineStr">
        <is>
          <t>철근콘크리트구조</t>
        </is>
      </c>
      <c r="Y222" s="3" t="inlineStr">
        <is>
          <t>제2종근린생활시설</t>
        </is>
      </c>
      <c r="Z222" s="3" t="inlineStr">
        <is>
          <t>-m</t>
        </is>
      </c>
      <c r="AA222" s="3" t="inlineStr">
        <is>
          <t>2021-08-20</t>
        </is>
      </c>
    </row>
    <row r="223">
      <c r="A223" s="3" t="inlineStr">
        <is>
          <t>세종특별자치시 나성동 829</t>
        </is>
      </c>
      <c r="B223" s="3" t="inlineStr">
        <is>
          <t>중심상업지역</t>
        </is>
      </c>
      <c r="C223" s="3" t="inlineStr">
        <is>
          <t>대</t>
        </is>
      </c>
      <c r="D223" s="3" t="inlineStr">
        <is>
          <t>공장</t>
        </is>
      </c>
      <c r="E223" s="3" t="inlineStr">
        <is>
          <t>월세</t>
        </is>
      </c>
      <c r="F223" s="4" t="n">
        <v>12000</v>
      </c>
      <c r="G223" s="4" t="n">
        <v>0</v>
      </c>
      <c r="H223" s="4" t="n">
        <v>4250</v>
      </c>
      <c r="I223" s="4" t="n">
        <v>1286</v>
      </c>
      <c r="J223" s="5" t="n">
        <v>0</v>
      </c>
      <c r="K223" s="4" t="n">
        <v>1691</v>
      </c>
      <c r="L223" s="4" t="n">
        <v>512</v>
      </c>
      <c r="M223" s="5" t="n">
        <v>0</v>
      </c>
      <c r="N223" s="3" t="inlineStr">
        <is>
          <t>1</t>
        </is>
      </c>
      <c r="O223" s="3" t="inlineStr">
        <is>
          <t>-</t>
        </is>
      </c>
      <c r="P223" s="3" t="inlineStr">
        <is>
          <t>청주도심 인근 상수도 오폐수직관 식품업종도 가능한 공장</t>
        </is>
      </c>
      <c r="Q223" s="6">
        <f>HYPERLINK("https://fin.land.naver.com/articles/2645434611", "매물Link")</f>
        <v/>
      </c>
      <c r="R223" s="6">
        <f>HYPERLINK("https://map.naver.com/p/search/세종특별자치시 나성동 829", "지도Link")</f>
        <v/>
      </c>
      <c r="S223" s="6">
        <f>HYPERLINK("http://www.eum.go.kr/web/ar/lu/luLandDet.jsp?pnu=3611010700108290000&amp;isNoScr=script&amp;mode=search", "토지이음")</f>
        <v/>
      </c>
      <c r="T223" s="3" t="inlineStr">
        <is>
          <t>더원</t>
        </is>
      </c>
      <c r="U223" s="3" t="n">
        <v>1</v>
      </c>
      <c r="V223" s="3" t="inlineStr">
        <is>
          <t>901(전망공간)</t>
        </is>
      </c>
      <c r="W223" s="4" t="n">
        <v>1691</v>
      </c>
      <c r="X223" s="3" t="inlineStr">
        <is>
          <t>철근콘크리트구조</t>
        </is>
      </c>
      <c r="Y223" s="3" t="inlineStr">
        <is>
          <t>제2종근린생활시설</t>
        </is>
      </c>
      <c r="Z223" s="3" t="inlineStr">
        <is>
          <t>-m</t>
        </is>
      </c>
      <c r="AA223" s="3" t="inlineStr">
        <is>
          <t>2021-08-20</t>
        </is>
      </c>
    </row>
    <row r="224">
      <c r="A224" s="3" t="inlineStr">
        <is>
          <t>세종특별자치시 나성동 829</t>
        </is>
      </c>
      <c r="B224" s="3" t="inlineStr">
        <is>
          <t>중심상업지역</t>
        </is>
      </c>
      <c r="C224" s="3" t="inlineStr">
        <is>
          <t>대</t>
        </is>
      </c>
      <c r="D224" s="3" t="inlineStr">
        <is>
          <t>공장</t>
        </is>
      </c>
      <c r="E224" s="3" t="inlineStr">
        <is>
          <t>월세</t>
        </is>
      </c>
      <c r="F224" s="4" t="n">
        <v>2000</v>
      </c>
      <c r="G224" s="4" t="n">
        <v>200</v>
      </c>
      <c r="H224" s="4" t="n">
        <v>3575</v>
      </c>
      <c r="I224" s="4" t="n">
        <v>1081</v>
      </c>
      <c r="J224" s="5" t="n">
        <v>0.2</v>
      </c>
      <c r="K224" s="4" t="n">
        <v>1405</v>
      </c>
      <c r="L224" s="4" t="n">
        <v>425</v>
      </c>
      <c r="M224" s="5" t="n">
        <v>0.5</v>
      </c>
      <c r="N224" s="3" t="inlineStr">
        <is>
          <t>2</t>
        </is>
      </c>
      <c r="O224" s="3" t="inlineStr">
        <is>
          <t>-</t>
        </is>
      </c>
      <c r="P224" s="3" t="inlineStr">
        <is>
          <t>청주세종간 도로에서 접근성이 용이한 공장임</t>
        </is>
      </c>
      <c r="Q224" s="6">
        <f>HYPERLINK("https://fin.land.naver.com/articles/2645626712", "매물Link")</f>
        <v/>
      </c>
      <c r="R224" s="6">
        <f>HYPERLINK("https://map.naver.com/p/search/세종특별자치시 나성동 829", "지도Link")</f>
        <v/>
      </c>
      <c r="S224" s="6">
        <f>HYPERLINK("http://www.eum.go.kr/web/ar/lu/luLandDet.jsp?pnu=3611010700108290000&amp;isNoScr=script&amp;mode=search", "토지이음")</f>
        <v/>
      </c>
      <c r="T224" s="3" t="inlineStr">
        <is>
          <t>교차로</t>
        </is>
      </c>
      <c r="U224" s="3" t="n">
        <v>1</v>
      </c>
      <c r="V224" s="3" t="inlineStr">
        <is>
          <t>605</t>
        </is>
      </c>
      <c r="W224" s="4" t="n">
        <v>1405</v>
      </c>
      <c r="X224" s="3" t="inlineStr">
        <is>
          <t>철근콘크리트구조</t>
        </is>
      </c>
      <c r="Y224" s="3" t="inlineStr">
        <is>
          <t>공동주택</t>
        </is>
      </c>
      <c r="Z224" s="3" t="inlineStr">
        <is>
          <t>45.30m</t>
        </is>
      </c>
      <c r="AA224" s="3" t="inlineStr">
        <is>
          <t>2021-08-20</t>
        </is>
      </c>
    </row>
    <row r="225">
      <c r="A225" s="3" t="inlineStr">
        <is>
          <t>세종특별자치시 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HYPERLINK("https://map.naver.com/p/search/세종특별자치시 나성동 829", "지도Link")</f>
        <v/>
      </c>
      <c r="S225" s="6">
        <f>HYPERLINK("http://www.eum.go.kr/web/ar/lu/luLandDet.jsp?pnu=3611010700108290000&amp;isNoScr=script&amp;mode=search", "토지이음")</f>
        <v/>
      </c>
      <c r="T225" s="3" t="inlineStr">
        <is>
          <t>왕중왕기업</t>
        </is>
      </c>
      <c r="U225" s="3" t="n">
        <v>1</v>
      </c>
      <c r="V225" s="3" t="inlineStr">
        <is>
          <t>802</t>
        </is>
      </c>
      <c r="W225" s="4" t="n">
        <v>6751</v>
      </c>
      <c r="X225" s="3" t="inlineStr">
        <is>
          <t>철근콘크리트구조</t>
        </is>
      </c>
      <c r="Y225" s="3" t="inlineStr">
        <is>
          <t>제2종근린생활시설</t>
        </is>
      </c>
      <c r="Z225" s="3" t="inlineStr">
        <is>
          <t>-m</t>
        </is>
      </c>
      <c r="AA225" s="3" t="inlineStr">
        <is>
          <t>2021-08-20</t>
        </is>
      </c>
    </row>
    <row r="226">
      <c r="A226" s="3" t="inlineStr">
        <is>
          <t>세종특별자치시 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HYPERLINK("https://map.naver.com/p/search/세종특별자치시 나성동 829", "지도Link")</f>
        <v/>
      </c>
      <c r="S226" s="6">
        <f>HYPERLINK("http://www.eum.go.kr/web/ar/lu/luLandDet.jsp?pnu=3611010700108290000&amp;isNoScr=script&amp;mode=search", "토지이음")</f>
        <v/>
      </c>
      <c r="T226" s="3" t="inlineStr">
        <is>
          <t>더원</t>
        </is>
      </c>
      <c r="U226" s="3" t="n">
        <v>1</v>
      </c>
      <c r="V226" s="3" t="inlineStr">
        <is>
          <t>901(전망공간)</t>
        </is>
      </c>
      <c r="W226" s="4" t="n">
        <v>1734</v>
      </c>
      <c r="X226" s="3" t="inlineStr">
        <is>
          <t>철근콘크리트구조</t>
        </is>
      </c>
      <c r="Y226" s="3" t="inlineStr">
        <is>
          <t>제2종근린생활시설</t>
        </is>
      </c>
      <c r="Z226" s="3" t="inlineStr">
        <is>
          <t>-m</t>
        </is>
      </c>
      <c r="AA226" s="3" t="inlineStr">
        <is>
          <t>2021-08-20</t>
        </is>
      </c>
    </row>
    <row r="227">
      <c r="A227" s="3" t="inlineStr">
        <is>
          <t>세종특별자치시 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HYPERLINK("https://map.naver.com/p/search/세종특별자치시 나성동 829", "지도Link")</f>
        <v/>
      </c>
      <c r="S227" s="6">
        <f>HYPERLINK("http://www.eum.go.kr/web/ar/lu/luLandDet.jsp?pnu=3611010700108290000&amp;isNoScr=script&amp;mode=search", "토지이음")</f>
        <v/>
      </c>
      <c r="T227" s="3" t="inlineStr">
        <is>
          <t>더원</t>
        </is>
      </c>
      <c r="U227" s="3" t="n">
        <v>1</v>
      </c>
      <c r="V227" s="3" t="inlineStr">
        <is>
          <t>901(전망공간)</t>
        </is>
      </c>
      <c r="W227" s="4" t="n">
        <v>1743</v>
      </c>
      <c r="X227" s="3" t="inlineStr">
        <is>
          <t>철근콘크리트구조</t>
        </is>
      </c>
      <c r="Y227" s="3" t="inlineStr">
        <is>
          <t>제2종근린생활시설</t>
        </is>
      </c>
      <c r="Z227" s="3" t="inlineStr">
        <is>
          <t>-m</t>
        </is>
      </c>
      <c r="AA227" s="3" t="inlineStr">
        <is>
          <t>2021-08-20</t>
        </is>
      </c>
    </row>
    <row r="228">
      <c r="A228" s="3" t="inlineStr">
        <is>
          <t>세종특별자치시 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HYPERLINK("https://map.naver.com/p/search/세종특별자치시 나성동 829", "지도Link")</f>
        <v/>
      </c>
      <c r="S228" s="6">
        <f>HYPERLINK("http://www.eum.go.kr/web/ar/lu/luLandDet.jsp?pnu=3611010700108290000&amp;isNoScr=script&amp;mode=search", "토지이음")</f>
        <v/>
      </c>
      <c r="T228" s="3" t="inlineStr">
        <is>
          <t>더원</t>
        </is>
      </c>
      <c r="U228" s="3" t="n">
        <v>1</v>
      </c>
      <c r="V228" s="3" t="inlineStr">
        <is>
          <t>공동주택 기계실/열교환기실/펌프실</t>
        </is>
      </c>
      <c r="W228" s="4" t="n">
        <v>276</v>
      </c>
      <c r="X228" s="3" t="inlineStr">
        <is>
          <t>철근콘크리트구조</t>
        </is>
      </c>
      <c r="Y228" s="3" t="inlineStr">
        <is>
          <t>공동주택</t>
        </is>
      </c>
      <c r="Z228" s="3" t="inlineStr">
        <is>
          <t>-m</t>
        </is>
      </c>
      <c r="AA228" s="3" t="inlineStr">
        <is>
          <t>2021-08-20</t>
        </is>
      </c>
    </row>
    <row r="229">
      <c r="A229" s="3" t="inlineStr">
        <is>
          <t>세종특별자치시 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HYPERLINK("https://map.naver.com/p/search/세종특별자치시 나성동 829", "지도Link")</f>
        <v/>
      </c>
      <c r="S229" s="6">
        <f>HYPERLINK("http://www.eum.go.kr/web/ar/lu/luLandDet.jsp?pnu=3611010700108290000&amp;isNoScr=script&amp;mode=search", "토지이음")</f>
        <v/>
      </c>
      <c r="T229" s="3" t="inlineStr">
        <is>
          <t>더원</t>
        </is>
      </c>
      <c r="U229" s="3" t="n">
        <v>1</v>
      </c>
      <c r="V229" s="3" t="inlineStr">
        <is>
          <t>공동주택 주민공동시설</t>
        </is>
      </c>
      <c r="W229" s="4" t="n">
        <v>212</v>
      </c>
      <c r="X229" s="3" t="inlineStr">
        <is>
          <t>철근콘크리트구조</t>
        </is>
      </c>
      <c r="Y229" s="3" t="inlineStr">
        <is>
          <t>공동주택</t>
        </is>
      </c>
      <c r="Z229" s="3" t="inlineStr">
        <is>
          <t>-m</t>
        </is>
      </c>
      <c r="AA229" s="3" t="inlineStr">
        <is>
          <t>2021-08-20</t>
        </is>
      </c>
    </row>
    <row r="230">
      <c r="A230" s="3" t="inlineStr">
        <is>
          <t>세종특별자치시 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HYPERLINK("https://map.naver.com/p/search/세종특별자치시 나성동 829", "지도Link")</f>
        <v/>
      </c>
      <c r="S230" s="6">
        <f>HYPERLINK("http://www.eum.go.kr/web/ar/lu/luLandDet.jsp?pnu=3611010700108290000&amp;isNoScr=script&amp;mode=search", "토지이음")</f>
        <v/>
      </c>
      <c r="T230" s="3" t="inlineStr">
        <is>
          <t>더원</t>
        </is>
      </c>
      <c r="U230" s="3" t="n">
        <v>1</v>
      </c>
      <c r="V230" s="3" t="inlineStr">
        <is>
          <t>공동주택 전기,발전기실</t>
        </is>
      </c>
      <c r="W230" s="4" t="n">
        <v>291</v>
      </c>
      <c r="X230" s="3" t="inlineStr">
        <is>
          <t>철근콘크리트구조</t>
        </is>
      </c>
      <c r="Y230" s="3" t="inlineStr">
        <is>
          <t>공동주택</t>
        </is>
      </c>
      <c r="Z230" s="3" t="inlineStr">
        <is>
          <t>-m</t>
        </is>
      </c>
      <c r="AA230" s="3" t="inlineStr">
        <is>
          <t>2021-08-20</t>
        </is>
      </c>
    </row>
    <row r="231">
      <c r="A231" s="3" t="inlineStr">
        <is>
          <t>세종특별자치시 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HYPERLINK("https://map.naver.com/p/search/세종특별자치시 나성동 829", "지도Link")</f>
        <v/>
      </c>
      <c r="S231" s="6">
        <f>HYPERLINK("http://www.eum.go.kr/web/ar/lu/luLandDet.jsp?pnu=3611010700108290000&amp;isNoScr=script&amp;mode=search", "토지이음")</f>
        <v/>
      </c>
      <c r="T231" s="3" t="inlineStr">
        <is>
          <t>더원</t>
        </is>
      </c>
      <c r="U231" s="3" t="n">
        <v>1</v>
      </c>
      <c r="V231" s="3" t="inlineStr">
        <is>
          <t>605</t>
        </is>
      </c>
      <c r="W231" s="4" t="n">
        <v>1544</v>
      </c>
      <c r="X231" s="3" t="inlineStr">
        <is>
          <t>철근콘크리트구조</t>
        </is>
      </c>
      <c r="Y231" s="3" t="inlineStr">
        <is>
          <t>공동주택</t>
        </is>
      </c>
      <c r="Z231" s="3" t="inlineStr">
        <is>
          <t>45.30m</t>
        </is>
      </c>
      <c r="AA231" s="3" t="inlineStr">
        <is>
          <t>2021-08-20</t>
        </is>
      </c>
    </row>
    <row r="232">
      <c r="A232" s="3" t="inlineStr">
        <is>
          <t>세종특별자치시 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HYPERLINK("https://map.naver.com/p/search/세종특별자치시 나성동 829", "지도Link")</f>
        <v/>
      </c>
      <c r="S232" s="6">
        <f>HYPERLINK("http://www.eum.go.kr/web/ar/lu/luLandDet.jsp?pnu=3611010700108290000&amp;isNoScr=script&amp;mode=search", "토지이음")</f>
        <v/>
      </c>
      <c r="T232" s="3" t="inlineStr">
        <is>
          <t>더원</t>
        </is>
      </c>
      <c r="U232" s="3" t="n">
        <v>1</v>
      </c>
      <c r="V232" s="3" t="inlineStr">
        <is>
          <t>공동주택 보육시설</t>
        </is>
      </c>
      <c r="W232" s="4" t="n">
        <v>250</v>
      </c>
      <c r="X232" s="3" t="inlineStr">
        <is>
          <t>철근콘크리트구조</t>
        </is>
      </c>
      <c r="Y232" s="3" t="inlineStr">
        <is>
          <t>공동주택</t>
        </is>
      </c>
      <c r="Z232" s="3" t="inlineStr">
        <is>
          <t>-m</t>
        </is>
      </c>
      <c r="AA232" s="3" t="inlineStr">
        <is>
          <t>2021-08-20</t>
        </is>
      </c>
    </row>
    <row r="233">
      <c r="A233" s="3" t="inlineStr">
        <is>
          <t>세종특별자치시 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HYPERLINK("https://map.naver.com/p/search/세종특별자치시 나성동 829", "지도Link")</f>
        <v/>
      </c>
      <c r="S233" s="6">
        <f>HYPERLINK("http://www.eum.go.kr/web/ar/lu/luLandDet.jsp?pnu=3611010700108290000&amp;isNoScr=script&amp;mode=search", "토지이음")</f>
        <v/>
      </c>
      <c r="T233" s="3" t="inlineStr">
        <is>
          <t>더원</t>
        </is>
      </c>
      <c r="U233" s="3" t="n">
        <v>1</v>
      </c>
      <c r="V233" s="3" t="inlineStr">
        <is>
          <t>701</t>
        </is>
      </c>
      <c r="W233" s="4" t="n">
        <v>182</v>
      </c>
      <c r="X233" s="3" t="inlineStr">
        <is>
          <t>철근콘크리트구조</t>
        </is>
      </c>
      <c r="Y233" s="3" t="inlineStr">
        <is>
          <t>판매시설</t>
        </is>
      </c>
      <c r="Z233" s="3" t="inlineStr">
        <is>
          <t>-m</t>
        </is>
      </c>
      <c r="AA233" s="3" t="inlineStr">
        <is>
          <t>2021-08-20</t>
        </is>
      </c>
    </row>
    <row r="234">
      <c r="A234" s="3" t="inlineStr">
        <is>
          <t>세종특별자치시 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HYPERLINK("https://map.naver.com/p/search/세종특별자치시 나성동 829", "지도Link")</f>
        <v/>
      </c>
      <c r="S234" s="6">
        <f>HYPERLINK("http://www.eum.go.kr/web/ar/lu/luLandDet.jsp?pnu=3611010700108290000&amp;isNoScr=script&amp;mode=search", "토지이음")</f>
        <v/>
      </c>
      <c r="T234" s="3" t="inlineStr">
        <is>
          <t>더원</t>
        </is>
      </c>
      <c r="U234" s="3" t="n">
        <v>1</v>
      </c>
      <c r="V234" s="3" t="inlineStr">
        <is>
          <t>공동주택 휘트니스</t>
        </is>
      </c>
      <c r="W234" s="4" t="n">
        <v>818</v>
      </c>
      <c r="X234" s="3" t="inlineStr">
        <is>
          <t>철근콘크리트구조</t>
        </is>
      </c>
      <c r="Y234" s="3" t="inlineStr">
        <is>
          <t>공동주택</t>
        </is>
      </c>
      <c r="Z234" s="3" t="inlineStr">
        <is>
          <t>-m</t>
        </is>
      </c>
      <c r="AA234" s="3" t="inlineStr">
        <is>
          <t>2021-08-20</t>
        </is>
      </c>
    </row>
    <row r="235">
      <c r="A235" s="3" t="inlineStr">
        <is>
          <t>세종특별자치시 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HYPERLINK("https://map.naver.com/p/search/세종특별자치시 나성동 829", "지도Link")</f>
        <v/>
      </c>
      <c r="S235" s="6">
        <f>HYPERLINK("http://www.eum.go.kr/web/ar/lu/luLandDet.jsp?pnu=3611010700108290000&amp;isNoScr=script&amp;mode=search", "토지이음")</f>
        <v/>
      </c>
      <c r="T235" s="3" t="inlineStr">
        <is>
          <t>더원</t>
        </is>
      </c>
      <c r="U235" s="3" t="n">
        <v>1</v>
      </c>
      <c r="V235" s="3" t="inlineStr">
        <is>
          <t>근린생활시설 지하주차장</t>
        </is>
      </c>
      <c r="W235" s="4" t="n">
        <v>2126</v>
      </c>
      <c r="X235" s="3" t="inlineStr">
        <is>
          <t>철근콘크리트구조</t>
        </is>
      </c>
      <c r="Y235" s="3" t="inlineStr">
        <is>
          <t>제2종근린생활시설</t>
        </is>
      </c>
      <c r="Z235" s="3" t="inlineStr">
        <is>
          <t>-m</t>
        </is>
      </c>
      <c r="AA235" s="3" t="inlineStr">
        <is>
          <t>2021-08-20</t>
        </is>
      </c>
    </row>
    <row r="236">
      <c r="A236" s="3" t="inlineStr">
        <is>
          <t>세종특별자치시 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HYPERLINK("https://map.naver.com/p/search/세종특별자치시 나성동 829", "지도Link")</f>
        <v/>
      </c>
      <c r="S236" s="6">
        <f>HYPERLINK("http://www.eum.go.kr/web/ar/lu/luLandDet.jsp?pnu=3611010700108290000&amp;isNoScr=script&amp;mode=search", "토지이음")</f>
        <v/>
      </c>
      <c r="T236" s="3" t="inlineStr">
        <is>
          <t>더원</t>
        </is>
      </c>
      <c r="U236" s="3" t="n">
        <v>1</v>
      </c>
      <c r="V236" s="3" t="inlineStr">
        <is>
          <t>전망공간 기계실</t>
        </is>
      </c>
      <c r="W236" s="4" t="n">
        <v>526</v>
      </c>
      <c r="X236" s="3" t="inlineStr">
        <is>
          <t>철근콘크리트구조</t>
        </is>
      </c>
      <c r="Y236" s="3" t="inlineStr">
        <is>
          <t>제2종근린생활시설</t>
        </is>
      </c>
      <c r="Z236" s="3" t="inlineStr">
        <is>
          <t>-m</t>
        </is>
      </c>
      <c r="AA236" s="3" t="inlineStr">
        <is>
          <t>2021-08-20</t>
        </is>
      </c>
    </row>
    <row r="237">
      <c r="A237" s="3" t="inlineStr">
        <is>
          <t>세종특별자치시 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HYPERLINK("https://map.naver.com/p/search/세종특별자치시 나성동 829", "지도Link")</f>
        <v/>
      </c>
      <c r="S237" s="6">
        <f>HYPERLINK("http://www.eum.go.kr/web/ar/lu/luLandDet.jsp?pnu=3611010700108290000&amp;isNoScr=script&amp;mode=search", "토지이음")</f>
        <v/>
      </c>
      <c r="T237" s="3" t="inlineStr">
        <is>
          <t>더원</t>
        </is>
      </c>
      <c r="U237" s="3" t="n">
        <v>1</v>
      </c>
      <c r="V237" s="3" t="inlineStr">
        <is>
          <t>공동주택 지하주차장</t>
        </is>
      </c>
      <c r="W237" s="4" t="n">
        <v>20776</v>
      </c>
      <c r="X237" s="3" t="inlineStr">
        <is>
          <t>철근콘크리트구조</t>
        </is>
      </c>
      <c r="Y237" s="3" t="inlineStr">
        <is>
          <t>공동주택</t>
        </is>
      </c>
      <c r="Z237" s="3" t="inlineStr">
        <is>
          <t>-m</t>
        </is>
      </c>
      <c r="AA237" s="3" t="inlineStr">
        <is>
          <t>2021-08-20</t>
        </is>
      </c>
    </row>
    <row r="238">
      <c r="A238" s="3" t="inlineStr">
        <is>
          <t>세종특별자치시 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HYPERLINK("https://map.naver.com/p/search/세종특별자치시 나성동 829", "지도Link")</f>
        <v/>
      </c>
      <c r="S238" s="6">
        <f>HYPERLINK("http://www.eum.go.kr/web/ar/lu/luLandDet.jsp?pnu=3611010700108290000&amp;isNoScr=script&amp;mode=search", "토지이음")</f>
        <v/>
      </c>
      <c r="T238" s="3" t="inlineStr">
        <is>
          <t>더원</t>
        </is>
      </c>
      <c r="U238" s="3" t="n">
        <v>1</v>
      </c>
      <c r="V238" s="3" t="inlineStr">
        <is>
          <t>605</t>
        </is>
      </c>
      <c r="W238" s="4" t="n">
        <v>1451</v>
      </c>
      <c r="X238" s="3" t="inlineStr">
        <is>
          <t>철근콘크리트구조</t>
        </is>
      </c>
      <c r="Y238" s="3" t="inlineStr">
        <is>
          <t>공동주택</t>
        </is>
      </c>
      <c r="Z238" s="3" t="inlineStr">
        <is>
          <t>45.30m</t>
        </is>
      </c>
      <c r="AA238" s="3" t="inlineStr">
        <is>
          <t>2021-08-20</t>
        </is>
      </c>
    </row>
    <row r="239">
      <c r="A239" s="3" t="inlineStr">
        <is>
          <t>세종특별자치시 나성동 829</t>
        </is>
      </c>
      <c r="B239" s="3" t="inlineStr">
        <is>
          <t>중심상업지역</t>
        </is>
      </c>
      <c r="C239" s="3" t="inlineStr">
        <is>
          <t>대</t>
        </is>
      </c>
      <c r="D239" s="3" t="inlineStr">
        <is>
          <t>창고</t>
        </is>
      </c>
      <c r="E239" s="3" t="inlineStr">
        <is>
          <t>월세</t>
        </is>
      </c>
      <c r="F239" s="4" t="n">
        <v>15000</v>
      </c>
      <c r="G239" s="4" t="n">
        <v>0</v>
      </c>
      <c r="H239" s="4" t="n">
        <v>9961</v>
      </c>
      <c r="I239" s="4" t="n">
        <v>3013</v>
      </c>
      <c r="J239" s="5" t="n">
        <v>0</v>
      </c>
      <c r="K239" s="4" t="n">
        <v>1980</v>
      </c>
      <c r="L239" s="4" t="n">
        <v>599</v>
      </c>
      <c r="M239" s="5" t="n">
        <v>0</v>
      </c>
      <c r="N239" s="3" t="inlineStr">
        <is>
          <t>1</t>
        </is>
      </c>
      <c r="O239" s="3" t="inlineStr">
        <is>
          <t>-</t>
        </is>
      </c>
      <c r="P239" s="3" t="inlineStr">
        <is>
          <t>남청주ic 인접한 위치의 대형토지면적의 물류창고 임대</t>
        </is>
      </c>
      <c r="Q239" s="6">
        <f>HYPERLINK("https://fin.land.naver.com/articles/2646667898", "매물Link")</f>
        <v/>
      </c>
      <c r="R239" s="6">
        <f>HYPERLINK("https://map.naver.com/p/search/세종특별자치시 나성동 829", "지도Link")</f>
        <v/>
      </c>
      <c r="S239" s="6">
        <f>HYPERLINK("http://www.eum.go.kr/web/ar/lu/luLandDet.jsp?pnu=3611010700108290000&amp;isNoScr=script&amp;mode=search", "토지이음")</f>
        <v/>
      </c>
      <c r="T239" s="3" t="inlineStr">
        <is>
          <t>더원</t>
        </is>
      </c>
      <c r="U239" s="3" t="n">
        <v>1</v>
      </c>
      <c r="V239" s="3" t="inlineStr">
        <is>
          <t>901(전망공간)</t>
        </is>
      </c>
      <c r="W239" s="4" t="n">
        <v>1980</v>
      </c>
      <c r="X239" s="3" t="inlineStr">
        <is>
          <t>철근콘크리트구조</t>
        </is>
      </c>
      <c r="Y239" s="3" t="inlineStr">
        <is>
          <t>제2종근린생활시설</t>
        </is>
      </c>
      <c r="Z239" s="3" t="inlineStr">
        <is>
          <t>-m</t>
        </is>
      </c>
      <c r="AA239" s="3" t="inlineStr">
        <is>
          <t>2021-08-20</t>
        </is>
      </c>
    </row>
    <row r="240">
      <c r="A240" s="3" t="inlineStr">
        <is>
          <t>세종특별자치시 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HYPERLINK("https://map.naver.com/p/search/세종특별자치시 나성동 829", "지도Link")</f>
        <v/>
      </c>
      <c r="S240" s="6">
        <f>HYPERLINK("http://www.eum.go.kr/web/ar/lu/luLandDet.jsp?pnu=3611010700108290000&amp;isNoScr=script&amp;mode=search", "토지이음")</f>
        <v/>
      </c>
      <c r="T240" s="3" t="inlineStr">
        <is>
          <t>청주합동</t>
        </is>
      </c>
      <c r="U240" s="3" t="n">
        <v>1</v>
      </c>
      <c r="V240" s="3" t="inlineStr">
        <is>
          <t>전망공간 기계실</t>
        </is>
      </c>
      <c r="W240" s="4" t="n">
        <v>475</v>
      </c>
      <c r="X240" s="3" t="inlineStr">
        <is>
          <t>철근콘크리트구조</t>
        </is>
      </c>
      <c r="Y240" s="3" t="inlineStr">
        <is>
          <t>제2종근린생활시설</t>
        </is>
      </c>
      <c r="Z240" s="3" t="inlineStr">
        <is>
          <t>-m</t>
        </is>
      </c>
      <c r="AA240" s="3" t="inlineStr">
        <is>
          <t>2021-08-20</t>
        </is>
      </c>
    </row>
    <row r="241">
      <c r="A241" s="3" t="inlineStr">
        <is>
          <t>세종특별자치시 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HYPERLINK("https://map.naver.com/p/search/세종특별자치시 나성동 829", "지도Link")</f>
        <v/>
      </c>
      <c r="S241" s="6">
        <f>HYPERLINK("http://www.eum.go.kr/web/ar/lu/luLandDet.jsp?pnu=3611010700108290000&amp;isNoScr=script&amp;mode=search", "토지이음")</f>
        <v/>
      </c>
      <c r="T241" s="3" t="inlineStr">
        <is>
          <t>더원</t>
        </is>
      </c>
      <c r="U241" s="3" t="n">
        <v>1</v>
      </c>
      <c r="V241" s="3" t="inlineStr">
        <is>
          <t>전망공간 기계실</t>
        </is>
      </c>
      <c r="W241" s="4" t="n">
        <v>440</v>
      </c>
      <c r="X241" s="3" t="inlineStr">
        <is>
          <t>철근콘크리트구조</t>
        </is>
      </c>
      <c r="Y241" s="3" t="inlineStr">
        <is>
          <t>제2종근린생활시설</t>
        </is>
      </c>
      <c r="Z241" s="3" t="inlineStr">
        <is>
          <t>-m</t>
        </is>
      </c>
      <c r="AA241" s="3" t="inlineStr">
        <is>
          <t>2021-08-20</t>
        </is>
      </c>
    </row>
    <row r="242">
      <c r="A242" s="3" t="inlineStr">
        <is>
          <t>세종특별자치시 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HYPERLINK("https://map.naver.com/p/search/세종특별자치시 나성동 829", "지도Link")</f>
        <v/>
      </c>
      <c r="S242" s="6">
        <f>HYPERLINK("http://www.eum.go.kr/web/ar/lu/luLandDet.jsp?pnu=3611010700108290000&amp;isNoScr=script&amp;mode=search", "토지이음")</f>
        <v/>
      </c>
      <c r="T242" s="3" t="inlineStr">
        <is>
          <t>더원</t>
        </is>
      </c>
      <c r="U242" s="3" t="n">
        <v>1</v>
      </c>
      <c r="V242" s="3" t="inlineStr">
        <is>
          <t>901(전망공간)</t>
        </is>
      </c>
      <c r="W242" s="4" t="n">
        <v>1988</v>
      </c>
      <c r="X242" s="3" t="inlineStr">
        <is>
          <t>철근콘크리트구조</t>
        </is>
      </c>
      <c r="Y242" s="3" t="inlineStr">
        <is>
          <t>제2종근린생활시설</t>
        </is>
      </c>
      <c r="Z242" s="3" t="inlineStr">
        <is>
          <t>-m</t>
        </is>
      </c>
      <c r="AA242" s="3" t="inlineStr">
        <is>
          <t>2021-08-20</t>
        </is>
      </c>
    </row>
    <row r="243">
      <c r="A243" s="3" t="inlineStr">
        <is>
          <t>세종특별자치시 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HYPERLINK("https://map.naver.com/p/search/세종특별자치시 나성동 829", "지도Link")</f>
        <v/>
      </c>
      <c r="S243" s="6">
        <f>HYPERLINK("http://www.eum.go.kr/web/ar/lu/luLandDet.jsp?pnu=3611010700108290000&amp;isNoScr=script&amp;mode=search", "토지이음")</f>
        <v/>
      </c>
      <c r="T243" s="3" t="inlineStr">
        <is>
          <t>LBA리치아노합동사무소</t>
        </is>
      </c>
      <c r="U243" s="3" t="n">
        <v>1</v>
      </c>
      <c r="V243" s="3" t="inlineStr">
        <is>
          <t>전망공간 기계실</t>
        </is>
      </c>
      <c r="W243" s="4" t="n">
        <v>488</v>
      </c>
      <c r="X243" s="3" t="inlineStr">
        <is>
          <t>철근콘크리트구조</t>
        </is>
      </c>
      <c r="Y243" s="3" t="inlineStr">
        <is>
          <t>제2종근린생활시설</t>
        </is>
      </c>
      <c r="Z243" s="3" t="inlineStr">
        <is>
          <t>-m</t>
        </is>
      </c>
      <c r="AA243" s="3" t="inlineStr">
        <is>
          <t>2021-08-20</t>
        </is>
      </c>
    </row>
    <row r="244">
      <c r="A244" s="3" t="inlineStr">
        <is>
          <t>세종특별자치시 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HYPERLINK("https://map.naver.com/p/search/세종특별자치시 나성동 829", "지도Link")</f>
        <v/>
      </c>
      <c r="S244" s="6">
        <f>HYPERLINK("http://www.eum.go.kr/web/ar/lu/luLandDet.jsp?pnu=3611010700108290000&amp;isNoScr=script&amp;mode=search", "토지이음")</f>
        <v/>
      </c>
      <c r="T244" s="3" t="inlineStr">
        <is>
          <t>더원</t>
        </is>
      </c>
      <c r="U244" s="3" t="n">
        <v>1</v>
      </c>
      <c r="V244" s="3" t="inlineStr">
        <is>
          <t>604</t>
        </is>
      </c>
      <c r="W244" s="4" t="n">
        <v>987</v>
      </c>
      <c r="X244" s="3" t="inlineStr">
        <is>
          <t>철근콘크리트구조</t>
        </is>
      </c>
      <c r="Y244" s="3" t="inlineStr">
        <is>
          <t>공동주택</t>
        </is>
      </c>
      <c r="Z244" s="3" t="inlineStr">
        <is>
          <t>38.30m</t>
        </is>
      </c>
      <c r="AA244" s="3" t="inlineStr">
        <is>
          <t>2021-08-20</t>
        </is>
      </c>
    </row>
    <row r="245">
      <c r="A245" s="3" t="inlineStr">
        <is>
          <t>세종특별자치시 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HYPERLINK("https://map.naver.com/p/search/세종특별자치시 나성동 829", "지도Link")</f>
        <v/>
      </c>
      <c r="S245" s="6">
        <f>HYPERLINK("http://www.eum.go.kr/web/ar/lu/luLandDet.jsp?pnu=3611010700108290000&amp;isNoScr=script&amp;mode=search", "토지이음")</f>
        <v/>
      </c>
      <c r="T245" s="3" t="inlineStr">
        <is>
          <t>더원</t>
        </is>
      </c>
      <c r="U245" s="3" t="n">
        <v>1</v>
      </c>
      <c r="V245" s="3" t="inlineStr">
        <is>
          <t>803</t>
        </is>
      </c>
      <c r="W245" s="4" t="n">
        <v>704</v>
      </c>
      <c r="X245" s="3" t="inlineStr">
        <is>
          <t>철근콘크리트구조</t>
        </is>
      </c>
      <c r="Y245" s="3" t="inlineStr">
        <is>
          <t>제2종근린생활시설</t>
        </is>
      </c>
      <c r="Z245" s="3" t="inlineStr">
        <is>
          <t>-m</t>
        </is>
      </c>
      <c r="AA245" s="3" t="inlineStr">
        <is>
          <t>2021-08-20</t>
        </is>
      </c>
    </row>
    <row r="246">
      <c r="A246" s="3" t="inlineStr">
        <is>
          <t>세종특별자치시 나성동 829</t>
        </is>
      </c>
      <c r="B246" s="3" t="inlineStr">
        <is>
          <t>중심상업지역</t>
        </is>
      </c>
      <c r="C246" s="3" t="inlineStr">
        <is>
          <t>대</t>
        </is>
      </c>
      <c r="D246" s="3" t="inlineStr">
        <is>
          <t>창고</t>
        </is>
      </c>
      <c r="E246" s="3" t="inlineStr">
        <is>
          <t>월세</t>
        </is>
      </c>
      <c r="F246" s="4" t="n">
        <v>7500</v>
      </c>
      <c r="G246" s="4" t="n">
        <v>750</v>
      </c>
      <c r="H246" s="4" t="n">
        <v>4976</v>
      </c>
      <c r="I246" s="4" t="n">
        <v>1505</v>
      </c>
      <c r="J246" s="5" t="n">
        <v>0.5</v>
      </c>
      <c r="K246" s="4" t="n">
        <v>990</v>
      </c>
      <c r="L246" s="4" t="n">
        <v>299</v>
      </c>
      <c r="M246" s="5" t="n">
        <v>2.5</v>
      </c>
      <c r="N246" s="3" t="inlineStr">
        <is>
          <t>1</t>
        </is>
      </c>
      <c r="O246" s="3" t="inlineStr">
        <is>
          <t>-</t>
        </is>
      </c>
      <c r="P246" s="3" t="inlineStr">
        <is>
          <t>남청주ic 및 청주ic 접근성 좋은 위치 마당넓고 트레일러진출입가능</t>
        </is>
      </c>
      <c r="Q246" s="6">
        <f>HYPERLINK("https://fin.land.naver.com/articles/2646667871", "매물Link")</f>
        <v/>
      </c>
      <c r="R246" s="6">
        <f>HYPERLINK("https://map.naver.com/p/search/세종특별자치시 나성동 829", "지도Link")</f>
        <v/>
      </c>
      <c r="S246" s="6">
        <f>HYPERLINK("http://www.eum.go.kr/web/ar/lu/luLandDet.jsp?pnu=3611010700108290000&amp;isNoScr=script&amp;mode=search", "토지이음")</f>
        <v/>
      </c>
      <c r="T246" s="3" t="inlineStr">
        <is>
          <t>더원</t>
        </is>
      </c>
      <c r="U246" s="3" t="n">
        <v>1</v>
      </c>
      <c r="V246" s="3" t="inlineStr">
        <is>
          <t>604</t>
        </is>
      </c>
      <c r="W246" s="4" t="n">
        <v>990</v>
      </c>
      <c r="X246" s="3" t="inlineStr">
        <is>
          <t>철근콘크리트구조</t>
        </is>
      </c>
      <c r="Y246" s="3" t="inlineStr">
        <is>
          <t>공동주택</t>
        </is>
      </c>
      <c r="Z246" s="3" t="inlineStr">
        <is>
          <t>38.30m</t>
        </is>
      </c>
      <c r="AA246" s="3" t="inlineStr">
        <is>
          <t>2021-08-20</t>
        </is>
      </c>
    </row>
    <row r="247">
      <c r="A247" s="3" t="inlineStr">
        <is>
          <t>세종특별자치시 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HYPERLINK("https://map.naver.com/p/search/세종특별자치시 나성동 829", "지도Link")</f>
        <v/>
      </c>
      <c r="S247" s="6">
        <f>HYPERLINK("http://www.eum.go.kr/web/ar/lu/luLandDet.jsp?pnu=3611010700108290000&amp;isNoScr=script&amp;mode=search", "토지이음")</f>
        <v/>
      </c>
      <c r="T247" s="3" t="inlineStr">
        <is>
          <t>강남</t>
        </is>
      </c>
      <c r="U247" s="3" t="n">
        <v>1</v>
      </c>
      <c r="V247" s="3" t="inlineStr">
        <is>
          <t>공동주택 휘트니스</t>
        </is>
      </c>
      <c r="W247" s="4" t="n">
        <v>830</v>
      </c>
      <c r="X247" s="3" t="inlineStr">
        <is>
          <t>철근콘크리트구조</t>
        </is>
      </c>
      <c r="Y247" s="3" t="inlineStr">
        <is>
          <t>공동주택</t>
        </is>
      </c>
      <c r="Z247" s="3" t="inlineStr">
        <is>
          <t>-m</t>
        </is>
      </c>
      <c r="AA247" s="3" t="inlineStr">
        <is>
          <t>2021-08-20</t>
        </is>
      </c>
    </row>
    <row r="248">
      <c r="A248" s="3" t="inlineStr">
        <is>
          <t>세종특별자치시 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HYPERLINK("https://map.naver.com/p/search/세종특별자치시 나성동 829", "지도Link")</f>
        <v/>
      </c>
      <c r="S248" s="6">
        <f>HYPERLINK("http://www.eum.go.kr/web/ar/lu/luLandDet.jsp?pnu=3611010700108290000&amp;isNoScr=script&amp;mode=search", "토지이음")</f>
        <v/>
      </c>
      <c r="T248" s="3" t="inlineStr">
        <is>
          <t>삼성사무소</t>
        </is>
      </c>
      <c r="U248" s="3" t="n">
        <v>1</v>
      </c>
      <c r="V248" s="3" t="inlineStr">
        <is>
          <t>공동주택 주민공동시설</t>
        </is>
      </c>
      <c r="W248" s="4" t="n">
        <v>198</v>
      </c>
      <c r="X248" s="3" t="inlineStr">
        <is>
          <t>철근콘크리트구조</t>
        </is>
      </c>
      <c r="Y248" s="3" t="inlineStr">
        <is>
          <t>공동주택</t>
        </is>
      </c>
      <c r="Z248" s="3" t="inlineStr">
        <is>
          <t>-m</t>
        </is>
      </c>
      <c r="AA248" s="3" t="inlineStr">
        <is>
          <t>2021-08-20</t>
        </is>
      </c>
    </row>
    <row r="249">
      <c r="A249" s="3" t="inlineStr">
        <is>
          <t>세종특별자치시 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HYPERLINK("https://map.naver.com/p/search/세종특별자치시 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94.45m</t>
        </is>
      </c>
      <c r="AA249" s="3" t="inlineStr">
        <is>
          <t>2021-08-20</t>
        </is>
      </c>
    </row>
    <row r="250">
      <c r="A250" s="3" t="inlineStr">
        <is>
          <t>세종특별자치시 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HYPERLINK("https://map.naver.com/p/search/세종특별자치시 나성동 829", "지도Link")</f>
        <v/>
      </c>
      <c r="S250" s="6">
        <f>HYPERLINK("http://www.eum.go.kr/web/ar/lu/luLandDet.jsp?pnu=3611010700108290000&amp;isNoScr=script&amp;mode=search", "토지이음")</f>
        <v/>
      </c>
      <c r="T250" s="3" t="inlineStr">
        <is>
          <t>청주모충주공사모1·2재개발명성</t>
        </is>
      </c>
      <c r="U250" s="3" t="n">
        <v>1</v>
      </c>
      <c r="V250" s="3" t="inlineStr">
        <is>
          <t>605</t>
        </is>
      </c>
      <c r="W250" s="4" t="n">
        <v>1296</v>
      </c>
      <c r="X250" s="3" t="inlineStr">
        <is>
          <t>철근콘크리트구조</t>
        </is>
      </c>
      <c r="Y250" s="3" t="inlineStr">
        <is>
          <t>공동주택</t>
        </is>
      </c>
      <c r="Z250" s="3" t="inlineStr">
        <is>
          <t>45.30m</t>
        </is>
      </c>
      <c r="AA250" s="3" t="inlineStr">
        <is>
          <t>2021-08-20</t>
        </is>
      </c>
    </row>
    <row r="251">
      <c r="A251" s="3" t="inlineStr">
        <is>
          <t>세종특별자치시 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HYPERLINK("https://map.naver.com/p/search/세종특별자치시 나성동 829", "지도Link")</f>
        <v/>
      </c>
      <c r="S251" s="6">
        <f>HYPERLINK("http://www.eum.go.kr/web/ar/lu/luLandDet.jsp?pnu=3611010700108290000&amp;isNoScr=script&amp;mode=search", "토지이음")</f>
        <v/>
      </c>
      <c r="T251" s="3" t="inlineStr">
        <is>
          <t>삼성사무소</t>
        </is>
      </c>
      <c r="U251" s="3" t="n">
        <v>1</v>
      </c>
      <c r="V251" s="3" t="inlineStr">
        <is>
          <t>공동주택 주민공동시설</t>
        </is>
      </c>
      <c r="W251" s="4" t="n">
        <v>214</v>
      </c>
      <c r="X251" s="3" t="inlineStr">
        <is>
          <t>철근콘크리트구조</t>
        </is>
      </c>
      <c r="Y251" s="3" t="inlineStr">
        <is>
          <t>공동주택</t>
        </is>
      </c>
      <c r="Z251" s="3" t="inlineStr">
        <is>
          <t>-m</t>
        </is>
      </c>
      <c r="AA251" s="3" t="inlineStr">
        <is>
          <t>2021-08-20</t>
        </is>
      </c>
    </row>
    <row r="252">
      <c r="A252" s="3" t="inlineStr">
        <is>
          <t>세종특별자치시 나성동 829</t>
        </is>
      </c>
      <c r="B252" s="3" t="inlineStr">
        <is>
          <t>중심상업지역</t>
        </is>
      </c>
      <c r="C252" s="3" t="inlineStr">
        <is>
          <t>대</t>
        </is>
      </c>
      <c r="D252" s="3" t="inlineStr">
        <is>
          <t>공장</t>
        </is>
      </c>
      <c r="E252" s="3" t="inlineStr">
        <is>
          <t>매매</t>
        </is>
      </c>
      <c r="F252" s="4" t="n">
        <v>500000</v>
      </c>
      <c r="G252" s="4" t="n">
        <v>0</v>
      </c>
      <c r="H252" s="4" t="n">
        <v>5517</v>
      </c>
      <c r="I252" s="4" t="n">
        <v>1669</v>
      </c>
      <c r="J252" s="5" t="n">
        <v>299.6</v>
      </c>
      <c r="K252" s="4" t="n">
        <v>2217</v>
      </c>
      <c r="L252" s="4" t="n">
        <v>671</v>
      </c>
      <c r="M252" s="5" t="n">
        <v>745.2</v>
      </c>
      <c r="N252" s="3" t="inlineStr">
        <is>
          <t>2</t>
        </is>
      </c>
      <c r="O252" s="3" t="inlineStr">
        <is>
          <t>-</t>
        </is>
      </c>
      <c r="P252" s="3" t="inlineStr">
        <is>
          <t>황탄리공장 건물총4동 전체 일괄매각 태양광매각비용별도 월별도수익있어요</t>
        </is>
      </c>
      <c r="Q252" s="6">
        <f>HYPERLINK("https://fin.land.naver.com/articles/2649782299", "매물Link")</f>
        <v/>
      </c>
      <c r="R252" s="6">
        <f>HYPERLINK("https://map.naver.com/p/search/세종특별자치시 나성동 829", "지도Link")</f>
        <v/>
      </c>
      <c r="S252" s="6">
        <f>HYPERLINK("http://www.eum.go.kr/web/ar/lu/luLandDet.jsp?pnu=3611010700108290000&amp;isNoScr=script&amp;mode=search", "토지이음")</f>
        <v/>
      </c>
      <c r="T252" s="3" t="inlineStr">
        <is>
          <t>자이원</t>
        </is>
      </c>
      <c r="U252" s="3" t="n">
        <v>1</v>
      </c>
      <c r="V252" s="3" t="inlineStr">
        <is>
          <t>근린생활시설 지하주차장</t>
        </is>
      </c>
      <c r="W252" s="4" t="n">
        <v>2217</v>
      </c>
      <c r="X252" s="3" t="inlineStr">
        <is>
          <t>철근콘크리트구조</t>
        </is>
      </c>
      <c r="Y252" s="3" t="inlineStr">
        <is>
          <t>제2종근린생활시설</t>
        </is>
      </c>
      <c r="Z252" s="3" t="inlineStr">
        <is>
          <t>-m</t>
        </is>
      </c>
      <c r="AA252" s="3" t="inlineStr">
        <is>
          <t>2021-08-20</t>
        </is>
      </c>
    </row>
    <row r="253">
      <c r="A253" s="3" t="inlineStr">
        <is>
          <t>세종특별자치시 나성동 829</t>
        </is>
      </c>
      <c r="B253" s="3" t="inlineStr">
        <is>
          <t>중심상업지역</t>
        </is>
      </c>
      <c r="C253" s="3" t="inlineStr">
        <is>
          <t>대</t>
        </is>
      </c>
      <c r="D253" s="3" t="inlineStr">
        <is>
          <t>창고</t>
        </is>
      </c>
      <c r="E253" s="3" t="inlineStr">
        <is>
          <t>월세</t>
        </is>
      </c>
      <c r="F253" s="4" t="n">
        <v>10000</v>
      </c>
      <c r="G253" s="4" t="n">
        <v>720</v>
      </c>
      <c r="H253" s="4" t="n">
        <v>13511</v>
      </c>
      <c r="I253" s="4" t="n">
        <v>4087</v>
      </c>
      <c r="J253" s="5" t="n">
        <v>0.2</v>
      </c>
      <c r="K253" s="4" t="n">
        <v>1080</v>
      </c>
      <c r="L253" s="4" t="n">
        <v>327</v>
      </c>
      <c r="M253" s="5" t="n">
        <v>2.2</v>
      </c>
      <c r="N253" s="3" t="inlineStr">
        <is>
          <t>1</t>
        </is>
      </c>
      <c r="O253" s="3" t="inlineStr">
        <is>
          <t>-</t>
        </is>
      </c>
      <c r="P253" s="3" t="inlineStr">
        <is>
          <t>논산IC, 연무IC 차량시간 약 15분, 신축 대형건물</t>
        </is>
      </c>
      <c r="Q253" s="6">
        <f>HYPERLINK("https://fin.land.naver.com/articles/2650151211", "매물Link")</f>
        <v/>
      </c>
      <c r="R253" s="6">
        <f>HYPERLINK("https://map.naver.com/p/search/세종특별자치시 나성동 829", "지도Link")</f>
        <v/>
      </c>
      <c r="S253" s="6">
        <f>HYPERLINK("http://www.eum.go.kr/web/ar/lu/luLandDet.jsp?pnu=3611010700108290000&amp;isNoScr=script&amp;mode=search", "토지이음")</f>
        <v/>
      </c>
      <c r="T253" s="3" t="inlineStr">
        <is>
          <t>미래로</t>
        </is>
      </c>
      <c r="U253" s="3" t="n">
        <v>1</v>
      </c>
      <c r="V253" s="3" t="inlineStr">
        <is>
          <t>604</t>
        </is>
      </c>
      <c r="W253" s="4" t="n">
        <v>1080</v>
      </c>
      <c r="X253" s="3" t="inlineStr">
        <is>
          <t>철근콘크리트구조</t>
        </is>
      </c>
      <c r="Y253" s="3" t="inlineStr">
        <is>
          <t>공동주택</t>
        </is>
      </c>
      <c r="Z253" s="3" t="inlineStr">
        <is>
          <t>38.30m</t>
        </is>
      </c>
      <c r="AA253" s="3" t="inlineStr">
        <is>
          <t>2021-08-20</t>
        </is>
      </c>
    </row>
    <row r="254">
      <c r="A254" s="3" t="inlineStr">
        <is>
          <t>세종특별자치시 나성동 829</t>
        </is>
      </c>
      <c r="B254" s="3" t="inlineStr">
        <is>
          <t>중심상업지역</t>
        </is>
      </c>
      <c r="C254" s="3" t="inlineStr">
        <is>
          <t>대</t>
        </is>
      </c>
      <c r="D254" s="3" t="inlineStr">
        <is>
          <t>공장</t>
        </is>
      </c>
      <c r="E254" s="3" t="inlineStr">
        <is>
          <t>매매</t>
        </is>
      </c>
      <c r="F254" s="4" t="n">
        <v>105000</v>
      </c>
      <c r="G254" s="4" t="n">
        <v>0</v>
      </c>
      <c r="H254" s="4" t="n">
        <v>986</v>
      </c>
      <c r="I254" s="4" t="n">
        <v>298</v>
      </c>
      <c r="J254" s="5" t="n">
        <v>352.3</v>
      </c>
      <c r="K254" s="4" t="n">
        <v>336</v>
      </c>
      <c r="L254" s="4" t="n">
        <v>102</v>
      </c>
      <c r="M254" s="5" t="n">
        <v>1029.4</v>
      </c>
      <c r="N254" s="3" t="inlineStr">
        <is>
          <t>1</t>
        </is>
      </c>
      <c r="O254" s="3" t="inlineStr">
        <is>
          <t>-</t>
        </is>
      </c>
      <c r="P254" s="3" t="inlineStr">
        <is>
          <t>논산IC 인근 준신축 근생형 공장, 호이스트 보유</t>
        </is>
      </c>
      <c r="Q254" s="6">
        <f>HYPERLINK("https://fin.land.naver.com/articles/2645788151", "매물Link")</f>
        <v/>
      </c>
      <c r="R254" s="6">
        <f>HYPERLINK("https://map.naver.com/p/search/세종특별자치시 나성동 829", "지도Link")</f>
        <v/>
      </c>
      <c r="S254" s="6">
        <f>HYPERLINK("http://www.eum.go.kr/web/ar/lu/luLandDet.jsp?pnu=3611010700108290000&amp;isNoScr=script&amp;mode=search", "토지이음")</f>
        <v/>
      </c>
      <c r="T254" s="3" t="inlineStr">
        <is>
          <t>SK랜드</t>
        </is>
      </c>
      <c r="U254" s="3" t="n">
        <v>1</v>
      </c>
      <c r="V254" s="3" t="inlineStr">
        <is>
          <t>801</t>
        </is>
      </c>
      <c r="W254" s="4" t="n">
        <v>336</v>
      </c>
      <c r="X254" s="3" t="inlineStr">
        <is>
          <t>철근콘크리트구조</t>
        </is>
      </c>
      <c r="Y254" s="3" t="inlineStr">
        <is>
          <t>제2종근린생활시설</t>
        </is>
      </c>
      <c r="Z254" s="3" t="inlineStr">
        <is>
          <t>-m</t>
        </is>
      </c>
      <c r="AA254" s="3" t="inlineStr">
        <is>
          <t>2021-08-20</t>
        </is>
      </c>
    </row>
    <row r="255">
      <c r="A255" s="3" t="inlineStr">
        <is>
          <t>세종특별자치시 나성동 829</t>
        </is>
      </c>
      <c r="B255" s="3" t="inlineStr">
        <is>
          <t>중심상업지역</t>
        </is>
      </c>
      <c r="C255" s="3" t="inlineStr">
        <is>
          <t>대</t>
        </is>
      </c>
      <c r="D255" s="3" t="inlineStr">
        <is>
          <t>창고</t>
        </is>
      </c>
      <c r="E255" s="3" t="inlineStr">
        <is>
          <t>월세</t>
        </is>
      </c>
      <c r="F255" s="4" t="n">
        <v>10000</v>
      </c>
      <c r="G255" s="4" t="n">
        <v>0</v>
      </c>
      <c r="H255" s="4" t="n">
        <v>5630</v>
      </c>
      <c r="I255" s="4" t="n">
        <v>1703</v>
      </c>
      <c r="J255" s="5" t="n">
        <v>0</v>
      </c>
      <c r="K255" s="4" t="n">
        <v>2264</v>
      </c>
      <c r="L255" s="4" t="n">
        <v>685</v>
      </c>
      <c r="M255" s="5" t="n">
        <v>0</v>
      </c>
      <c r="N255" s="3" t="inlineStr">
        <is>
          <t>1</t>
        </is>
      </c>
      <c r="O255" s="3" t="inlineStr">
        <is>
          <t>-</t>
        </is>
      </c>
      <c r="P255" s="3" t="inlineStr">
        <is>
          <t>사진, 연무,논산IC10분, 도크시설, 4단렉설치,층고10M,신축급</t>
        </is>
      </c>
      <c r="Q255" s="6">
        <f>HYPERLINK("https://fin.land.naver.com/articles/2646860841", "매물Link")</f>
        <v/>
      </c>
      <c r="R255" s="6">
        <f>HYPERLINK("https://map.naver.com/p/search/세종특별자치시 나성동 829", "지도Link")</f>
        <v/>
      </c>
      <c r="S255" s="6">
        <f>HYPERLINK("http://www.eum.go.kr/web/ar/lu/luLandDet.jsp?pnu=3611010700108290000&amp;isNoScr=script&amp;mode=search", "토지이음")</f>
        <v/>
      </c>
      <c r="T255" s="3" t="inlineStr">
        <is>
          <t>OK허니</t>
        </is>
      </c>
      <c r="U255" s="3" t="n">
        <v>1</v>
      </c>
      <c r="V255" s="3" t="inlineStr">
        <is>
          <t>근린생활시설 지하주차장</t>
        </is>
      </c>
      <c r="W255" s="4" t="n">
        <v>2264</v>
      </c>
      <c r="X255" s="3" t="inlineStr">
        <is>
          <t>철근콘크리트구조</t>
        </is>
      </c>
      <c r="Y255" s="3" t="inlineStr">
        <is>
          <t>제2종근린생활시설</t>
        </is>
      </c>
      <c r="Z255" s="3" t="inlineStr">
        <is>
          <t>-m</t>
        </is>
      </c>
      <c r="AA255" s="3" t="inlineStr">
        <is>
          <t>2021-08-20</t>
        </is>
      </c>
    </row>
    <row r="256">
      <c r="A256" s="3" t="inlineStr">
        <is>
          <t>세종특별자치시 나성동 829</t>
        </is>
      </c>
      <c r="B256" s="3" t="inlineStr">
        <is>
          <t>중심상업지역</t>
        </is>
      </c>
      <c r="C256" s="3" t="inlineStr">
        <is>
          <t>대</t>
        </is>
      </c>
      <c r="D256" s="3" t="inlineStr">
        <is>
          <t>창고</t>
        </is>
      </c>
      <c r="E256" s="3" t="inlineStr">
        <is>
          <t>월세</t>
        </is>
      </c>
      <c r="F256" s="4" t="n">
        <v>10000</v>
      </c>
      <c r="G256" s="4" t="n">
        <v>780</v>
      </c>
      <c r="H256" s="4" t="n">
        <v>3000</v>
      </c>
      <c r="I256" s="4" t="n">
        <v>908</v>
      </c>
      <c r="J256" s="5" t="n">
        <v>0.9</v>
      </c>
      <c r="K256" s="4" t="n">
        <v>1170</v>
      </c>
      <c r="L256" s="4" t="n">
        <v>354</v>
      </c>
      <c r="M256" s="5" t="n">
        <v>2.2</v>
      </c>
      <c r="N256" s="3" t="inlineStr">
        <is>
          <t>1</t>
        </is>
      </c>
      <c r="O256" s="3" t="inlineStr">
        <is>
          <t>-</t>
        </is>
      </c>
      <c r="P256" s="3" t="inlineStr">
        <is>
          <t>사진, 연무,논산IC10분, 도크시설, 4단렉설치,층고10M,신축급</t>
        </is>
      </c>
      <c r="Q256" s="6">
        <f>HYPERLINK("https://fin.land.naver.com/articles/2646861195", "매물Link")</f>
        <v/>
      </c>
      <c r="R256" s="6">
        <f>HYPERLINK("https://map.naver.com/p/search/세종특별자치시 나성동 829", "지도Link")</f>
        <v/>
      </c>
      <c r="S256" s="6">
        <f>HYPERLINK("http://www.eum.go.kr/web/ar/lu/luLandDet.jsp?pnu=3611010700108290000&amp;isNoScr=script&amp;mode=search", "토지이음")</f>
        <v/>
      </c>
      <c r="T256" s="3" t="inlineStr">
        <is>
          <t>OK허니</t>
        </is>
      </c>
      <c r="U256" s="3" t="n">
        <v>1</v>
      </c>
      <c r="V256" s="3" t="inlineStr">
        <is>
          <t>605</t>
        </is>
      </c>
      <c r="W256" s="4" t="n">
        <v>1170</v>
      </c>
      <c r="X256" s="3" t="inlineStr">
        <is>
          <t>철근콘크리트구조</t>
        </is>
      </c>
      <c r="Y256" s="3" t="inlineStr">
        <is>
          <t>공동주택</t>
        </is>
      </c>
      <c r="Z256" s="3" t="inlineStr">
        <is>
          <t>45.30m</t>
        </is>
      </c>
      <c r="AA256" s="3" t="inlineStr">
        <is>
          <t>2021-08-20</t>
        </is>
      </c>
    </row>
    <row r="257">
      <c r="A257" s="3" t="inlineStr">
        <is>
          <t>세종특별자치시 나성동 829</t>
        </is>
      </c>
      <c r="B257" s="3" t="inlineStr">
        <is>
          <t>중심상업지역</t>
        </is>
      </c>
      <c r="C257" s="3" t="inlineStr">
        <is>
          <t>대</t>
        </is>
      </c>
      <c r="D257" s="3" t="inlineStr">
        <is>
          <t>공장</t>
        </is>
      </c>
      <c r="E257" s="3" t="inlineStr">
        <is>
          <t>월세</t>
        </is>
      </c>
      <c r="F257" s="4" t="n">
        <v>10000</v>
      </c>
      <c r="G257" s="4" t="n">
        <v>0</v>
      </c>
      <c r="H257" s="4" t="n">
        <v>55297</v>
      </c>
      <c r="I257" s="4" t="n">
        <v>16727</v>
      </c>
      <c r="J257" s="5" t="n">
        <v>0</v>
      </c>
      <c r="K257" s="4" t="n">
        <v>21500</v>
      </c>
      <c r="L257" s="4" t="n">
        <v>6504</v>
      </c>
      <c r="M257" s="5" t="n">
        <v>0</v>
      </c>
      <c r="N257" s="3" t="inlineStr">
        <is>
          <t>1</t>
        </is>
      </c>
      <c r="O257" s="3" t="inlineStr">
        <is>
          <t>-</t>
        </is>
      </c>
      <c r="P257" s="3" t="inlineStr">
        <is>
          <t>nan</t>
        </is>
      </c>
      <c r="Q257" s="6">
        <f>HYPERLINK("https://fin.land.naver.com/articles/2647097064", "매물Link")</f>
        <v/>
      </c>
      <c r="R257" s="6">
        <f>HYPERLINK("https://map.naver.com/p/search/세종특별자치시 나성동 829", "지도Link")</f>
        <v/>
      </c>
      <c r="S257" s="6">
        <f>HYPERLINK("http://www.eum.go.kr/web/ar/lu/luLandDet.jsp?pnu=3611010700108290000&amp;isNoScr=script&amp;mode=search", "토지이음")</f>
        <v/>
      </c>
      <c r="T257" s="3" t="inlineStr">
        <is>
          <t>유한회사대덕중개법인사무소</t>
        </is>
      </c>
      <c r="U257" s="3" t="n">
        <v>1</v>
      </c>
      <c r="V257" s="3" t="inlineStr">
        <is>
          <t>공동주택 지하주차장</t>
        </is>
      </c>
      <c r="W257" s="4" t="n">
        <v>21500</v>
      </c>
      <c r="X257" s="3" t="inlineStr">
        <is>
          <t>철근콘크리트구조</t>
        </is>
      </c>
      <c r="Y257" s="3" t="inlineStr">
        <is>
          <t>공동주택</t>
        </is>
      </c>
      <c r="Z257" s="3" t="inlineStr">
        <is>
          <t>-m</t>
        </is>
      </c>
      <c r="AA257" s="3" t="inlineStr">
        <is>
          <t>2021-08-20</t>
        </is>
      </c>
    </row>
    <row r="258">
      <c r="A258" s="3" t="inlineStr">
        <is>
          <t>세종특별자치시 나성동 829</t>
        </is>
      </c>
      <c r="B258" s="3" t="inlineStr">
        <is>
          <t>중심상업지역</t>
        </is>
      </c>
      <c r="C258" s="3" t="inlineStr">
        <is>
          <t>대</t>
        </is>
      </c>
      <c r="D258" s="3" t="inlineStr">
        <is>
          <t>창고</t>
        </is>
      </c>
      <c r="E258" s="3" t="inlineStr">
        <is>
          <t>월세</t>
        </is>
      </c>
      <c r="F258" s="4" t="n">
        <v>10000</v>
      </c>
      <c r="G258" s="4" t="n">
        <v>720</v>
      </c>
      <c r="H258" s="4" t="n">
        <v>3000</v>
      </c>
      <c r="I258" s="4" t="n">
        <v>908</v>
      </c>
      <c r="J258" s="5" t="n">
        <v>0.8</v>
      </c>
      <c r="K258" s="4" t="n">
        <v>1080</v>
      </c>
      <c r="L258" s="4" t="n">
        <v>327</v>
      </c>
      <c r="M258" s="5" t="n">
        <v>2.2</v>
      </c>
      <c r="N258" s="3" t="inlineStr">
        <is>
          <t>1</t>
        </is>
      </c>
      <c r="O258" s="3" t="inlineStr">
        <is>
          <t>-</t>
        </is>
      </c>
      <c r="P258" s="3" t="inlineStr">
        <is>
          <t>사진,  도크시설, 4단렉설치,연무,논산IC10분,층고10M,신축급</t>
        </is>
      </c>
      <c r="Q258" s="6">
        <f>HYPERLINK("https://fin.land.naver.com/articles/2648415540", "매물Link")</f>
        <v/>
      </c>
      <c r="R258" s="6">
        <f>HYPERLINK("https://map.naver.com/p/search/세종특별자치시 나성동 829", "지도Link")</f>
        <v/>
      </c>
      <c r="S258" s="6">
        <f>HYPERLINK("http://www.eum.go.kr/web/ar/lu/luLandDet.jsp?pnu=3611010700108290000&amp;isNoScr=script&amp;mode=search", "토지이음")</f>
        <v/>
      </c>
      <c r="T258" s="3" t="inlineStr">
        <is>
          <t>OK허니</t>
        </is>
      </c>
      <c r="U258" s="3" t="n">
        <v>1</v>
      </c>
      <c r="V258" s="3" t="inlineStr">
        <is>
          <t>604</t>
        </is>
      </c>
      <c r="W258" s="4" t="n">
        <v>1080</v>
      </c>
      <c r="X258" s="3" t="inlineStr">
        <is>
          <t>철근콘크리트구조</t>
        </is>
      </c>
      <c r="Y258" s="3" t="inlineStr">
        <is>
          <t>공동주택</t>
        </is>
      </c>
      <c r="Z258" s="3" t="inlineStr">
        <is>
          <t>38.30m</t>
        </is>
      </c>
      <c r="AA258" s="3" t="inlineStr">
        <is>
          <t>2021-08-20</t>
        </is>
      </c>
    </row>
    <row r="259">
      <c r="A259" s="3" t="inlineStr">
        <is>
          <t>세종특별자치시 나성동 829</t>
        </is>
      </c>
      <c r="B259" s="3" t="inlineStr">
        <is>
          <t>중심상업지역</t>
        </is>
      </c>
      <c r="C259" s="3" t="inlineStr">
        <is>
          <t>대</t>
        </is>
      </c>
      <c r="D259" s="3" t="inlineStr">
        <is>
          <t>창고</t>
        </is>
      </c>
      <c r="E259" s="3" t="inlineStr">
        <is>
          <t>월세</t>
        </is>
      </c>
      <c r="F259" s="4" t="n">
        <v>300</v>
      </c>
      <c r="G259" s="4" t="n">
        <v>25</v>
      </c>
      <c r="H259" s="4" t="n">
        <v>154</v>
      </c>
      <c r="I259" s="4" t="n">
        <v>47</v>
      </c>
      <c r="J259" s="5" t="n">
        <v>0.5</v>
      </c>
      <c r="K259" s="4" t="n">
        <v>79</v>
      </c>
      <c r="L259" s="4" t="n">
        <v>24</v>
      </c>
      <c r="M259" s="5" t="n">
        <v>1</v>
      </c>
      <c r="N259" s="3" t="inlineStr">
        <is>
          <t>1</t>
        </is>
      </c>
      <c r="O259" s="3" t="inlineStr">
        <is>
          <t>-</t>
        </is>
      </c>
      <c r="P259" s="3" t="inlineStr">
        <is>
          <t>사무실겸용</t>
        </is>
      </c>
      <c r="Q259" s="6">
        <f>HYPERLINK("https://fin.land.naver.com/articles/2650175179", "매물Link")</f>
        <v/>
      </c>
      <c r="R259" s="6">
        <f>HYPERLINK("https://map.naver.com/p/search/세종특별자치시 나성동 829", "지도Link")</f>
        <v/>
      </c>
      <c r="S259" s="6">
        <f>HYPERLINK("http://www.eum.go.kr/web/ar/lu/luLandDet.jsp?pnu=3611010700108290000&amp;isNoScr=script&amp;mode=search", "토지이음")</f>
        <v/>
      </c>
      <c r="T259" s="3" t="inlineStr">
        <is>
          <t>대림모닝</t>
        </is>
      </c>
      <c r="U259" s="3" t="n">
        <v>1</v>
      </c>
      <c r="V259" s="3" t="inlineStr">
        <is>
          <t>공동주택 바이크스테이션</t>
        </is>
      </c>
      <c r="W259" s="4" t="n">
        <v>79</v>
      </c>
      <c r="X259" s="3" t="inlineStr">
        <is>
          <t>철근콘크리트구조</t>
        </is>
      </c>
      <c r="Y259" s="3" t="inlineStr">
        <is>
          <t>공동주택</t>
        </is>
      </c>
      <c r="Z259" s="3" t="inlineStr">
        <is>
          <t>-m</t>
        </is>
      </c>
      <c r="AA259" s="3" t="inlineStr">
        <is>
          <t>2021-08-20</t>
        </is>
      </c>
    </row>
    <row r="260">
      <c r="A260" s="3" t="inlineStr">
        <is>
          <t>세종특별자치시 나성동 829</t>
        </is>
      </c>
      <c r="B260" s="3" t="inlineStr">
        <is>
          <t>중심상업지역</t>
        </is>
      </c>
      <c r="C260" s="3" t="inlineStr">
        <is>
          <t>대</t>
        </is>
      </c>
      <c r="D260" s="3" t="inlineStr">
        <is>
          <t>창고</t>
        </is>
      </c>
      <c r="E260" s="3" t="inlineStr">
        <is>
          <t>매매</t>
        </is>
      </c>
      <c r="F260" s="4" t="n">
        <v>200000</v>
      </c>
      <c r="G260" s="4" t="n">
        <v>0</v>
      </c>
      <c r="H260" s="4" t="n">
        <v>3984</v>
      </c>
      <c r="I260" s="4" t="n">
        <v>1205</v>
      </c>
      <c r="J260" s="5" t="n">
        <v>166</v>
      </c>
      <c r="K260" s="4" t="n">
        <v>330</v>
      </c>
      <c r="L260" s="4" t="n">
        <v>100</v>
      </c>
      <c r="M260" s="5" t="n">
        <v>2000</v>
      </c>
      <c r="N260" s="3" t="inlineStr">
        <is>
          <t>1</t>
        </is>
      </c>
      <c r="O260" s="3" t="inlineStr">
        <is>
          <t>B1</t>
        </is>
      </c>
      <c r="P260" s="3" t="inlineStr">
        <is>
          <t>IC이동 가까운 곳으로 현 창고로 임대중  주변 농지와 창고용지</t>
        </is>
      </c>
      <c r="Q260" s="6">
        <f>HYPERLINK("https://fin.land.naver.com/articles/2645166884", "매물Link")</f>
        <v/>
      </c>
      <c r="R260" s="6">
        <f>HYPERLINK("https://map.naver.com/p/search/세종특별자치시 나성동 829", "지도Link")</f>
        <v/>
      </c>
      <c r="S260" s="6">
        <f>HYPERLINK("http://www.eum.go.kr/web/ar/lu/luLandDet.jsp?pnu=3611010700108290000&amp;isNoScr=script&amp;mode=search", "토지이음")</f>
        <v/>
      </c>
      <c r="T260" s="3" t="inlineStr">
        <is>
          <t>해들마루</t>
        </is>
      </c>
      <c r="U260" s="3" t="n">
        <v>1</v>
      </c>
      <c r="V260" s="3" t="inlineStr">
        <is>
          <t>801</t>
        </is>
      </c>
      <c r="W260" s="4" t="n">
        <v>330</v>
      </c>
      <c r="X260" s="3" t="inlineStr">
        <is>
          <t>철근콘크리트구조</t>
        </is>
      </c>
      <c r="Y260" s="3" t="inlineStr">
        <is>
          <t>제2종근린생활시설</t>
        </is>
      </c>
      <c r="Z260" s="3" t="inlineStr">
        <is>
          <t>-m</t>
        </is>
      </c>
      <c r="AA260" s="3" t="inlineStr">
        <is>
          <t>2021-08-20</t>
        </is>
      </c>
    </row>
    <row r="261">
      <c r="A261" s="3" t="inlineStr">
        <is>
          <t>세종특별자치시 나성동 829</t>
        </is>
      </c>
      <c r="B261" s="3" t="inlineStr">
        <is>
          <t>중심상업지역</t>
        </is>
      </c>
      <c r="C261" s="3" t="inlineStr">
        <is>
          <t>대</t>
        </is>
      </c>
      <c r="D261" s="3" t="inlineStr">
        <is>
          <t>공장</t>
        </is>
      </c>
      <c r="E261" s="3" t="inlineStr">
        <is>
          <t>매매</t>
        </is>
      </c>
      <c r="F261" s="4" t="n">
        <v>100000</v>
      </c>
      <c r="G261" s="4" t="n">
        <v>0</v>
      </c>
      <c r="H261" s="4" t="n">
        <v>3040</v>
      </c>
      <c r="I261" s="4" t="n">
        <v>920</v>
      </c>
      <c r="J261" s="5" t="n">
        <v>108.7</v>
      </c>
      <c r="K261" s="4" t="n">
        <v>588</v>
      </c>
      <c r="L261" s="4" t="n">
        <v>178</v>
      </c>
      <c r="M261" s="5" t="n">
        <v>561.8</v>
      </c>
      <c r="N261" s="3" t="inlineStr">
        <is>
          <t>1</t>
        </is>
      </c>
      <c r="O261" s="3" t="inlineStr">
        <is>
          <t>-</t>
        </is>
      </c>
      <c r="P261" s="3" t="inlineStr">
        <is>
          <t>2차선 도로변에 접한 2016년 준공된 공장</t>
        </is>
      </c>
      <c r="Q261" s="6">
        <f>HYPERLINK("https://fin.land.naver.com/articles/2646695339", "매물Link")</f>
        <v/>
      </c>
      <c r="R261" s="6">
        <f>HYPERLINK("https://map.naver.com/p/search/세종특별자치시 나성동 829", "지도Link")</f>
        <v/>
      </c>
      <c r="S261" s="6">
        <f>HYPERLINK("http://www.eum.go.kr/web/ar/lu/luLandDet.jsp?pnu=3611010700108290000&amp;isNoScr=script&amp;mode=search", "토지이음")</f>
        <v/>
      </c>
      <c r="T261" s="3" t="inlineStr">
        <is>
          <t>왕중왕기업</t>
        </is>
      </c>
      <c r="U261" s="3" t="n">
        <v>1</v>
      </c>
      <c r="V261" s="3" t="inlineStr">
        <is>
          <t>803</t>
        </is>
      </c>
      <c r="W261" s="4" t="n">
        <v>588</v>
      </c>
      <c r="X261" s="3" t="inlineStr">
        <is>
          <t>철근콘크리트구조</t>
        </is>
      </c>
      <c r="Y261" s="3" t="inlineStr">
        <is>
          <t>제2종근린생활시설</t>
        </is>
      </c>
      <c r="Z261" s="3" t="inlineStr">
        <is>
          <t>-m</t>
        </is>
      </c>
      <c r="AA261" s="3" t="inlineStr">
        <is>
          <t>2021-08-20</t>
        </is>
      </c>
    </row>
    <row r="262">
      <c r="A262" s="3" t="inlineStr">
        <is>
          <t>세종특별자치시 나성동 829</t>
        </is>
      </c>
      <c r="B262" s="3" t="inlineStr">
        <is>
          <t>중심상업지역</t>
        </is>
      </c>
      <c r="C262" s="3" t="inlineStr">
        <is>
          <t>대</t>
        </is>
      </c>
      <c r="D262" s="3" t="inlineStr">
        <is>
          <t>공장</t>
        </is>
      </c>
      <c r="E262" s="3" t="inlineStr">
        <is>
          <t>매매</t>
        </is>
      </c>
      <c r="F262" s="4" t="n">
        <v>300000</v>
      </c>
      <c r="G262" s="4" t="n">
        <v>0</v>
      </c>
      <c r="H262" s="4" t="n">
        <v>8266</v>
      </c>
      <c r="I262" s="4" t="n">
        <v>2500</v>
      </c>
      <c r="J262" s="5" t="n">
        <v>120</v>
      </c>
      <c r="K262" s="4" t="n">
        <v>2057</v>
      </c>
      <c r="L262" s="4" t="n">
        <v>622</v>
      </c>
      <c r="M262" s="5" t="n">
        <v>482.3</v>
      </c>
      <c r="N262" s="3" t="inlineStr">
        <is>
          <t>1</t>
        </is>
      </c>
      <c r="O262" s="3" t="inlineStr">
        <is>
          <t>-</t>
        </is>
      </c>
      <c r="P262" s="3" t="inlineStr">
        <is>
          <t>논산 공장매매, 논산 ic  1km 이내의 거리</t>
        </is>
      </c>
      <c r="Q262" s="6">
        <f>HYPERLINK("https://fin.land.naver.com/articles/2646694991", "매물Link")</f>
        <v/>
      </c>
      <c r="R262" s="6">
        <f>HYPERLINK("https://map.naver.com/p/search/세종특별자치시 나성동 829", "지도Link")</f>
        <v/>
      </c>
      <c r="S262" s="6">
        <f>HYPERLINK("http://www.eum.go.kr/web/ar/lu/luLandDet.jsp?pnu=3611010700108290000&amp;isNoScr=script&amp;mode=search", "토지이음")</f>
        <v/>
      </c>
      <c r="T262" s="3" t="inlineStr">
        <is>
          <t>왕중왕기업</t>
        </is>
      </c>
      <c r="U262" s="3" t="n">
        <v>1</v>
      </c>
      <c r="V262" s="3" t="inlineStr">
        <is>
          <t>901(전망공간)</t>
        </is>
      </c>
      <c r="W262" s="4" t="n">
        <v>2057</v>
      </c>
      <c r="X262" s="3" t="inlineStr">
        <is>
          <t>철근콘크리트구조</t>
        </is>
      </c>
      <c r="Y262" s="3" t="inlineStr">
        <is>
          <t>제2종근린생활시설</t>
        </is>
      </c>
      <c r="Z262" s="3" t="inlineStr">
        <is>
          <t>-m</t>
        </is>
      </c>
      <c r="AA262" s="3" t="inlineStr">
        <is>
          <t>2021-08-20</t>
        </is>
      </c>
    </row>
    <row r="263">
      <c r="A263" s="3" t="inlineStr">
        <is>
          <t>세종특별자치시 나성동 829</t>
        </is>
      </c>
      <c r="B263" s="3" t="inlineStr">
        <is>
          <t>중심상업지역</t>
        </is>
      </c>
      <c r="C263" s="3" t="inlineStr">
        <is>
          <t>대</t>
        </is>
      </c>
      <c r="D263" s="3" t="inlineStr">
        <is>
          <t>창고</t>
        </is>
      </c>
      <c r="E263" s="3" t="inlineStr">
        <is>
          <t>월세</t>
        </is>
      </c>
      <c r="F263" s="4" t="n">
        <v>2000</v>
      </c>
      <c r="G263" s="4" t="n">
        <v>110</v>
      </c>
      <c r="H263" s="4" t="n">
        <v>1145</v>
      </c>
      <c r="I263" s="4" t="n">
        <v>346</v>
      </c>
      <c r="J263" s="5" t="n">
        <v>0.3</v>
      </c>
      <c r="K263" s="4" t="n">
        <v>198</v>
      </c>
      <c r="L263" s="4" t="n">
        <v>60</v>
      </c>
      <c r="M263" s="5" t="n">
        <v>1.8</v>
      </c>
      <c r="N263" s="3" t="inlineStr">
        <is>
          <t>1</t>
        </is>
      </c>
      <c r="O263" s="3" t="inlineStr">
        <is>
          <t>-</t>
        </is>
      </c>
      <c r="P263" s="3" t="inlineStr">
        <is>
          <t>사진, 전기30k,마당있음, 서논산IC2분, 신축, 층고6m, 대형차가능</t>
        </is>
      </c>
      <c r="Q263" s="6">
        <f>HYPERLINK("https://fin.land.naver.com/articles/2648411475", "매물Link")</f>
        <v/>
      </c>
      <c r="R263" s="6">
        <f>HYPERLINK("https://map.naver.com/p/search/세종특별자치시 나성동 829", "지도Link")</f>
        <v/>
      </c>
      <c r="S263" s="6">
        <f>HYPERLINK("http://www.eum.go.kr/web/ar/lu/luLandDet.jsp?pnu=3611010700108290000&amp;isNoScr=script&amp;mode=search", "토지이음")</f>
        <v/>
      </c>
      <c r="T263" s="3" t="inlineStr">
        <is>
          <t>OK허니</t>
        </is>
      </c>
      <c r="U263" s="3" t="n">
        <v>1</v>
      </c>
      <c r="V263" s="3" t="inlineStr">
        <is>
          <t>공동주택 주민공동시설</t>
        </is>
      </c>
      <c r="W263" s="4" t="n">
        <v>198</v>
      </c>
      <c r="X263" s="3" t="inlineStr">
        <is>
          <t>철근콘크리트구조</t>
        </is>
      </c>
      <c r="Y263" s="3" t="inlineStr">
        <is>
          <t>공동주택</t>
        </is>
      </c>
      <c r="Z263" s="3" t="inlineStr">
        <is>
          <t>-m</t>
        </is>
      </c>
      <c r="AA263" s="3" t="inlineStr">
        <is>
          <t>2021-08-20</t>
        </is>
      </c>
    </row>
    <row r="264">
      <c r="A264" s="3" t="inlineStr">
        <is>
          <t>세종특별자치시 나성동 829</t>
        </is>
      </c>
      <c r="B264" s="3" t="inlineStr">
        <is>
          <t>중심상업지역</t>
        </is>
      </c>
      <c r="C264" s="3" t="inlineStr">
        <is>
          <t>대</t>
        </is>
      </c>
      <c r="D264" s="3" t="inlineStr">
        <is>
          <t>공장</t>
        </is>
      </c>
      <c r="E264" s="3" t="inlineStr">
        <is>
          <t>월세</t>
        </is>
      </c>
      <c r="F264" s="4" t="n">
        <v>4000</v>
      </c>
      <c r="G264" s="4" t="n">
        <v>400</v>
      </c>
      <c r="H264" s="4" t="n">
        <v>7021</v>
      </c>
      <c r="I264" s="4" t="n">
        <v>2124</v>
      </c>
      <c r="J264" s="5" t="n">
        <v>0.2</v>
      </c>
      <c r="K264" s="4" t="n">
        <v>807</v>
      </c>
      <c r="L264" s="4" t="n">
        <v>244</v>
      </c>
      <c r="M264" s="5" t="n">
        <v>1.6</v>
      </c>
      <c r="N264" s="3" t="inlineStr">
        <is>
          <t>1</t>
        </is>
      </c>
      <c r="O264" s="3" t="inlineStr">
        <is>
          <t>-</t>
        </is>
      </c>
      <c r="P264" s="3" t="inlineStr">
        <is>
          <t>폐기물재활용업허가 공장</t>
        </is>
      </c>
      <c r="Q264" s="6">
        <f>HYPERLINK("https://fin.land.naver.com/articles/2648470888", "매물Link")</f>
        <v/>
      </c>
      <c r="R264" s="6">
        <f>HYPERLINK("https://map.naver.com/p/search/세종특별자치시 나성동 829", "지도Link")</f>
        <v/>
      </c>
      <c r="S264" s="6">
        <f>HYPERLINK("http://www.eum.go.kr/web/ar/lu/luLandDet.jsp?pnu=3611010700108290000&amp;isNoScr=script&amp;mode=search", "토지이음")</f>
        <v/>
      </c>
      <c r="T264" s="3" t="inlineStr">
        <is>
          <t>미래로</t>
        </is>
      </c>
      <c r="U264" s="3" t="n">
        <v>1</v>
      </c>
      <c r="V264" s="3" t="inlineStr">
        <is>
          <t>공동주택 휘트니스</t>
        </is>
      </c>
      <c r="W264" s="4" t="n">
        <v>807</v>
      </c>
      <c r="X264" s="3" t="inlineStr">
        <is>
          <t>철근콘크리트구조</t>
        </is>
      </c>
      <c r="Y264" s="3" t="inlineStr">
        <is>
          <t>공동주택</t>
        </is>
      </c>
      <c r="Z264" s="3" t="inlineStr">
        <is>
          <t>-m</t>
        </is>
      </c>
      <c r="AA264" s="3" t="inlineStr">
        <is>
          <t>2021-08-20</t>
        </is>
      </c>
    </row>
    <row r="265">
      <c r="A265" s="3" t="inlineStr">
        <is>
          <t>세종특별자치시 나성동 829</t>
        </is>
      </c>
      <c r="B265" s="3" t="inlineStr">
        <is>
          <t>중심상업지역</t>
        </is>
      </c>
      <c r="C265" s="3" t="inlineStr">
        <is>
          <t>대</t>
        </is>
      </c>
      <c r="D265" s="3" t="inlineStr">
        <is>
          <t>공장</t>
        </is>
      </c>
      <c r="E265" s="3" t="inlineStr">
        <is>
          <t>매매</t>
        </is>
      </c>
      <c r="F265" s="4" t="n">
        <v>42000</v>
      </c>
      <c r="G265" s="4" t="n">
        <v>0</v>
      </c>
      <c r="H265" s="4" t="n">
        <v>1205</v>
      </c>
      <c r="I265" s="4" t="n">
        <v>365</v>
      </c>
      <c r="J265" s="5" t="n">
        <v>115.1</v>
      </c>
      <c r="K265" s="4" t="n">
        <v>449</v>
      </c>
      <c r="L265" s="4" t="n">
        <v>136</v>
      </c>
      <c r="M265" s="5" t="n">
        <v>308.8</v>
      </c>
      <c r="N265" s="3" t="inlineStr">
        <is>
          <t>1</t>
        </is>
      </c>
      <c r="O265" s="3" t="inlineStr">
        <is>
          <t>-</t>
        </is>
      </c>
      <c r="P265" s="3" t="inlineStr">
        <is>
          <t>2차선 인접, 단독건물 1동,2동으로 구성, 용도는 공장등록가능,</t>
        </is>
      </c>
      <c r="Q265" s="6">
        <f>HYPERLINK("https://fin.land.naver.com/articles/2645721086", "매물Link")</f>
        <v/>
      </c>
      <c r="R265" s="6">
        <f>HYPERLINK("https://map.naver.com/p/search/세종특별자치시 나성동 829", "지도Link")</f>
        <v/>
      </c>
      <c r="S265" s="6">
        <f>HYPERLINK("http://www.eum.go.kr/web/ar/lu/luLandDet.jsp?pnu=3611010700108290000&amp;isNoScr=script&amp;mode=search", "토지이음")</f>
        <v/>
      </c>
      <c r="T265" s="3" t="inlineStr">
        <is>
          <t>대승</t>
        </is>
      </c>
      <c r="U265" s="3" t="n">
        <v>1</v>
      </c>
      <c r="V265" s="3" t="inlineStr">
        <is>
          <t>전망공간 기계실</t>
        </is>
      </c>
      <c r="W265" s="4" t="n">
        <v>449</v>
      </c>
      <c r="X265" s="3" t="inlineStr">
        <is>
          <t>철근콘크리트구조</t>
        </is>
      </c>
      <c r="Y265" s="3" t="inlineStr">
        <is>
          <t>제2종근린생활시설</t>
        </is>
      </c>
      <c r="Z265" s="3" t="inlineStr">
        <is>
          <t>-m</t>
        </is>
      </c>
      <c r="AA265" s="3" t="inlineStr">
        <is>
          <t>2021-08-20</t>
        </is>
      </c>
    </row>
    <row r="266">
      <c r="A266" s="3" t="inlineStr">
        <is>
          <t>세종특별자치시 나성동 829</t>
        </is>
      </c>
      <c r="B266" s="3" t="inlineStr">
        <is>
          <t>중심상업지역</t>
        </is>
      </c>
      <c r="C266" s="3" t="inlineStr">
        <is>
          <t>대</t>
        </is>
      </c>
      <c r="D266" s="3" t="inlineStr">
        <is>
          <t>공장</t>
        </is>
      </c>
      <c r="E266" s="3" t="inlineStr">
        <is>
          <t>매매</t>
        </is>
      </c>
      <c r="F266" s="4" t="n">
        <v>42100</v>
      </c>
      <c r="G266" s="4" t="n">
        <v>0</v>
      </c>
      <c r="H266" s="4" t="n">
        <v>1390</v>
      </c>
      <c r="I266" s="4" t="n">
        <v>420</v>
      </c>
      <c r="J266" s="5" t="n">
        <v>100.2</v>
      </c>
      <c r="K266" s="4" t="n">
        <v>449</v>
      </c>
      <c r="L266" s="4" t="n">
        <v>136</v>
      </c>
      <c r="M266" s="5" t="n">
        <v>309.6</v>
      </c>
      <c r="N266" s="3" t="inlineStr">
        <is>
          <t>1</t>
        </is>
      </c>
      <c r="O266" s="3" t="inlineStr">
        <is>
          <t>-</t>
        </is>
      </c>
      <c r="P266" s="3" t="inlineStr">
        <is>
          <t>상월면 2차선에 근접해 있는 공장 매매</t>
        </is>
      </c>
      <c r="Q266" s="6">
        <f>HYPERLINK("https://fin.land.naver.com/articles/2646285925", "매물Link")</f>
        <v/>
      </c>
      <c r="R266" s="6">
        <f>HYPERLINK("https://map.naver.com/p/search/세종특별자치시 나성동 829", "지도Link")</f>
        <v/>
      </c>
      <c r="S266" s="6">
        <f>HYPERLINK("http://www.eum.go.kr/web/ar/lu/luLandDet.jsp?pnu=3611010700108290000&amp;isNoScr=script&amp;mode=search", "토지이음")</f>
        <v/>
      </c>
      <c r="T266" s="3" t="inlineStr">
        <is>
          <t>왕중왕기업</t>
        </is>
      </c>
      <c r="U266" s="3" t="n">
        <v>1</v>
      </c>
      <c r="V266" s="3" t="inlineStr">
        <is>
          <t>전망공간 기계실</t>
        </is>
      </c>
      <c r="W266" s="4" t="n">
        <v>449</v>
      </c>
      <c r="X266" s="3" t="inlineStr">
        <is>
          <t>철근콘크리트구조</t>
        </is>
      </c>
      <c r="Y266" s="3" t="inlineStr">
        <is>
          <t>제2종근린생활시설</t>
        </is>
      </c>
      <c r="Z266" s="3" t="inlineStr">
        <is>
          <t>-m</t>
        </is>
      </c>
      <c r="AA266" s="3" t="inlineStr">
        <is>
          <t>2021-08-20</t>
        </is>
      </c>
    </row>
    <row r="267">
      <c r="A267" s="3" t="inlineStr">
        <is>
          <t>세종특별자치시 나성동 829</t>
        </is>
      </c>
      <c r="B267" s="3" t="inlineStr">
        <is>
          <t>중심상업지역</t>
        </is>
      </c>
      <c r="C267" s="3" t="inlineStr">
        <is>
          <t>대</t>
        </is>
      </c>
      <c r="D267" s="3" t="inlineStr">
        <is>
          <t>창고</t>
        </is>
      </c>
      <c r="E267" s="3" t="inlineStr">
        <is>
          <t>월세</t>
        </is>
      </c>
      <c r="F267" s="4" t="n">
        <v>3000</v>
      </c>
      <c r="G267" s="4" t="n">
        <v>250</v>
      </c>
      <c r="H267" s="4" t="n">
        <v>1650</v>
      </c>
      <c r="I267" s="4" t="n">
        <v>499</v>
      </c>
      <c r="J267" s="5" t="n">
        <v>0.5</v>
      </c>
      <c r="K267" s="4" t="n">
        <v>992</v>
      </c>
      <c r="L267" s="4" t="n">
        <v>300</v>
      </c>
      <c r="M267" s="5" t="n">
        <v>0.8</v>
      </c>
      <c r="N267" s="3" t="inlineStr">
        <is>
          <t>1</t>
        </is>
      </c>
      <c r="O267" s="3" t="inlineStr">
        <is>
          <t>-</t>
        </is>
      </c>
      <c r="P267" s="3" t="inlineStr">
        <is>
          <t>서논산IC15분거리,2차선도로변, 넓은창고,대형차가능,시세대비저렴</t>
        </is>
      </c>
      <c r="Q267" s="6">
        <f>HYPERLINK("https://fin.land.naver.com/articles/2646861510", "매물Link")</f>
        <v/>
      </c>
      <c r="R267" s="6">
        <f>HYPERLINK("https://map.naver.com/p/search/세종특별자치시 나성동 829", "지도Link")</f>
        <v/>
      </c>
      <c r="S267" s="6">
        <f>HYPERLINK("http://www.eum.go.kr/web/ar/lu/luLandDet.jsp?pnu=3611010700108290000&amp;isNoScr=script&amp;mode=search", "토지이음")</f>
        <v/>
      </c>
      <c r="T267" s="3" t="inlineStr">
        <is>
          <t>OK허니</t>
        </is>
      </c>
      <c r="U267" s="3" t="n">
        <v>1</v>
      </c>
      <c r="V267" s="3" t="inlineStr">
        <is>
          <t>604</t>
        </is>
      </c>
      <c r="W267" s="4" t="n">
        <v>992</v>
      </c>
      <c r="X267" s="3" t="inlineStr">
        <is>
          <t>철근콘크리트구조</t>
        </is>
      </c>
      <c r="Y267" s="3" t="inlineStr">
        <is>
          <t>공동주택</t>
        </is>
      </c>
      <c r="Z267" s="3" t="inlineStr">
        <is>
          <t>38.30m</t>
        </is>
      </c>
      <c r="AA267" s="3" t="inlineStr">
        <is>
          <t>2021-08-20</t>
        </is>
      </c>
    </row>
    <row r="268">
      <c r="A268" s="3" t="inlineStr">
        <is>
          <t>세종특별자치시 나성동 829</t>
        </is>
      </c>
      <c r="B268" s="3" t="inlineStr">
        <is>
          <t>중심상업지역</t>
        </is>
      </c>
      <c r="C268" s="3" t="inlineStr">
        <is>
          <t>대</t>
        </is>
      </c>
      <c r="D268" s="3" t="inlineStr">
        <is>
          <t>공장</t>
        </is>
      </c>
      <c r="E268" s="3" t="inlineStr">
        <is>
          <t>매매</t>
        </is>
      </c>
      <c r="F268" s="4" t="n">
        <v>138000</v>
      </c>
      <c r="G268" s="4" t="n">
        <v>0</v>
      </c>
      <c r="H268" s="4" t="n">
        <v>7021</v>
      </c>
      <c r="I268" s="4" t="n">
        <v>2124</v>
      </c>
      <c r="J268" s="5" t="n">
        <v>65</v>
      </c>
      <c r="K268" s="4" t="n">
        <v>807</v>
      </c>
      <c r="L268" s="4" t="n">
        <v>244</v>
      </c>
      <c r="M268" s="5" t="n">
        <v>565.6</v>
      </c>
      <c r="N268" s="3" t="inlineStr">
        <is>
          <t>1</t>
        </is>
      </c>
      <c r="O268" s="3" t="inlineStr">
        <is>
          <t>-</t>
        </is>
      </c>
      <c r="P268" s="3" t="inlineStr">
        <is>
          <t>폐기물종합재활용업 및 일반 공장</t>
        </is>
      </c>
      <c r="Q268" s="6">
        <f>HYPERLINK("https://fin.land.naver.com/articles/2646926333", "매물Link")</f>
        <v/>
      </c>
      <c r="R268" s="6">
        <f>HYPERLINK("https://map.naver.com/p/search/세종특별자치시 나성동 829", "지도Link")</f>
        <v/>
      </c>
      <c r="S268" s="6">
        <f>HYPERLINK("http://www.eum.go.kr/web/ar/lu/luLandDet.jsp?pnu=3611010700108290000&amp;isNoScr=script&amp;mode=search", "토지이음")</f>
        <v/>
      </c>
      <c r="T268" s="3" t="inlineStr">
        <is>
          <t>미래로</t>
        </is>
      </c>
      <c r="U268" s="3" t="n">
        <v>1</v>
      </c>
      <c r="V268" s="3" t="inlineStr">
        <is>
          <t>공동주택 휘트니스</t>
        </is>
      </c>
      <c r="W268" s="4" t="n">
        <v>807</v>
      </c>
      <c r="X268" s="3" t="inlineStr">
        <is>
          <t>철근콘크리트구조</t>
        </is>
      </c>
      <c r="Y268" s="3" t="inlineStr">
        <is>
          <t>공동주택</t>
        </is>
      </c>
      <c r="Z268" s="3" t="inlineStr">
        <is>
          <t>-m</t>
        </is>
      </c>
      <c r="AA268" s="3" t="inlineStr">
        <is>
          <t>2021-08-20</t>
        </is>
      </c>
    </row>
    <row r="269">
      <c r="A269" s="3" t="inlineStr">
        <is>
          <t>세종특별자치시 나성동 829</t>
        </is>
      </c>
      <c r="B269" s="3" t="inlineStr">
        <is>
          <t>중심상업지역</t>
        </is>
      </c>
      <c r="C269" s="3" t="inlineStr">
        <is>
          <t>대</t>
        </is>
      </c>
      <c r="D269" s="3" t="inlineStr">
        <is>
          <t>공장</t>
        </is>
      </c>
      <c r="E269" s="3" t="inlineStr">
        <is>
          <t>매매</t>
        </is>
      </c>
      <c r="F269" s="4" t="n">
        <v>93000</v>
      </c>
      <c r="G269" s="4" t="n">
        <v>0</v>
      </c>
      <c r="H269" s="4" t="n">
        <v>2514</v>
      </c>
      <c r="I269" s="4" t="n">
        <v>760</v>
      </c>
      <c r="J269" s="5" t="n">
        <v>122.4</v>
      </c>
      <c r="K269" s="4" t="n">
        <v>686</v>
      </c>
      <c r="L269" s="4" t="n">
        <v>208</v>
      </c>
      <c r="M269" s="5" t="n">
        <v>447.1</v>
      </c>
      <c r="N269" s="3" t="inlineStr">
        <is>
          <t>1</t>
        </is>
      </c>
      <c r="O269" s="3" t="inlineStr">
        <is>
          <t>-</t>
        </is>
      </c>
      <c r="P269" s="3" t="inlineStr">
        <is>
          <t>공장매매.현 임대중으로 임차인안고 매매.접근성.위치아주좋음</t>
        </is>
      </c>
      <c r="Q269" s="6">
        <f>HYPERLINK("https://fin.land.naver.com/articles/2647539984", "매물Link")</f>
        <v/>
      </c>
      <c r="R269" s="6">
        <f>HYPERLINK("https://map.naver.com/p/search/세종특별자치시 나성동 829", "지도Link")</f>
        <v/>
      </c>
      <c r="S269" s="6">
        <f>HYPERLINK("http://www.eum.go.kr/web/ar/lu/luLandDet.jsp?pnu=3611010700108290000&amp;isNoScr=script&amp;mode=search", "토지이음")</f>
        <v/>
      </c>
      <c r="T269" s="3" t="inlineStr">
        <is>
          <t>대풍</t>
        </is>
      </c>
      <c r="U269" s="3" t="n">
        <v>1</v>
      </c>
      <c r="V269" s="3" t="inlineStr">
        <is>
          <t>803</t>
        </is>
      </c>
      <c r="W269" s="4" t="n">
        <v>686</v>
      </c>
      <c r="X269" s="3" t="inlineStr">
        <is>
          <t>철근콘크리트구조</t>
        </is>
      </c>
      <c r="Y269" s="3" t="inlineStr">
        <is>
          <t>제2종근린생활시설</t>
        </is>
      </c>
      <c r="Z269" s="3" t="inlineStr">
        <is>
          <t>-m</t>
        </is>
      </c>
      <c r="AA269" s="3" t="inlineStr">
        <is>
          <t>2021-08-20</t>
        </is>
      </c>
    </row>
    <row r="270">
      <c r="A270" s="3" t="inlineStr">
        <is>
          <t>세종특별자치시 나성동 829</t>
        </is>
      </c>
      <c r="B270" s="3" t="inlineStr">
        <is>
          <t>중심상업지역</t>
        </is>
      </c>
      <c r="C270" s="3" t="inlineStr">
        <is>
          <t>대</t>
        </is>
      </c>
      <c r="D270" s="3" t="inlineStr">
        <is>
          <t>창고</t>
        </is>
      </c>
      <c r="E270" s="3" t="inlineStr">
        <is>
          <t>매매</t>
        </is>
      </c>
      <c r="F270" s="4" t="n">
        <v>60000</v>
      </c>
      <c r="G270" s="4" t="n">
        <v>0</v>
      </c>
      <c r="H270" s="4" t="n">
        <v>1419</v>
      </c>
      <c r="I270" s="4" t="n">
        <v>429</v>
      </c>
      <c r="J270" s="5" t="n">
        <v>139.9</v>
      </c>
      <c r="K270" s="4" t="n">
        <v>276</v>
      </c>
      <c r="L270" s="4" t="n">
        <v>83</v>
      </c>
      <c r="M270" s="5" t="n">
        <v>722.9</v>
      </c>
      <c r="N270" s="3" t="inlineStr">
        <is>
          <t>1</t>
        </is>
      </c>
      <c r="O270" s="3" t="inlineStr">
        <is>
          <t>-</t>
        </is>
      </c>
      <c r="P270" s="3" t="inlineStr">
        <is>
          <t>연산 논산간 4차선 국도변 계획관리지역 창고시설로 활용도 최고 물건이예요</t>
        </is>
      </c>
      <c r="Q270" s="6">
        <f>HYPERLINK("https://fin.land.naver.com/articles/2647753875", "매물Link")</f>
        <v/>
      </c>
      <c r="R270" s="6">
        <f>HYPERLINK("https://map.naver.com/p/search/세종특별자치시 나성동 829", "지도Link")</f>
        <v/>
      </c>
      <c r="S270" s="6">
        <f>HYPERLINK("http://www.eum.go.kr/web/ar/lu/luLandDet.jsp?pnu=3611010700108290000&amp;isNoScr=script&amp;mode=search", "토지이음")</f>
        <v/>
      </c>
      <c r="T270" s="3" t="inlineStr">
        <is>
          <t>에이스</t>
        </is>
      </c>
      <c r="U270" s="3" t="n">
        <v>1</v>
      </c>
      <c r="V270" s="3" t="inlineStr">
        <is>
          <t>공동주택 기계실/열교환기실/펌프실</t>
        </is>
      </c>
      <c r="W270" s="4" t="n">
        <v>276</v>
      </c>
      <c r="X270" s="3" t="inlineStr">
        <is>
          <t>철근콘크리트구조</t>
        </is>
      </c>
      <c r="Y270" s="3" t="inlineStr">
        <is>
          <t>공동주택</t>
        </is>
      </c>
      <c r="Z270" s="3" t="inlineStr">
        <is>
          <t>-m</t>
        </is>
      </c>
      <c r="AA270" s="3" t="inlineStr">
        <is>
          <t>2021-08-20</t>
        </is>
      </c>
    </row>
    <row r="271">
      <c r="A271" s="3" t="inlineStr">
        <is>
          <t>세종특별자치시 나성동 829</t>
        </is>
      </c>
      <c r="B271" s="3" t="inlineStr">
        <is>
          <t>중심상업지역</t>
        </is>
      </c>
      <c r="C271" s="3" t="inlineStr">
        <is>
          <t>대</t>
        </is>
      </c>
      <c r="D271" s="3" t="inlineStr">
        <is>
          <t>공장</t>
        </is>
      </c>
      <c r="E271" s="3" t="inlineStr">
        <is>
          <t>매매</t>
        </is>
      </c>
      <c r="F271" s="4" t="n">
        <v>600000</v>
      </c>
      <c r="G271" s="4" t="n">
        <v>0</v>
      </c>
      <c r="H271" s="4" t="n">
        <v>31248</v>
      </c>
      <c r="I271" s="4" t="n">
        <v>9453</v>
      </c>
      <c r="J271" s="5" t="n">
        <v>63.5</v>
      </c>
      <c r="K271" s="4" t="n">
        <v>8193</v>
      </c>
      <c r="L271" s="4" t="n">
        <v>2478</v>
      </c>
      <c r="M271" s="5" t="n">
        <v>242.1</v>
      </c>
      <c r="N271" s="3" t="inlineStr">
        <is>
          <t>1</t>
        </is>
      </c>
      <c r="O271" s="3" t="inlineStr">
        <is>
          <t>-</t>
        </is>
      </c>
      <c r="P271" s="3" t="inlineStr">
        <is>
          <t>서논산IC에서 9분</t>
        </is>
      </c>
      <c r="Q271" s="6">
        <f>HYPERLINK("https://fin.land.naver.com/articles/2648178318", "매물Link")</f>
        <v/>
      </c>
      <c r="R271" s="6">
        <f>HYPERLINK("https://map.naver.com/p/search/세종특별자치시 나성동 829", "지도Link")</f>
        <v/>
      </c>
      <c r="S271" s="6">
        <f>HYPERLINK("http://www.eum.go.kr/web/ar/lu/luLandDet.jsp?pnu=3611010700108290000&amp;isNoScr=script&amp;mode=search", "토지이음")</f>
        <v/>
      </c>
      <c r="T271" s="3" t="inlineStr">
        <is>
          <t>미더스</t>
        </is>
      </c>
      <c r="U271" s="3" t="n">
        <v>1</v>
      </c>
      <c r="V271" s="3" t="inlineStr">
        <is>
          <t>603</t>
        </is>
      </c>
      <c r="W271" s="4" t="n">
        <v>8193</v>
      </c>
      <c r="X271" s="3" t="inlineStr">
        <is>
          <t>철근콘크리트구조</t>
        </is>
      </c>
      <c r="Y271" s="3" t="inlineStr">
        <is>
          <t>공동주택</t>
        </is>
      </c>
      <c r="Z271" s="3" t="inlineStr">
        <is>
          <t>94.45m</t>
        </is>
      </c>
      <c r="AA271" s="3" t="inlineStr">
        <is>
          <t>2021-08-20</t>
        </is>
      </c>
    </row>
    <row r="272">
      <c r="A272" s="3" t="inlineStr">
        <is>
          <t>세종특별자치시 나성동 829</t>
        </is>
      </c>
      <c r="B272" s="3" t="inlineStr">
        <is>
          <t>중심상업지역</t>
        </is>
      </c>
      <c r="C272" s="3" t="inlineStr">
        <is>
          <t>대</t>
        </is>
      </c>
      <c r="D272" s="3" t="inlineStr">
        <is>
          <t>공장</t>
        </is>
      </c>
      <c r="E272" s="3" t="inlineStr">
        <is>
          <t>월세</t>
        </is>
      </c>
      <c r="F272" s="4" t="n">
        <v>1000</v>
      </c>
      <c r="G272" s="4" t="n">
        <v>80</v>
      </c>
      <c r="H272" s="4" t="n">
        <v>578</v>
      </c>
      <c r="I272" s="4" t="n">
        <v>175</v>
      </c>
      <c r="J272" s="5" t="n">
        <v>0.5</v>
      </c>
      <c r="K272" s="4" t="n">
        <v>198</v>
      </c>
      <c r="L272" s="4" t="n">
        <v>60</v>
      </c>
      <c r="M272" s="5" t="n">
        <v>1.3</v>
      </c>
      <c r="N272" s="3" t="inlineStr">
        <is>
          <t>1</t>
        </is>
      </c>
      <c r="O272" s="3" t="inlineStr">
        <is>
          <t>-</t>
        </is>
      </c>
      <c r="P272" s="3" t="inlineStr">
        <is>
          <t>사진, 단독사용, 2종근생제조,마당넓음,2차선변,트레일러진입,층고6m</t>
        </is>
      </c>
      <c r="Q272" s="6">
        <f>HYPERLINK("https://fin.land.naver.com/articles/2648429384", "매물Link")</f>
        <v/>
      </c>
      <c r="R272" s="6">
        <f>HYPERLINK("https://map.naver.com/p/search/세종특별자치시 나성동 829", "지도Link")</f>
        <v/>
      </c>
      <c r="S272" s="6">
        <f>HYPERLINK("http://www.eum.go.kr/web/ar/lu/luLandDet.jsp?pnu=3611010700108290000&amp;isNoScr=script&amp;mode=search", "토지이음")</f>
        <v/>
      </c>
      <c r="T272" s="3" t="inlineStr">
        <is>
          <t>OK허니</t>
        </is>
      </c>
      <c r="U272" s="3" t="n">
        <v>1</v>
      </c>
      <c r="V272" s="3" t="inlineStr">
        <is>
          <t>공동주택 주민공동시설</t>
        </is>
      </c>
      <c r="W272" s="4" t="n">
        <v>198</v>
      </c>
      <c r="X272" s="3" t="inlineStr">
        <is>
          <t>철근콘크리트구조</t>
        </is>
      </c>
      <c r="Y272" s="3" t="inlineStr">
        <is>
          <t>공동주택</t>
        </is>
      </c>
      <c r="Z272" s="3" t="inlineStr">
        <is>
          <t>-m</t>
        </is>
      </c>
      <c r="AA272" s="3" t="inlineStr">
        <is>
          <t>2021-08-20</t>
        </is>
      </c>
    </row>
    <row r="273">
      <c r="A273" s="3" t="inlineStr">
        <is>
          <t>세종특별자치시 나성동 829</t>
        </is>
      </c>
      <c r="B273" s="3" t="inlineStr">
        <is>
          <t>중심상업지역</t>
        </is>
      </c>
      <c r="C273" s="3" t="inlineStr">
        <is>
          <t>대</t>
        </is>
      </c>
      <c r="D273" s="3" t="inlineStr">
        <is>
          <t>창고</t>
        </is>
      </c>
      <c r="E273" s="3" t="inlineStr">
        <is>
          <t>매매</t>
        </is>
      </c>
      <c r="F273" s="4" t="n">
        <v>110000</v>
      </c>
      <c r="G273" s="4" t="n">
        <v>0</v>
      </c>
      <c r="H273" s="4" t="n">
        <v>2388</v>
      </c>
      <c r="I273" s="4" t="n">
        <v>722</v>
      </c>
      <c r="J273" s="5" t="n">
        <v>152.4</v>
      </c>
      <c r="K273" s="4" t="n">
        <v>343</v>
      </c>
      <c r="L273" s="4" t="n">
        <v>104</v>
      </c>
      <c r="M273" s="5" t="n">
        <v>1057.7</v>
      </c>
      <c r="N273" s="3" t="inlineStr">
        <is>
          <t>1</t>
        </is>
      </c>
      <c r="O273" s="3" t="inlineStr">
        <is>
          <t>-</t>
        </is>
      </c>
      <c r="P273" s="3" t="inlineStr">
        <is>
          <t>2차선 국도변으로 교통조건 및 위치 최상의 높이 약7m인 창고물건</t>
        </is>
      </c>
      <c r="Q273" s="6">
        <f>HYPERLINK("https://fin.land.naver.com/articles/2648934892", "매물Link")</f>
        <v/>
      </c>
      <c r="R273" s="6">
        <f>HYPERLINK("https://map.naver.com/p/search/세종특별자치시 나성동 829", "지도Link")</f>
        <v/>
      </c>
      <c r="S273" s="6">
        <f>HYPERLINK("http://www.eum.go.kr/web/ar/lu/luLandDet.jsp?pnu=3611010700108290000&amp;isNoScr=script&amp;mode=search", "토지이음")</f>
        <v/>
      </c>
      <c r="T273" s="3" t="inlineStr">
        <is>
          <t>신평</t>
        </is>
      </c>
      <c r="U273" s="3" t="n">
        <v>1</v>
      </c>
      <c r="V273" s="3" t="inlineStr">
        <is>
          <t>801</t>
        </is>
      </c>
      <c r="W273" s="4" t="n">
        <v>343</v>
      </c>
      <c r="X273" s="3" t="inlineStr">
        <is>
          <t>철근콘크리트구조</t>
        </is>
      </c>
      <c r="Y273" s="3" t="inlineStr">
        <is>
          <t>제2종근린생활시설</t>
        </is>
      </c>
      <c r="Z273" s="3" t="inlineStr">
        <is>
          <t>-m</t>
        </is>
      </c>
      <c r="AA273" s="3" t="inlineStr">
        <is>
          <t>2021-08-20</t>
        </is>
      </c>
    </row>
    <row r="274">
      <c r="A274" s="3" t="inlineStr">
        <is>
          <t>세종특별자치시 나성동 829</t>
        </is>
      </c>
      <c r="B274" s="3" t="inlineStr">
        <is>
          <t>중심상업지역</t>
        </is>
      </c>
      <c r="C274" s="3" t="inlineStr">
        <is>
          <t>대</t>
        </is>
      </c>
      <c r="D274" s="3" t="inlineStr">
        <is>
          <t>창고</t>
        </is>
      </c>
      <c r="E274" s="3" t="inlineStr">
        <is>
          <t>월세</t>
        </is>
      </c>
      <c r="F274" s="4" t="n">
        <v>2000</v>
      </c>
      <c r="G274" s="4" t="n">
        <v>90</v>
      </c>
      <c r="H274" s="4" t="n">
        <v>495</v>
      </c>
      <c r="I274" s="4" t="n">
        <v>150</v>
      </c>
      <c r="J274" s="5" t="n">
        <v>0.6</v>
      </c>
      <c r="K274" s="4" t="n">
        <v>198</v>
      </c>
      <c r="L274" s="4" t="n">
        <v>60</v>
      </c>
      <c r="M274" s="5" t="n">
        <v>1.5</v>
      </c>
      <c r="N274" s="3" t="inlineStr">
        <is>
          <t>1</t>
        </is>
      </c>
      <c r="O274" s="3" t="inlineStr">
        <is>
          <t>-</t>
        </is>
      </c>
      <c r="P274" s="3" t="inlineStr">
        <is>
          <t>사진, 서논산IC2분, 신축, 층고6m, 대형차가능</t>
        </is>
      </c>
      <c r="Q274" s="6">
        <f>HYPERLINK("https://fin.land.naver.com/articles/2645488419", "매물Link")</f>
        <v/>
      </c>
      <c r="R274" s="6">
        <f>HYPERLINK("https://map.naver.com/p/search/세종특별자치시 나성동 829", "지도Link")</f>
        <v/>
      </c>
      <c r="S274" s="6">
        <f>HYPERLINK("http://www.eum.go.kr/web/ar/lu/luLandDet.jsp?pnu=3611010700108290000&amp;isNoScr=script&amp;mode=search", "토지이음")</f>
        <v/>
      </c>
      <c r="T274" s="3" t="inlineStr">
        <is>
          <t>OK허니</t>
        </is>
      </c>
      <c r="U274" s="3" t="n">
        <v>1</v>
      </c>
      <c r="V274" s="3" t="inlineStr">
        <is>
          <t>공동주택 주민공동시설</t>
        </is>
      </c>
      <c r="W274" s="4" t="n">
        <v>198</v>
      </c>
      <c r="X274" s="3" t="inlineStr">
        <is>
          <t>철근콘크리트구조</t>
        </is>
      </c>
      <c r="Y274" s="3" t="inlineStr">
        <is>
          <t>공동주택</t>
        </is>
      </c>
      <c r="Z274" s="3" t="inlineStr">
        <is>
          <t>-m</t>
        </is>
      </c>
      <c r="AA274" s="3" t="inlineStr">
        <is>
          <t>2021-08-20</t>
        </is>
      </c>
    </row>
    <row r="275">
      <c r="A275" s="3" t="inlineStr">
        <is>
          <t>세종특별자치시 나성동 829</t>
        </is>
      </c>
      <c r="B275" s="3" t="inlineStr">
        <is>
          <t>중심상업지역</t>
        </is>
      </c>
      <c r="C275" s="3" t="inlineStr">
        <is>
          <t>대</t>
        </is>
      </c>
      <c r="D275" s="3" t="inlineStr">
        <is>
          <t>공장</t>
        </is>
      </c>
      <c r="E275" s="3" t="inlineStr">
        <is>
          <t>매매</t>
        </is>
      </c>
      <c r="F275" s="4" t="n">
        <v>24000</v>
      </c>
      <c r="G275" s="4" t="n">
        <v>0</v>
      </c>
      <c r="H275" s="4" t="n">
        <v>529</v>
      </c>
      <c r="I275" s="4" t="n">
        <v>160</v>
      </c>
      <c r="J275" s="5" t="n">
        <v>150</v>
      </c>
      <c r="K275" s="4" t="n">
        <v>199</v>
      </c>
      <c r="L275" s="4" t="n">
        <v>60</v>
      </c>
      <c r="M275" s="5" t="n">
        <v>400</v>
      </c>
      <c r="N275" s="3" t="inlineStr">
        <is>
          <t>1</t>
        </is>
      </c>
      <c r="O275" s="3" t="inlineStr">
        <is>
          <t>-</t>
        </is>
      </c>
      <c r="P275" s="3" t="inlineStr">
        <is>
          <t>사진, 서논산IC2분, 신축,매매임대, 층고6m, 대형차진입, 다양한면적</t>
        </is>
      </c>
      <c r="Q275" s="6">
        <f>HYPERLINK("https://fin.land.naver.com/articles/2645488420", "매물Link")</f>
        <v/>
      </c>
      <c r="R275" s="6">
        <f>HYPERLINK("https://map.naver.com/p/search/세종특별자치시 나성동 829", "지도Link")</f>
        <v/>
      </c>
      <c r="S275" s="6">
        <f>HYPERLINK("http://www.eum.go.kr/web/ar/lu/luLandDet.jsp?pnu=3611010700108290000&amp;isNoScr=script&amp;mode=search", "토지이음")</f>
        <v/>
      </c>
      <c r="T275" s="3" t="inlineStr">
        <is>
          <t>OK허니</t>
        </is>
      </c>
      <c r="U275" s="3" t="n">
        <v>1</v>
      </c>
      <c r="V275" s="3" t="inlineStr">
        <is>
          <t>공동주택 주민공동시설</t>
        </is>
      </c>
      <c r="W275" s="4" t="n">
        <v>199</v>
      </c>
      <c r="X275" s="3" t="inlineStr">
        <is>
          <t>철근콘크리트구조</t>
        </is>
      </c>
      <c r="Y275" s="3" t="inlineStr">
        <is>
          <t>공동주택</t>
        </is>
      </c>
      <c r="Z275" s="3" t="inlineStr">
        <is>
          <t>-m</t>
        </is>
      </c>
      <c r="AA275" s="3" t="inlineStr">
        <is>
          <t>2021-08-20</t>
        </is>
      </c>
    </row>
    <row r="276">
      <c r="A276" s="3" t="inlineStr">
        <is>
          <t>세종특별자치시 나성동 829</t>
        </is>
      </c>
      <c r="B276" s="3" t="inlineStr">
        <is>
          <t>중심상업지역</t>
        </is>
      </c>
      <c r="C276" s="3" t="inlineStr">
        <is>
          <t>대</t>
        </is>
      </c>
      <c r="D276" s="3" t="inlineStr">
        <is>
          <t>창고</t>
        </is>
      </c>
      <c r="E276" s="3" t="inlineStr">
        <is>
          <t>월세</t>
        </is>
      </c>
      <c r="F276" s="4" t="n">
        <v>1500</v>
      </c>
      <c r="G276" s="4" t="n">
        <v>100</v>
      </c>
      <c r="H276" s="4" t="n">
        <v>495</v>
      </c>
      <c r="I276" s="4" t="n">
        <v>150</v>
      </c>
      <c r="J276" s="5" t="n">
        <v>0.7</v>
      </c>
      <c r="K276" s="4" t="n">
        <v>198</v>
      </c>
      <c r="L276" s="4" t="n">
        <v>60</v>
      </c>
      <c r="M276" s="5" t="n">
        <v>1.7</v>
      </c>
      <c r="N276" s="3" t="inlineStr">
        <is>
          <t>1</t>
        </is>
      </c>
      <c r="O276" s="3" t="inlineStr">
        <is>
          <t>-</t>
        </is>
      </c>
      <c r="P276" s="3" t="inlineStr">
        <is>
          <t>사진, 서논산IC2분, 신축,야적마당있음, 층고6m, 대형차가능</t>
        </is>
      </c>
      <c r="Q276" s="6">
        <f>HYPERLINK("https://fin.land.naver.com/articles/2645488421", "매물Link")</f>
        <v/>
      </c>
      <c r="R276" s="6">
        <f>HYPERLINK("https://map.naver.com/p/search/세종특별자치시 나성동 829", "지도Link")</f>
        <v/>
      </c>
      <c r="S276" s="6">
        <f>HYPERLINK("http://www.eum.go.kr/web/ar/lu/luLandDet.jsp?pnu=3611010700108290000&amp;isNoScr=script&amp;mode=search", "토지이음")</f>
        <v/>
      </c>
      <c r="T276" s="3" t="inlineStr">
        <is>
          <t>OK허니</t>
        </is>
      </c>
      <c r="U276" s="3" t="n">
        <v>1</v>
      </c>
      <c r="V276" s="3" t="inlineStr">
        <is>
          <t>공동주택 주민공동시설</t>
        </is>
      </c>
      <c r="W276" s="4" t="n">
        <v>198</v>
      </c>
      <c r="X276" s="3" t="inlineStr">
        <is>
          <t>철근콘크리트구조</t>
        </is>
      </c>
      <c r="Y276" s="3" t="inlineStr">
        <is>
          <t>공동주택</t>
        </is>
      </c>
      <c r="Z276" s="3" t="inlineStr">
        <is>
          <t>-m</t>
        </is>
      </c>
      <c r="AA276" s="3" t="inlineStr">
        <is>
          <t>2021-08-20</t>
        </is>
      </c>
    </row>
    <row r="277">
      <c r="A277" s="3" t="inlineStr">
        <is>
          <t>세종특별자치시 나성동 829</t>
        </is>
      </c>
      <c r="B277" s="3" t="inlineStr">
        <is>
          <t>중심상업지역</t>
        </is>
      </c>
      <c r="C277" s="3" t="inlineStr">
        <is>
          <t>대</t>
        </is>
      </c>
      <c r="D277" s="3" t="inlineStr">
        <is>
          <t>창고</t>
        </is>
      </c>
      <c r="E277" s="3" t="inlineStr">
        <is>
          <t>매매</t>
        </is>
      </c>
      <c r="F277" s="4" t="n">
        <v>290000</v>
      </c>
      <c r="G277" s="4" t="n">
        <v>0</v>
      </c>
      <c r="H277" s="4" t="n">
        <v>12635</v>
      </c>
      <c r="I277" s="4" t="n">
        <v>3822</v>
      </c>
      <c r="J277" s="5" t="n">
        <v>75.90000000000001</v>
      </c>
      <c r="K277" s="4" t="n">
        <v>1044</v>
      </c>
      <c r="L277" s="4" t="n">
        <v>316</v>
      </c>
      <c r="M277" s="5" t="n">
        <v>917.7</v>
      </c>
      <c r="N277" s="3" t="inlineStr">
        <is>
          <t>1</t>
        </is>
      </c>
      <c r="O277" s="3" t="inlineStr">
        <is>
          <t>-</t>
        </is>
      </c>
      <c r="P277" s="3" t="inlineStr">
        <is>
          <t>사진有 창고 매매</t>
        </is>
      </c>
      <c r="Q277" s="6">
        <f>HYPERLINK("https://fin.land.naver.com/articles/2649610894", "매물Link")</f>
        <v/>
      </c>
      <c r="R277" s="6">
        <f>HYPERLINK("https://map.naver.com/p/search/세종특별자치시 나성동 829", "지도Link")</f>
        <v/>
      </c>
      <c r="S277" s="6">
        <f>HYPERLINK("http://www.eum.go.kr/web/ar/lu/luLandDet.jsp?pnu=3611010700108290000&amp;isNoScr=script&amp;mode=search", "토지이음")</f>
        <v/>
      </c>
      <c r="T277" s="3" t="inlineStr">
        <is>
          <t>월드</t>
        </is>
      </c>
      <c r="U277" s="3" t="n">
        <v>1</v>
      </c>
      <c r="V277" s="3" t="inlineStr">
        <is>
          <t>604</t>
        </is>
      </c>
      <c r="W277" s="4" t="n">
        <v>1044</v>
      </c>
      <c r="X277" s="3" t="inlineStr">
        <is>
          <t>철근콘크리트구조</t>
        </is>
      </c>
      <c r="Y277" s="3" t="inlineStr">
        <is>
          <t>공동주택</t>
        </is>
      </c>
      <c r="Z277" s="3" t="inlineStr">
        <is>
          <t>38.30m</t>
        </is>
      </c>
      <c r="AA277" s="3" t="inlineStr">
        <is>
          <t>2021-08-20</t>
        </is>
      </c>
    </row>
    <row r="278">
      <c r="A278" s="3" t="inlineStr">
        <is>
          <t>세종특별자치시 나성동 829</t>
        </is>
      </c>
      <c r="B278" s="3" t="inlineStr">
        <is>
          <t>중심상업지역</t>
        </is>
      </c>
      <c r="C278" s="3" t="inlineStr">
        <is>
          <t>대</t>
        </is>
      </c>
      <c r="D278" s="3" t="inlineStr">
        <is>
          <t>공장</t>
        </is>
      </c>
      <c r="E278" s="3" t="inlineStr">
        <is>
          <t>월세</t>
        </is>
      </c>
      <c r="F278" s="4" t="n">
        <v>2000</v>
      </c>
      <c r="G278" s="4" t="n">
        <v>200</v>
      </c>
      <c r="H278" s="4" t="n">
        <v>8466</v>
      </c>
      <c r="I278" s="4" t="n">
        <v>2561</v>
      </c>
      <c r="J278" s="5" t="n">
        <v>0.1</v>
      </c>
      <c r="K278" s="4" t="n">
        <v>1135</v>
      </c>
      <c r="L278" s="4" t="n">
        <v>343</v>
      </c>
      <c r="M278" s="5" t="n">
        <v>0.6</v>
      </c>
      <c r="N278" s="3" t="inlineStr">
        <is>
          <t>1</t>
        </is>
      </c>
      <c r="O278" s="3" t="inlineStr">
        <is>
          <t>-</t>
        </is>
      </c>
      <c r="P278" s="3" t="inlineStr">
        <is>
          <t>성동면 정지리 평당 임대가 1만원 공장임대</t>
        </is>
      </c>
      <c r="Q278" s="6">
        <f>HYPERLINK("https://fin.land.naver.com/articles/2646695077", "매물Link")</f>
        <v/>
      </c>
      <c r="R278" s="6">
        <f>HYPERLINK("https://map.naver.com/p/search/세종특별자치시 나성동 829", "지도Link")</f>
        <v/>
      </c>
      <c r="S278" s="6">
        <f>HYPERLINK("http://www.eum.go.kr/web/ar/lu/luLandDet.jsp?pnu=3611010700108290000&amp;isNoScr=script&amp;mode=search", "토지이음")</f>
        <v/>
      </c>
      <c r="T278" s="3" t="inlineStr">
        <is>
          <t>왕중왕기업</t>
        </is>
      </c>
      <c r="U278" s="3" t="n">
        <v>1</v>
      </c>
      <c r="V278" s="3" t="inlineStr">
        <is>
          <t>605</t>
        </is>
      </c>
      <c r="W278" s="4" t="n">
        <v>1135</v>
      </c>
      <c r="X278" s="3" t="inlineStr">
        <is>
          <t>철근콘크리트구조</t>
        </is>
      </c>
      <c r="Y278" s="3" t="inlineStr">
        <is>
          <t>공동주택</t>
        </is>
      </c>
      <c r="Z278" s="3" t="inlineStr">
        <is>
          <t>45.30m</t>
        </is>
      </c>
      <c r="AA278" s="3" t="inlineStr">
        <is>
          <t>2021-08-20</t>
        </is>
      </c>
    </row>
    <row r="279">
      <c r="A279" s="3" t="inlineStr">
        <is>
          <t>세종특별자치시 나성동 829</t>
        </is>
      </c>
      <c r="B279" s="3" t="inlineStr">
        <is>
          <t>중심상업지역</t>
        </is>
      </c>
      <c r="C279" s="3" t="inlineStr">
        <is>
          <t>대</t>
        </is>
      </c>
      <c r="D279" s="3" t="inlineStr">
        <is>
          <t>공장</t>
        </is>
      </c>
      <c r="E279" s="3" t="inlineStr">
        <is>
          <t>매매</t>
        </is>
      </c>
      <c r="F279" s="4" t="n">
        <v>200000</v>
      </c>
      <c r="G279" s="4" t="n">
        <v>0</v>
      </c>
      <c r="H279" s="4" t="n">
        <v>6498</v>
      </c>
      <c r="I279" s="4" t="n">
        <v>1966</v>
      </c>
      <c r="J279" s="5" t="n">
        <v>101.7</v>
      </c>
      <c r="K279" s="4" t="n">
        <v>1871</v>
      </c>
      <c r="L279" s="4" t="n">
        <v>566</v>
      </c>
      <c r="M279" s="5" t="n">
        <v>353.4</v>
      </c>
      <c r="N279" s="3" t="inlineStr">
        <is>
          <t>2</t>
        </is>
      </c>
      <c r="O279" s="3" t="inlineStr">
        <is>
          <t>-</t>
        </is>
      </c>
      <c r="P279" s="3" t="inlineStr">
        <is>
          <t>서논산IC 인근 일반산업단지 내 논산 공장매매</t>
        </is>
      </c>
      <c r="Q279" s="6">
        <f>HYPERLINK("https://fin.land.naver.com/articles/2646694372", "매물Link")</f>
        <v/>
      </c>
      <c r="R279" s="6">
        <f>HYPERLINK("https://map.naver.com/p/search/세종특별자치시 나성동 829", "지도Link")</f>
        <v/>
      </c>
      <c r="S279" s="6">
        <f>HYPERLINK("http://www.eum.go.kr/web/ar/lu/luLandDet.jsp?pnu=3611010700108290000&amp;isNoScr=script&amp;mode=search", "토지이음")</f>
        <v/>
      </c>
      <c r="T279" s="3" t="inlineStr">
        <is>
          <t>왕중왕기업</t>
        </is>
      </c>
      <c r="U279" s="3" t="n">
        <v>1</v>
      </c>
      <c r="V279" s="3" t="inlineStr">
        <is>
          <t>901(전망공간)</t>
        </is>
      </c>
      <c r="W279" s="4" t="n">
        <v>1871</v>
      </c>
      <c r="X279" s="3" t="inlineStr">
        <is>
          <t>철근콘크리트구조</t>
        </is>
      </c>
      <c r="Y279" s="3" t="inlineStr">
        <is>
          <t>제2종근린생활시설</t>
        </is>
      </c>
      <c r="Z279" s="3" t="inlineStr">
        <is>
          <t>-m</t>
        </is>
      </c>
      <c r="AA279" s="3" t="inlineStr">
        <is>
          <t>2021-08-20</t>
        </is>
      </c>
    </row>
    <row r="280">
      <c r="A280" s="3" t="inlineStr">
        <is>
          <t>세종특별자치시 나성동 829</t>
        </is>
      </c>
      <c r="B280" s="3" t="inlineStr">
        <is>
          <t>중심상업지역</t>
        </is>
      </c>
      <c r="C280" s="3" t="inlineStr">
        <is>
          <t>대</t>
        </is>
      </c>
      <c r="D280" s="3" t="inlineStr">
        <is>
          <t>창고</t>
        </is>
      </c>
      <c r="E280" s="3" t="inlineStr">
        <is>
          <t>월세</t>
        </is>
      </c>
      <c r="F280" s="4" t="n">
        <v>10000</v>
      </c>
      <c r="G280" s="4" t="n">
        <v>0</v>
      </c>
      <c r="H280" s="4" t="n">
        <v>4735</v>
      </c>
      <c r="I280" s="4" t="n">
        <v>1432</v>
      </c>
      <c r="J280" s="5" t="n">
        <v>0</v>
      </c>
      <c r="K280" s="4" t="n">
        <v>1780</v>
      </c>
      <c r="L280" s="4" t="n">
        <v>538</v>
      </c>
      <c r="M280" s="5" t="n">
        <v>0</v>
      </c>
      <c r="N280" s="3" t="inlineStr">
        <is>
          <t>1</t>
        </is>
      </c>
      <c r="O280" s="3" t="inlineStr">
        <is>
          <t>-</t>
        </is>
      </c>
      <c r="P280" s="3" t="inlineStr">
        <is>
          <t>남세종I.C차량시간5분대, 대형물류창고</t>
        </is>
      </c>
      <c r="Q280" s="6">
        <f>HYPERLINK("https://fin.land.naver.com/articles/2647253573", "매물Link")</f>
        <v/>
      </c>
      <c r="R280" s="6">
        <f>HYPERLINK("https://map.naver.com/p/search/세종특별자치시 나성동 829", "지도Link")</f>
        <v/>
      </c>
      <c r="S280" s="6">
        <f>HYPERLINK("http://www.eum.go.kr/web/ar/lu/luLandDet.jsp?pnu=3611010700108290000&amp;isNoScr=script&amp;mode=search", "토지이음")</f>
        <v/>
      </c>
      <c r="T280" s="3" t="inlineStr">
        <is>
          <t>미래로</t>
        </is>
      </c>
      <c r="U280" s="3" t="n">
        <v>1</v>
      </c>
      <c r="V280" s="3" t="inlineStr">
        <is>
          <t>901(전망공간)</t>
        </is>
      </c>
      <c r="W280" s="4" t="n">
        <v>1780</v>
      </c>
      <c r="X280" s="3" t="inlineStr">
        <is>
          <t>철근콘크리트구조</t>
        </is>
      </c>
      <c r="Y280" s="3" t="inlineStr">
        <is>
          <t>제2종근린생활시설</t>
        </is>
      </c>
      <c r="Z280" s="3" t="inlineStr">
        <is>
          <t>-m</t>
        </is>
      </c>
      <c r="AA280" s="3" t="inlineStr">
        <is>
          <t>2021-08-20</t>
        </is>
      </c>
    </row>
    <row r="281">
      <c r="A281" s="3" t="inlineStr">
        <is>
          <t>세종특별자치시 나성동 829</t>
        </is>
      </c>
      <c r="B281" s="3" t="inlineStr">
        <is>
          <t>중심상업지역</t>
        </is>
      </c>
      <c r="C281" s="3" t="inlineStr">
        <is>
          <t>대</t>
        </is>
      </c>
      <c r="D281" s="3" t="inlineStr">
        <is>
          <t>창고</t>
        </is>
      </c>
      <c r="E281" s="3" t="inlineStr">
        <is>
          <t>매매</t>
        </is>
      </c>
      <c r="F281" s="4" t="n">
        <v>230000</v>
      </c>
      <c r="G281" s="4" t="n">
        <v>0</v>
      </c>
      <c r="H281" s="4" t="n">
        <v>4145</v>
      </c>
      <c r="I281" s="4" t="n">
        <v>1254</v>
      </c>
      <c r="J281" s="5" t="n">
        <v>183.4</v>
      </c>
      <c r="K281" s="4" t="n">
        <v>1283</v>
      </c>
      <c r="L281" s="4" t="n">
        <v>388</v>
      </c>
      <c r="M281" s="5" t="n">
        <v>592.8</v>
      </c>
      <c r="N281" s="3" t="inlineStr">
        <is>
          <t>2</t>
        </is>
      </c>
      <c r="O281" s="3" t="inlineStr">
        <is>
          <t>-</t>
        </is>
      </c>
      <c r="P281" s="3" t="inlineStr">
        <is>
          <t>nan</t>
        </is>
      </c>
      <c r="Q281" s="6">
        <f>HYPERLINK("https://fin.land.naver.com/articles/2645104604", "매물Link")</f>
        <v/>
      </c>
      <c r="R281" s="6">
        <f>HYPERLINK("https://map.naver.com/p/search/세종특별자치시 나성동 829", "지도Link")</f>
        <v/>
      </c>
      <c r="S281" s="6">
        <f>HYPERLINK("http://www.eum.go.kr/web/ar/lu/luLandDet.jsp?pnu=3611010700108290000&amp;isNoScr=script&amp;mode=search", "토지이음")</f>
        <v/>
      </c>
      <c r="T281" s="3" t="inlineStr">
        <is>
          <t>명성</t>
        </is>
      </c>
      <c r="U281" s="3" t="n">
        <v>1</v>
      </c>
      <c r="V281" s="3" t="inlineStr">
        <is>
          <t>605</t>
        </is>
      </c>
      <c r="W281" s="4" t="n">
        <v>1283</v>
      </c>
      <c r="X281" s="3" t="inlineStr">
        <is>
          <t>철근콘크리트구조</t>
        </is>
      </c>
      <c r="Y281" s="3" t="inlineStr">
        <is>
          <t>공동주택</t>
        </is>
      </c>
      <c r="Z281" s="3" t="inlineStr">
        <is>
          <t>45.30m</t>
        </is>
      </c>
      <c r="AA281" s="3" t="inlineStr">
        <is>
          <t>2021-08-20</t>
        </is>
      </c>
    </row>
    <row r="282">
      <c r="A282" s="3" t="inlineStr">
        <is>
          <t>세종특별자치시 나성동 829</t>
        </is>
      </c>
      <c r="B282" s="3" t="inlineStr">
        <is>
          <t>중심상업지역</t>
        </is>
      </c>
      <c r="C282" s="3" t="inlineStr">
        <is>
          <t>대</t>
        </is>
      </c>
      <c r="D282" s="3" t="inlineStr">
        <is>
          <t>공장</t>
        </is>
      </c>
      <c r="E282" s="3" t="inlineStr">
        <is>
          <t>월세</t>
        </is>
      </c>
      <c r="F282" s="4" t="n">
        <v>3000</v>
      </c>
      <c r="G282" s="4" t="n">
        <v>300</v>
      </c>
      <c r="H282" s="4" t="n">
        <v>3692</v>
      </c>
      <c r="I282" s="4" t="n">
        <v>1117</v>
      </c>
      <c r="J282" s="5" t="n">
        <v>0.3</v>
      </c>
      <c r="K282" s="4" t="n">
        <v>1071</v>
      </c>
      <c r="L282" s="4" t="n">
        <v>324</v>
      </c>
      <c r="M282" s="5" t="n">
        <v>0.9</v>
      </c>
      <c r="N282" s="3" t="inlineStr">
        <is>
          <t>1</t>
        </is>
      </c>
      <c r="O282" s="3" t="inlineStr">
        <is>
          <t>-</t>
        </is>
      </c>
      <c r="P282" s="3" t="inlineStr">
        <is>
          <t>2차선 국도변 교통조건 및 위치 최상,공장용도 최상,서논산IC10여분이내</t>
        </is>
      </c>
      <c r="Q282" s="6">
        <f>HYPERLINK("https://fin.land.naver.com/articles/2646530538", "매물Link")</f>
        <v/>
      </c>
      <c r="R282" s="6">
        <f>HYPERLINK("https://map.naver.com/p/search/세종특별자치시 나성동 829", "지도Link")</f>
        <v/>
      </c>
      <c r="S282" s="6">
        <f>HYPERLINK("http://www.eum.go.kr/web/ar/lu/luLandDet.jsp?pnu=3611010700108290000&amp;isNoScr=script&amp;mode=search", "토지이음")</f>
        <v/>
      </c>
      <c r="T282" s="3" t="inlineStr">
        <is>
          <t>에이스</t>
        </is>
      </c>
      <c r="U282" s="3" t="n">
        <v>1</v>
      </c>
      <c r="V282" s="3" t="inlineStr">
        <is>
          <t>604</t>
        </is>
      </c>
      <c r="W282" s="4" t="n">
        <v>1071</v>
      </c>
      <c r="X282" s="3" t="inlineStr">
        <is>
          <t>철근콘크리트구조</t>
        </is>
      </c>
      <c r="Y282" s="3" t="inlineStr">
        <is>
          <t>공동주택</t>
        </is>
      </c>
      <c r="Z282" s="3" t="inlineStr">
        <is>
          <t>38.30m</t>
        </is>
      </c>
      <c r="AA282" s="3" t="inlineStr">
        <is>
          <t>2021-08-20</t>
        </is>
      </c>
    </row>
    <row r="283">
      <c r="A283" s="3" t="inlineStr">
        <is>
          <t>세종특별자치시 나성동 829</t>
        </is>
      </c>
      <c r="B283" s="3" t="inlineStr">
        <is>
          <t>중심상업지역</t>
        </is>
      </c>
      <c r="C283" s="3" t="inlineStr">
        <is>
          <t>대</t>
        </is>
      </c>
      <c r="D283" s="3" t="inlineStr">
        <is>
          <t>공장</t>
        </is>
      </c>
      <c r="E283" s="3" t="inlineStr">
        <is>
          <t>매매</t>
        </is>
      </c>
      <c r="F283" s="4" t="n">
        <v>84000</v>
      </c>
      <c r="G283" s="4" t="n">
        <v>0</v>
      </c>
      <c r="H283" s="4" t="n">
        <v>5202</v>
      </c>
      <c r="I283" s="4" t="n">
        <v>1574</v>
      </c>
      <c r="J283" s="5" t="n">
        <v>53.4</v>
      </c>
      <c r="K283" s="4" t="n">
        <v>1062</v>
      </c>
      <c r="L283" s="4" t="n">
        <v>321</v>
      </c>
      <c r="M283" s="5" t="n">
        <v>261.7</v>
      </c>
      <c r="N283" s="3" t="inlineStr">
        <is>
          <t>1</t>
        </is>
      </c>
      <c r="O283" s="3" t="inlineStr">
        <is>
          <t>-</t>
        </is>
      </c>
      <c r="P283" s="3" t="inlineStr">
        <is>
          <t>공주IC에서 7분</t>
        </is>
      </c>
      <c r="Q283" s="6">
        <f>HYPERLINK("https://fin.land.naver.com/articles/2648918805", "매물Link")</f>
        <v/>
      </c>
      <c r="R283" s="6">
        <f>HYPERLINK("https://map.naver.com/p/search/세종특별자치시 나성동 829", "지도Link")</f>
        <v/>
      </c>
      <c r="S283" s="6">
        <f>HYPERLINK("http://www.eum.go.kr/web/ar/lu/luLandDet.jsp?pnu=3611010700108290000&amp;isNoScr=script&amp;mode=search", "토지이음")</f>
        <v/>
      </c>
      <c r="T283" s="3" t="inlineStr">
        <is>
          <t>미더스</t>
        </is>
      </c>
      <c r="U283" s="3" t="n">
        <v>1</v>
      </c>
      <c r="V283" s="3" t="inlineStr">
        <is>
          <t>604</t>
        </is>
      </c>
      <c r="W283" s="4" t="n">
        <v>1062</v>
      </c>
      <c r="X283" s="3" t="inlineStr">
        <is>
          <t>철근콘크리트구조</t>
        </is>
      </c>
      <c r="Y283" s="3" t="inlineStr">
        <is>
          <t>공동주택</t>
        </is>
      </c>
      <c r="Z283" s="3" t="inlineStr">
        <is>
          <t>38.30m</t>
        </is>
      </c>
      <c r="AA283" s="3" t="inlineStr">
        <is>
          <t>2021-08-20</t>
        </is>
      </c>
    </row>
    <row r="284">
      <c r="A284" s="3" t="inlineStr">
        <is>
          <t>세종특별자치시 나성동 829</t>
        </is>
      </c>
      <c r="B284" s="3" t="inlineStr">
        <is>
          <t>중심상업지역</t>
        </is>
      </c>
      <c r="C284" s="3" t="inlineStr">
        <is>
          <t>대</t>
        </is>
      </c>
      <c r="D284" s="3" t="inlineStr">
        <is>
          <t>공장</t>
        </is>
      </c>
      <c r="E284" s="3" t="inlineStr">
        <is>
          <t>매매</t>
        </is>
      </c>
      <c r="F284" s="4" t="n">
        <v>84000</v>
      </c>
      <c r="G284" s="4" t="n">
        <v>0</v>
      </c>
      <c r="H284" s="4" t="n">
        <v>4399</v>
      </c>
      <c r="I284" s="4" t="n">
        <v>1331</v>
      </c>
      <c r="J284" s="5" t="n">
        <v>63.1</v>
      </c>
      <c r="K284" s="4" t="n">
        <v>1056</v>
      </c>
      <c r="L284" s="4" t="n">
        <v>319</v>
      </c>
      <c r="M284" s="5" t="n">
        <v>263.3</v>
      </c>
      <c r="N284" s="3" t="inlineStr">
        <is>
          <t>1</t>
        </is>
      </c>
      <c r="O284" s="3" t="inlineStr">
        <is>
          <t>-</t>
        </is>
      </c>
      <c r="P284" s="3" t="inlineStr">
        <is>
          <t>현재는  밤 관련 업무를 하며 매매시 1월이내  철수</t>
        </is>
      </c>
      <c r="Q284" s="6">
        <f>HYPERLINK("https://fin.land.naver.com/articles/2648764433", "매물Link")</f>
        <v/>
      </c>
      <c r="R284" s="6">
        <f>HYPERLINK("https://map.naver.com/p/search/세종특별자치시 나성동 829", "지도Link")</f>
        <v/>
      </c>
      <c r="S284" s="6">
        <f>HYPERLINK("http://www.eum.go.kr/web/ar/lu/luLandDet.jsp?pnu=3611010700108290000&amp;isNoScr=script&amp;mode=search", "토지이음")</f>
        <v/>
      </c>
      <c r="T284" s="3" t="inlineStr">
        <is>
          <t>다  사무소</t>
        </is>
      </c>
      <c r="U284" s="3" t="n">
        <v>1</v>
      </c>
      <c r="V284" s="3" t="inlineStr">
        <is>
          <t>604</t>
        </is>
      </c>
      <c r="W284" s="4" t="n">
        <v>1056</v>
      </c>
      <c r="X284" s="3" t="inlineStr">
        <is>
          <t>철근콘크리트구조</t>
        </is>
      </c>
      <c r="Y284" s="3" t="inlineStr">
        <is>
          <t>공동주택</t>
        </is>
      </c>
      <c r="Z284" s="3" t="inlineStr">
        <is>
          <t>38.30m</t>
        </is>
      </c>
      <c r="AA284" s="3" t="inlineStr">
        <is>
          <t>2021-08-20</t>
        </is>
      </c>
    </row>
    <row r="285">
      <c r="A285" s="3" t="inlineStr">
        <is>
          <t>세종특별자치시 나성동 829</t>
        </is>
      </c>
      <c r="B285" s="3" t="inlineStr">
        <is>
          <t>중심상업지역</t>
        </is>
      </c>
      <c r="C285" s="3" t="inlineStr">
        <is>
          <t>대</t>
        </is>
      </c>
      <c r="D285" s="3" t="inlineStr">
        <is>
          <t>창고</t>
        </is>
      </c>
      <c r="E285" s="3" t="inlineStr">
        <is>
          <t>월세</t>
        </is>
      </c>
      <c r="F285" s="4" t="n">
        <v>500</v>
      </c>
      <c r="G285" s="4" t="n">
        <v>50</v>
      </c>
      <c r="H285" s="4" t="n">
        <v>432</v>
      </c>
      <c r="I285" s="4" t="n">
        <v>131</v>
      </c>
      <c r="J285" s="5" t="n">
        <v>0.4</v>
      </c>
      <c r="K285" s="4" t="n">
        <v>197</v>
      </c>
      <c r="L285" s="4" t="n">
        <v>60</v>
      </c>
      <c r="M285" s="5" t="n">
        <v>0.8</v>
      </c>
      <c r="N285" s="3" t="inlineStr">
        <is>
          <t>1</t>
        </is>
      </c>
      <c r="O285" s="3" t="inlineStr">
        <is>
          <t>-</t>
        </is>
      </c>
      <c r="P285" s="3" t="inlineStr">
        <is>
          <t>2차선 도로변 소형창고</t>
        </is>
      </c>
      <c r="Q285" s="6">
        <f>HYPERLINK("https://fin.land.naver.com/articles/2645525886", "매물Link")</f>
        <v/>
      </c>
      <c r="R285" s="6">
        <f>HYPERLINK("https://map.naver.com/p/search/세종특별자치시 나성동 829", "지도Link")</f>
        <v/>
      </c>
      <c r="S285" s="6">
        <f>HYPERLINK("http://www.eum.go.kr/web/ar/lu/luLandDet.jsp?pnu=3611010700108290000&amp;isNoScr=script&amp;mode=search", "토지이음")</f>
        <v/>
      </c>
      <c r="T285" s="3" t="inlineStr">
        <is>
          <t>랜드맥스</t>
        </is>
      </c>
      <c r="U285" s="3" t="n">
        <v>1</v>
      </c>
      <c r="V285" s="3" t="inlineStr">
        <is>
          <t>공동주택 주민공동시설</t>
        </is>
      </c>
      <c r="W285" s="4" t="n">
        <v>197</v>
      </c>
      <c r="X285" s="3" t="inlineStr">
        <is>
          <t>철근콘크리트구조</t>
        </is>
      </c>
      <c r="Y285" s="3" t="inlineStr">
        <is>
          <t>공동주택</t>
        </is>
      </c>
      <c r="Z285" s="3" t="inlineStr">
        <is>
          <t>-m</t>
        </is>
      </c>
      <c r="AA285" s="3" t="inlineStr">
        <is>
          <t>2021-08-20</t>
        </is>
      </c>
    </row>
    <row r="286">
      <c r="A286" s="3" t="inlineStr">
        <is>
          <t>세종특별자치시 나성동 829</t>
        </is>
      </c>
      <c r="B286" s="3" t="inlineStr">
        <is>
          <t>중심상업지역</t>
        </is>
      </c>
      <c r="C286" s="3" t="inlineStr">
        <is>
          <t>대</t>
        </is>
      </c>
      <c r="D286" s="3" t="inlineStr">
        <is>
          <t>기타</t>
        </is>
      </c>
      <c r="E286" s="3" t="inlineStr">
        <is>
          <t>매매</t>
        </is>
      </c>
      <c r="F286" s="4" t="n">
        <v>120000</v>
      </c>
      <c r="G286" s="4" t="n">
        <v>0</v>
      </c>
      <c r="H286" s="4" t="n">
        <v>2679</v>
      </c>
      <c r="I286" s="4" t="n">
        <v>810</v>
      </c>
      <c r="J286" s="5" t="n">
        <v>148.1</v>
      </c>
      <c r="K286" s="4" t="n">
        <v>1171</v>
      </c>
      <c r="L286" s="4" t="n">
        <v>354</v>
      </c>
      <c r="M286" s="5" t="n">
        <v>339</v>
      </c>
      <c r="N286" s="3" t="inlineStr">
        <is>
          <t>1</t>
        </is>
      </c>
      <c r="O286" s="3" t="inlineStr">
        <is>
          <t>-</t>
        </is>
      </c>
      <c r="P286" s="3" t="inlineStr">
        <is>
          <t>7개동 태양광설치된 버섯재배사 왕복2차로접 매12억</t>
        </is>
      </c>
      <c r="Q286" s="6">
        <f>HYPERLINK("https://fin.land.naver.com/articles/2648078582", "매물Link")</f>
        <v/>
      </c>
      <c r="R286" s="6">
        <f>HYPERLINK("https://map.naver.com/p/search/세종특별자치시 나성동 829", "지도Link")</f>
        <v/>
      </c>
      <c r="S286" s="6">
        <f>HYPERLINK("http://www.eum.go.kr/web/ar/lu/luLandDet.jsp?pnu=3611010700108290000&amp;isNoScr=script&amp;mode=search", "토지이음")</f>
        <v/>
      </c>
      <c r="T286" s="3" t="inlineStr">
        <is>
          <t>불당대원</t>
        </is>
      </c>
      <c r="U286" s="3" t="n">
        <v>1</v>
      </c>
      <c r="V286" s="3" t="inlineStr">
        <is>
          <t>605</t>
        </is>
      </c>
      <c r="W286" s="4" t="n">
        <v>1171</v>
      </c>
      <c r="X286" s="3" t="inlineStr">
        <is>
          <t>철근콘크리트구조</t>
        </is>
      </c>
      <c r="Y286" s="3" t="inlineStr">
        <is>
          <t>공동주택</t>
        </is>
      </c>
      <c r="Z286" s="3" t="inlineStr">
        <is>
          <t>45.30m</t>
        </is>
      </c>
      <c r="AA286" s="3" t="inlineStr">
        <is>
          <t>2021-08-20</t>
        </is>
      </c>
    </row>
    <row r="287">
      <c r="A287" s="3" t="inlineStr">
        <is>
          <t>세종특별자치시 나성동 829</t>
        </is>
      </c>
      <c r="B287" s="3" t="inlineStr">
        <is>
          <t>중심상업지역</t>
        </is>
      </c>
      <c r="C287" s="3" t="inlineStr">
        <is>
          <t>대</t>
        </is>
      </c>
      <c r="D287" s="3" t="inlineStr">
        <is>
          <t>공장</t>
        </is>
      </c>
      <c r="E287" s="3" t="inlineStr">
        <is>
          <t>매매</t>
        </is>
      </c>
      <c r="F287" s="4" t="n">
        <v>120000</v>
      </c>
      <c r="G287" s="4" t="n">
        <v>0</v>
      </c>
      <c r="H287" s="4" t="n">
        <v>7997</v>
      </c>
      <c r="I287" s="4" t="n">
        <v>2419</v>
      </c>
      <c r="J287" s="5" t="n">
        <v>49.6</v>
      </c>
      <c r="K287" s="4" t="n">
        <v>627</v>
      </c>
      <c r="L287" s="4" t="n">
        <v>190</v>
      </c>
      <c r="M287" s="5" t="n">
        <v>631.6</v>
      </c>
      <c r="N287" s="3" t="inlineStr">
        <is>
          <t>1</t>
        </is>
      </c>
      <c r="O287" s="3" t="inlineStr">
        <is>
          <t>-</t>
        </is>
      </c>
      <c r="P287" s="3" t="inlineStr">
        <is>
          <t>부지가 넓어 야적하기좋은 공장 또는 창고용도</t>
        </is>
      </c>
      <c r="Q287" s="6">
        <f>HYPERLINK("https://fin.land.naver.com/articles/2646256144", "매물Link")</f>
        <v/>
      </c>
      <c r="R287" s="6">
        <f>HYPERLINK("https://map.naver.com/p/search/세종특별자치시 나성동 829", "지도Link")</f>
        <v/>
      </c>
      <c r="S287" s="6">
        <f>HYPERLINK("http://www.eum.go.kr/web/ar/lu/luLandDet.jsp?pnu=3611010700108290000&amp;isNoScr=script&amp;mode=search", "토지이음")</f>
        <v/>
      </c>
      <c r="T287" s="3" t="inlineStr">
        <is>
          <t>미래로</t>
        </is>
      </c>
      <c r="U287" s="3" t="n">
        <v>1</v>
      </c>
      <c r="V287" s="3" t="inlineStr">
        <is>
          <t>803</t>
        </is>
      </c>
      <c r="W287" s="4" t="n">
        <v>627</v>
      </c>
      <c r="X287" s="3" t="inlineStr">
        <is>
          <t>철근콘크리트구조</t>
        </is>
      </c>
      <c r="Y287" s="3" t="inlineStr">
        <is>
          <t>제2종근린생활시설</t>
        </is>
      </c>
      <c r="Z287" s="3" t="inlineStr">
        <is>
          <t>-m</t>
        </is>
      </c>
      <c r="AA287" s="3" t="inlineStr">
        <is>
          <t>2021-08-20</t>
        </is>
      </c>
    </row>
    <row r="288">
      <c r="A288" s="3" t="inlineStr">
        <is>
          <t>세종특별자치시 나성동 829</t>
        </is>
      </c>
      <c r="B288" s="3" t="inlineStr">
        <is>
          <t>중심상업지역</t>
        </is>
      </c>
      <c r="C288" s="3" t="inlineStr">
        <is>
          <t>대</t>
        </is>
      </c>
      <c r="D288" s="3" t="inlineStr">
        <is>
          <t>공장</t>
        </is>
      </c>
      <c r="E288" s="3" t="inlineStr">
        <is>
          <t>월세</t>
        </is>
      </c>
      <c r="F288" s="4" t="n">
        <v>4000</v>
      </c>
      <c r="G288" s="4" t="n">
        <v>400</v>
      </c>
      <c r="H288" s="4" t="n">
        <v>3138</v>
      </c>
      <c r="I288" s="4" t="n">
        <v>949</v>
      </c>
      <c r="J288" s="5" t="n">
        <v>0.4</v>
      </c>
      <c r="K288" s="4" t="n">
        <v>1118</v>
      </c>
      <c r="L288" s="4" t="n">
        <v>338</v>
      </c>
      <c r="M288" s="5" t="n">
        <v>1.2</v>
      </c>
      <c r="N288" s="3" t="inlineStr">
        <is>
          <t>2</t>
        </is>
      </c>
      <c r="O288" s="3" t="inlineStr">
        <is>
          <t>-</t>
        </is>
      </c>
      <c r="P288" s="3" t="inlineStr">
        <is>
          <t>마당넓어 야적, 주차시설넉넉, 2차선접, 상태좋은공장, 매매도가능</t>
        </is>
      </c>
      <c r="Q288" s="6">
        <f>HYPERLINK("https://fin.land.naver.com/articles/2645719556", "매물Link")</f>
        <v/>
      </c>
      <c r="R288" s="6">
        <f>HYPERLINK("https://map.naver.com/p/search/세종특별자치시 나성동 829", "지도Link")</f>
        <v/>
      </c>
      <c r="S288" s="6">
        <f>HYPERLINK("http://www.eum.go.kr/web/ar/lu/luLandDet.jsp?pnu=3611010700108290000&amp;isNoScr=script&amp;mode=search", "토지이음")</f>
        <v/>
      </c>
      <c r="T288" s="3" t="inlineStr">
        <is>
          <t>대승</t>
        </is>
      </c>
      <c r="U288" s="3" t="n">
        <v>1</v>
      </c>
      <c r="V288" s="3" t="inlineStr">
        <is>
          <t>605</t>
        </is>
      </c>
      <c r="W288" s="4" t="n">
        <v>1118</v>
      </c>
      <c r="X288" s="3" t="inlineStr">
        <is>
          <t>철근콘크리트구조</t>
        </is>
      </c>
      <c r="Y288" s="3" t="inlineStr">
        <is>
          <t>공동주택</t>
        </is>
      </c>
      <c r="Z288" s="3" t="inlineStr">
        <is>
          <t>45.30m</t>
        </is>
      </c>
      <c r="AA288" s="3" t="inlineStr">
        <is>
          <t>2021-08-20</t>
        </is>
      </c>
    </row>
    <row r="289">
      <c r="A289" s="3" t="inlineStr">
        <is>
          <t>세종특별자치시 나성동 829</t>
        </is>
      </c>
      <c r="B289" s="3" t="inlineStr">
        <is>
          <t>중심상업지역</t>
        </is>
      </c>
      <c r="C289" s="3" t="inlineStr">
        <is>
          <t>대</t>
        </is>
      </c>
      <c r="D289" s="3" t="inlineStr">
        <is>
          <t>공장</t>
        </is>
      </c>
      <c r="E289" s="3" t="inlineStr">
        <is>
          <t>월세</t>
        </is>
      </c>
      <c r="F289" s="4" t="n">
        <v>2000</v>
      </c>
      <c r="G289" s="4" t="n">
        <v>100</v>
      </c>
      <c r="H289" s="4" t="n">
        <v>1436</v>
      </c>
      <c r="I289" s="4" t="n">
        <v>434</v>
      </c>
      <c r="J289" s="5" t="n">
        <v>0.2</v>
      </c>
      <c r="K289" s="4" t="n">
        <v>493</v>
      </c>
      <c r="L289" s="4" t="n">
        <v>149</v>
      </c>
      <c r="M289" s="5" t="n">
        <v>0.7</v>
      </c>
      <c r="N289" s="3" t="inlineStr">
        <is>
          <t>1</t>
        </is>
      </c>
      <c r="O289" s="3" t="inlineStr">
        <is>
          <t>-</t>
        </is>
      </c>
      <c r="P289" s="3" t="inlineStr">
        <is>
          <t>마당넓음, 진입도로5톤가능, 화장실, 2층 근생, 화물엘베있음,</t>
        </is>
      </c>
      <c r="Q289" s="6">
        <f>HYPERLINK("https://fin.land.naver.com/articles/2645720812", "매물Link")</f>
        <v/>
      </c>
      <c r="R289" s="6">
        <f>HYPERLINK("https://map.naver.com/p/search/세종특별자치시 나성동 829", "지도Link")</f>
        <v/>
      </c>
      <c r="S289" s="6">
        <f>HYPERLINK("http://www.eum.go.kr/web/ar/lu/luLandDet.jsp?pnu=3611010700108290000&amp;isNoScr=script&amp;mode=search", "토지이음")</f>
        <v/>
      </c>
      <c r="T289" s="3" t="inlineStr">
        <is>
          <t>대승</t>
        </is>
      </c>
      <c r="U289" s="3" t="n">
        <v>1</v>
      </c>
      <c r="V289" s="3" t="inlineStr">
        <is>
          <t>전망공간 기계실</t>
        </is>
      </c>
      <c r="W289" s="4" t="n">
        <v>493</v>
      </c>
      <c r="X289" s="3" t="inlineStr">
        <is>
          <t>철근콘크리트구조</t>
        </is>
      </c>
      <c r="Y289" s="3" t="inlineStr">
        <is>
          <t>제2종근린생활시설</t>
        </is>
      </c>
      <c r="Z289" s="3" t="inlineStr">
        <is>
          <t>-m</t>
        </is>
      </c>
      <c r="AA289" s="3" t="inlineStr">
        <is>
          <t>2021-08-20</t>
        </is>
      </c>
    </row>
    <row r="290">
      <c r="A290" s="3" t="inlineStr">
        <is>
          <t>세종특별자치시 나성동 829</t>
        </is>
      </c>
      <c r="B290" s="3" t="inlineStr">
        <is>
          <t>중심상업지역</t>
        </is>
      </c>
      <c r="C290" s="3" t="inlineStr">
        <is>
          <t>대</t>
        </is>
      </c>
      <c r="D290" s="3" t="inlineStr">
        <is>
          <t>공장</t>
        </is>
      </c>
      <c r="E290" s="3" t="inlineStr">
        <is>
          <t>매매</t>
        </is>
      </c>
      <c r="F290" s="4" t="n">
        <v>98000</v>
      </c>
      <c r="G290" s="4" t="n">
        <v>0</v>
      </c>
      <c r="H290" s="4" t="n">
        <v>2249</v>
      </c>
      <c r="I290" s="4" t="n">
        <v>680</v>
      </c>
      <c r="J290" s="5" t="n">
        <v>144.1</v>
      </c>
      <c r="K290" s="4" t="n">
        <v>791</v>
      </c>
      <c r="L290" s="4" t="n">
        <v>239</v>
      </c>
      <c r="M290" s="5" t="n">
        <v>410</v>
      </c>
      <c r="N290" s="3" t="inlineStr">
        <is>
          <t>1</t>
        </is>
      </c>
      <c r="O290" s="3" t="inlineStr">
        <is>
          <t>-</t>
        </is>
      </c>
      <c r="P290" s="3" t="inlineStr">
        <is>
          <t>nan</t>
        </is>
      </c>
      <c r="Q290" s="6">
        <f>HYPERLINK("https://fin.land.naver.com/articles/2649584947", "매물Link")</f>
        <v/>
      </c>
      <c r="R290" s="6">
        <f>HYPERLINK("https://map.naver.com/p/search/세종특별자치시 나성동 829", "지도Link")</f>
        <v/>
      </c>
      <c r="S290" s="6">
        <f>HYPERLINK("http://www.eum.go.kr/web/ar/lu/luLandDet.jsp?pnu=3611010700108290000&amp;isNoScr=script&amp;mode=search", "토지이음")</f>
        <v/>
      </c>
      <c r="T290" s="3" t="inlineStr">
        <is>
          <t>삼보</t>
        </is>
      </c>
      <c r="U290" s="3" t="n">
        <v>1</v>
      </c>
      <c r="V290" s="3" t="inlineStr">
        <is>
          <t>공동주택 휘트니스</t>
        </is>
      </c>
      <c r="W290" s="4" t="n">
        <v>791</v>
      </c>
      <c r="X290" s="3" t="inlineStr">
        <is>
          <t>철근콘크리트구조</t>
        </is>
      </c>
      <c r="Y290" s="3" t="inlineStr">
        <is>
          <t>공동주택</t>
        </is>
      </c>
      <c r="Z290" s="3" t="inlineStr">
        <is>
          <t>-m</t>
        </is>
      </c>
      <c r="AA290" s="3" t="inlineStr">
        <is>
          <t>2021-08-20</t>
        </is>
      </c>
    </row>
    <row r="291">
      <c r="A291" s="3" t="inlineStr">
        <is>
          <t>세종특별자치시 나성동 829</t>
        </is>
      </c>
      <c r="B291" s="3" t="inlineStr">
        <is>
          <t>중심상업지역</t>
        </is>
      </c>
      <c r="C291" s="3" t="inlineStr">
        <is>
          <t>대</t>
        </is>
      </c>
      <c r="D291" s="3" t="inlineStr">
        <is>
          <t>창고</t>
        </is>
      </c>
      <c r="E291" s="3" t="inlineStr">
        <is>
          <t>매매</t>
        </is>
      </c>
      <c r="F291" s="4" t="n">
        <v>32000</v>
      </c>
      <c r="G291" s="4" t="n">
        <v>0</v>
      </c>
      <c r="H291" s="4" t="n">
        <v>704</v>
      </c>
      <c r="I291" s="4" t="n">
        <v>213</v>
      </c>
      <c r="J291" s="5" t="n">
        <v>150.2</v>
      </c>
      <c r="K291" s="4" t="n">
        <v>128</v>
      </c>
      <c r="L291" s="4" t="n">
        <v>39</v>
      </c>
      <c r="M291" s="5" t="n">
        <v>820.5</v>
      </c>
      <c r="N291" s="3" t="inlineStr">
        <is>
          <t>1</t>
        </is>
      </c>
      <c r="O291" s="3" t="inlineStr">
        <is>
          <t>-</t>
        </is>
      </c>
      <c r="P291" s="3" t="inlineStr">
        <is>
          <t>창고시설 안에 찜질방이 있음. 2차선 도로변. 자연녹지지역.</t>
        </is>
      </c>
      <c r="Q291" s="6">
        <f>HYPERLINK("https://fin.land.naver.com/articles/2649595361", "매물Link")</f>
        <v/>
      </c>
      <c r="R291" s="6">
        <f>HYPERLINK("https://map.naver.com/p/search/세종특별자치시 나성동 829", "지도Link")</f>
        <v/>
      </c>
      <c r="S291" s="6">
        <f>HYPERLINK("http://www.eum.go.kr/web/ar/lu/luLandDet.jsp?pnu=3611010700108290000&amp;isNoScr=script&amp;mode=search", "토지이음")</f>
        <v/>
      </c>
      <c r="T291" s="3" t="inlineStr">
        <is>
          <t>삼보</t>
        </is>
      </c>
      <c r="U291" s="3" t="n">
        <v>1</v>
      </c>
      <c r="V291" s="3" t="inlineStr">
        <is>
          <t>판매시설 지하주차장</t>
        </is>
      </c>
      <c r="W291" s="4" t="n">
        <v>128</v>
      </c>
      <c r="X291" s="3" t="inlineStr">
        <is>
          <t>철근콘크리트구조</t>
        </is>
      </c>
      <c r="Y291" s="3" t="inlineStr">
        <is>
          <t>판매시설</t>
        </is>
      </c>
      <c r="Z291" s="3" t="inlineStr">
        <is>
          <t>-m</t>
        </is>
      </c>
      <c r="AA291" s="3" t="inlineStr">
        <is>
          <t>2021-08-20</t>
        </is>
      </c>
    </row>
    <row r="292">
      <c r="A292" s="3" t="inlineStr">
        <is>
          <t>세종특별자치시 나성동 829</t>
        </is>
      </c>
      <c r="B292" s="3" t="inlineStr">
        <is>
          <t>중심상업지역</t>
        </is>
      </c>
      <c r="C292" s="3" t="inlineStr">
        <is>
          <t>대</t>
        </is>
      </c>
      <c r="D292" s="3" t="inlineStr">
        <is>
          <t>공장</t>
        </is>
      </c>
      <c r="E292" s="3" t="inlineStr">
        <is>
          <t>월세</t>
        </is>
      </c>
      <c r="F292" s="4" t="n">
        <v>5000</v>
      </c>
      <c r="G292" s="4" t="n">
        <v>250</v>
      </c>
      <c r="H292" s="4" t="n">
        <v>2370</v>
      </c>
      <c r="I292" s="4" t="n">
        <v>717</v>
      </c>
      <c r="J292" s="5" t="n">
        <v>0.3</v>
      </c>
      <c r="K292" s="4" t="n">
        <v>439</v>
      </c>
      <c r="L292" s="4" t="n">
        <v>133</v>
      </c>
      <c r="M292" s="5" t="n">
        <v>1.9</v>
      </c>
      <c r="N292" s="3" t="inlineStr">
        <is>
          <t>1</t>
        </is>
      </c>
      <c r="O292" s="3" t="inlineStr">
        <is>
          <t>-</t>
        </is>
      </c>
      <c r="P292" s="3" t="inlineStr">
        <is>
          <t>nan</t>
        </is>
      </c>
      <c r="Q292" s="6">
        <f>HYPERLINK("https://fin.land.naver.com/articles/2648534137", "매물Link")</f>
        <v/>
      </c>
      <c r="R292" s="6">
        <f>HYPERLINK("https://map.naver.com/p/search/세종특별자치시 나성동 829", "지도Link")</f>
        <v/>
      </c>
      <c r="S292" s="6">
        <f>HYPERLINK("http://www.eum.go.kr/web/ar/lu/luLandDet.jsp?pnu=3611010700108290000&amp;isNoScr=script&amp;mode=search", "토지이음")</f>
        <v/>
      </c>
      <c r="T292" s="3" t="inlineStr">
        <is>
          <t>스카이</t>
        </is>
      </c>
      <c r="U292" s="3" t="n">
        <v>1</v>
      </c>
      <c r="V292" s="3" t="inlineStr">
        <is>
          <t>전망공간 기계실</t>
        </is>
      </c>
      <c r="W292" s="4" t="n">
        <v>439</v>
      </c>
      <c r="X292" s="3" t="inlineStr">
        <is>
          <t>철근콘크리트구조</t>
        </is>
      </c>
      <c r="Y292" s="3" t="inlineStr">
        <is>
          <t>제2종근린생활시설</t>
        </is>
      </c>
      <c r="Z292" s="3" t="inlineStr">
        <is>
          <t>-m</t>
        </is>
      </c>
      <c r="AA292" s="3" t="inlineStr">
        <is>
          <t>2021-08-20</t>
        </is>
      </c>
    </row>
    <row r="293">
      <c r="A293" s="3" t="inlineStr">
        <is>
          <t>세종특별자치시 나성동 829</t>
        </is>
      </c>
      <c r="B293" s="3" t="inlineStr">
        <is>
          <t>중심상업지역</t>
        </is>
      </c>
      <c r="C293" s="3" t="inlineStr">
        <is>
          <t>대</t>
        </is>
      </c>
      <c r="D293" s="3" t="inlineStr">
        <is>
          <t>공장</t>
        </is>
      </c>
      <c r="E293" s="3" t="inlineStr">
        <is>
          <t>매매</t>
        </is>
      </c>
      <c r="F293" s="4" t="n">
        <v>750000</v>
      </c>
      <c r="G293" s="4" t="n">
        <v>0</v>
      </c>
      <c r="H293" s="4" t="n">
        <v>9780</v>
      </c>
      <c r="I293" s="4" t="n">
        <v>2958</v>
      </c>
      <c r="J293" s="5" t="n">
        <v>253.5</v>
      </c>
      <c r="K293" s="4" t="n">
        <v>8930</v>
      </c>
      <c r="L293" s="4" t="n">
        <v>2701</v>
      </c>
      <c r="M293" s="5" t="n">
        <v>277.7</v>
      </c>
      <c r="N293" s="3" t="inlineStr">
        <is>
          <t>2</t>
        </is>
      </c>
      <c r="O293" s="3" t="inlineStr">
        <is>
          <t>-</t>
        </is>
      </c>
      <c r="P293" s="3" t="inlineStr">
        <is>
          <t>계룡시 공장 급매 95억 에서 20억 내립니다.</t>
        </is>
      </c>
      <c r="Q293" s="6">
        <f>HYPERLINK("https://fin.land.naver.com/articles/2646040415", "매물Link")</f>
        <v/>
      </c>
      <c r="R293" s="6">
        <f>HYPERLINK("https://map.naver.com/p/search/세종특별자치시 나성동 829", "지도Link")</f>
        <v/>
      </c>
      <c r="S293" s="6">
        <f>HYPERLINK("http://www.eum.go.kr/web/ar/lu/luLandDet.jsp?pnu=3611010700108290000&amp;isNoScr=script&amp;mode=search", "토지이음")</f>
        <v/>
      </c>
      <c r="T293" s="3" t="inlineStr">
        <is>
          <t>왕중왕기업</t>
        </is>
      </c>
      <c r="U293" s="3" t="n">
        <v>1</v>
      </c>
      <c r="V293" s="3" t="inlineStr">
        <is>
          <t>603</t>
        </is>
      </c>
      <c r="W293" s="4" t="n">
        <v>8930</v>
      </c>
      <c r="X293" s="3" t="inlineStr">
        <is>
          <t>철근콘크리트구조</t>
        </is>
      </c>
      <c r="Y293" s="3" t="inlineStr">
        <is>
          <t>공동주택</t>
        </is>
      </c>
      <c r="Z293" s="3" t="inlineStr">
        <is>
          <t>94.45m</t>
        </is>
      </c>
      <c r="AA293" s="3" t="inlineStr">
        <is>
          <t>2021-08-20</t>
        </is>
      </c>
    </row>
    <row r="294">
      <c r="A294" s="3" t="inlineStr">
        <is>
          <t>세종특별자치시 나성동 829</t>
        </is>
      </c>
      <c r="B294" s="3" t="inlineStr">
        <is>
          <t>중심상업지역</t>
        </is>
      </c>
      <c r="C294" s="3" t="inlineStr">
        <is>
          <t>대</t>
        </is>
      </c>
      <c r="D294" s="3" t="inlineStr">
        <is>
          <t>공장</t>
        </is>
      </c>
      <c r="E294" s="3" t="inlineStr">
        <is>
          <t>매매</t>
        </is>
      </c>
      <c r="F294" s="4" t="n">
        <v>180000</v>
      </c>
      <c r="G294" s="4" t="n">
        <v>0</v>
      </c>
      <c r="H294" s="4" t="n">
        <v>1650</v>
      </c>
      <c r="I294" s="4" t="n">
        <v>499</v>
      </c>
      <c r="J294" s="5" t="n">
        <v>360.7</v>
      </c>
      <c r="K294" s="4" t="n">
        <v>870</v>
      </c>
      <c r="L294" s="4" t="n">
        <v>263</v>
      </c>
      <c r="M294" s="5" t="n">
        <v>684.4</v>
      </c>
      <c r="N294" s="3" t="inlineStr">
        <is>
          <t>1</t>
        </is>
      </c>
      <c r="O294" s="3" t="inlineStr">
        <is>
          <t>-</t>
        </is>
      </c>
      <c r="P294" s="3" t="inlineStr">
        <is>
          <t>소재지  충청남도 계룡시 두마면 입암리  거래형태  공장 매매  매</t>
        </is>
      </c>
      <c r="Q294" s="6">
        <f>HYPERLINK("https://fin.land.naver.com/articles/2646605058", "매물Link")</f>
        <v/>
      </c>
      <c r="R294" s="6">
        <f>HYPERLINK("https://map.naver.com/p/search/세종특별자치시 나성동 829", "지도Link")</f>
        <v/>
      </c>
      <c r="S294" s="6">
        <f>HYPERLINK("http://www.eum.go.kr/web/ar/lu/luLandDet.jsp?pnu=3611010700108290000&amp;isNoScr=script&amp;mode=search", "토지이음")</f>
        <v/>
      </c>
      <c r="T294" s="3" t="inlineStr">
        <is>
          <t>미우</t>
        </is>
      </c>
      <c r="U294" s="3" t="n">
        <v>1</v>
      </c>
      <c r="V294" s="3" t="inlineStr">
        <is>
          <t>전망공간 지하주차장</t>
        </is>
      </c>
      <c r="W294" s="4" t="n">
        <v>870</v>
      </c>
      <c r="X294" s="3" t="inlineStr">
        <is>
          <t>철근콘크리트구조</t>
        </is>
      </c>
      <c r="Y294" s="3" t="inlineStr">
        <is>
          <t>제2종근린생활시설</t>
        </is>
      </c>
      <c r="Z294" s="3" t="inlineStr">
        <is>
          <t>4.50m</t>
        </is>
      </c>
      <c r="AA294" s="3" t="inlineStr">
        <is>
          <t>2021-08-20</t>
        </is>
      </c>
    </row>
    <row r="295">
      <c r="A295" s="3" t="inlineStr">
        <is>
          <t>세종특별자치시 나성동 829</t>
        </is>
      </c>
      <c r="B295" s="3" t="inlineStr">
        <is>
          <t>중심상업지역</t>
        </is>
      </c>
      <c r="C295" s="3" t="inlineStr">
        <is>
          <t>대</t>
        </is>
      </c>
      <c r="D295" s="3" t="inlineStr">
        <is>
          <t>공장</t>
        </is>
      </c>
      <c r="E295" s="3" t="inlineStr">
        <is>
          <t>월세</t>
        </is>
      </c>
      <c r="F295" s="4" t="n">
        <v>3000</v>
      </c>
      <c r="G295" s="4" t="n">
        <v>120</v>
      </c>
      <c r="H295" s="4" t="n">
        <v>991</v>
      </c>
      <c r="I295" s="4" t="n">
        <v>300</v>
      </c>
      <c r="J295" s="5" t="n">
        <v>0.4</v>
      </c>
      <c r="K295" s="4" t="n">
        <v>398</v>
      </c>
      <c r="L295" s="4" t="n">
        <v>120</v>
      </c>
      <c r="M295" s="5" t="n">
        <v>1</v>
      </c>
      <c r="N295" s="3" t="inlineStr">
        <is>
          <t>1</t>
        </is>
      </c>
      <c r="O295" s="3" t="inlineStr">
        <is>
          <t>-</t>
        </is>
      </c>
      <c r="P295" s="3" t="inlineStr">
        <is>
          <t>논산IC8분거리, 2차선도로변, 층고높음,렉선반협의,대형차진입,주차편리</t>
        </is>
      </c>
      <c r="Q295" s="6">
        <f>HYPERLINK("https://fin.land.naver.com/articles/2645493131", "매물Link")</f>
        <v/>
      </c>
      <c r="R295" s="6">
        <f>HYPERLINK("https://map.naver.com/p/search/세종특별자치시 나성동 829", "지도Link")</f>
        <v/>
      </c>
      <c r="S295" s="6">
        <f>HYPERLINK("http://www.eum.go.kr/web/ar/lu/luLandDet.jsp?pnu=3611010700108290000&amp;isNoScr=script&amp;mode=search", "토지이음")</f>
        <v/>
      </c>
      <c r="T295" s="3" t="inlineStr">
        <is>
          <t>OK허니</t>
        </is>
      </c>
      <c r="U295" s="3" t="n">
        <v>1</v>
      </c>
      <c r="V295" s="3" t="inlineStr">
        <is>
          <t>전망공간 기계실</t>
        </is>
      </c>
      <c r="W295" s="4" t="n">
        <v>398</v>
      </c>
      <c r="X295" s="3" t="inlineStr">
        <is>
          <t>철근콘크리트구조</t>
        </is>
      </c>
      <c r="Y295" s="3" t="inlineStr">
        <is>
          <t>제2종근린생활시설</t>
        </is>
      </c>
      <c r="Z295" s="3" t="inlineStr">
        <is>
          <t>-m</t>
        </is>
      </c>
      <c r="AA295" s="3" t="inlineStr">
        <is>
          <t>2021-08-20</t>
        </is>
      </c>
    </row>
    <row r="296">
      <c r="A296" s="3" t="inlineStr">
        <is>
          <t>세종특별자치시 나성동 829</t>
        </is>
      </c>
      <c r="B296" s="3" t="inlineStr">
        <is>
          <t>중심상업지역</t>
        </is>
      </c>
      <c r="C296" s="3" t="inlineStr">
        <is>
          <t>대</t>
        </is>
      </c>
      <c r="D296" s="3" t="inlineStr">
        <is>
          <t>공장</t>
        </is>
      </c>
      <c r="E296" s="3" t="inlineStr">
        <is>
          <t>매매</t>
        </is>
      </c>
      <c r="F296" s="4" t="n">
        <v>110000</v>
      </c>
      <c r="G296" s="4" t="n">
        <v>0</v>
      </c>
      <c r="H296" s="4" t="n">
        <v>3712</v>
      </c>
      <c r="I296" s="4" t="n">
        <v>1123</v>
      </c>
      <c r="J296" s="5" t="n">
        <v>98</v>
      </c>
      <c r="K296" s="4" t="n">
        <v>689</v>
      </c>
      <c r="L296" s="4" t="n">
        <v>208</v>
      </c>
      <c r="M296" s="5" t="n">
        <v>528.8</v>
      </c>
      <c r="N296" s="3" t="inlineStr">
        <is>
          <t>1</t>
        </is>
      </c>
      <c r="O296" s="3" t="inlineStr">
        <is>
          <t>-</t>
        </is>
      </c>
      <c r="P296" s="3" t="inlineStr">
        <is>
          <t>공장동과 생활공간으로 방2,거실,사무실 별도로 마련되어 있음</t>
        </is>
      </c>
      <c r="Q296" s="6">
        <f>HYPERLINK("https://fin.land.naver.com/articles/2649701138", "매물Link")</f>
        <v/>
      </c>
      <c r="R296" s="6">
        <f>HYPERLINK("https://map.naver.com/p/search/세종특별자치시 나성동 829", "지도Link")</f>
        <v/>
      </c>
      <c r="S296" s="6">
        <f>HYPERLINK("http://www.eum.go.kr/web/ar/lu/luLandDet.jsp?pnu=3611010700108290000&amp;isNoScr=script&amp;mode=search", "토지이음")</f>
        <v/>
      </c>
      <c r="T296" s="3" t="inlineStr">
        <is>
          <t>모두무소</t>
        </is>
      </c>
      <c r="U296" s="3" t="n">
        <v>1</v>
      </c>
      <c r="V296" s="3" t="inlineStr">
        <is>
          <t>803</t>
        </is>
      </c>
      <c r="W296" s="4" t="n">
        <v>689</v>
      </c>
      <c r="X296" s="3" t="inlineStr">
        <is>
          <t>철근콘크리트구조</t>
        </is>
      </c>
      <c r="Y296" s="3" t="inlineStr">
        <is>
          <t>제2종근린생활시설</t>
        </is>
      </c>
      <c r="Z296" s="3" t="inlineStr">
        <is>
          <t>-m</t>
        </is>
      </c>
      <c r="AA296" s="3" t="inlineStr">
        <is>
          <t>2021-08-20</t>
        </is>
      </c>
    </row>
    <row r="297">
      <c r="A297" s="3" t="inlineStr">
        <is>
          <t>세종특별자치시 나성동 829</t>
        </is>
      </c>
      <c r="B297" s="3" t="inlineStr">
        <is>
          <t>중심상업지역</t>
        </is>
      </c>
      <c r="C297" s="3" t="inlineStr">
        <is>
          <t>대</t>
        </is>
      </c>
      <c r="D297" s="3" t="inlineStr">
        <is>
          <t>창고</t>
        </is>
      </c>
      <c r="E297" s="3" t="inlineStr">
        <is>
          <t>월세</t>
        </is>
      </c>
      <c r="F297" s="4" t="n">
        <v>2000</v>
      </c>
      <c r="G297" s="4" t="n">
        <v>100</v>
      </c>
      <c r="H297" s="4" t="n">
        <v>545</v>
      </c>
      <c r="I297" s="4" t="n">
        <v>165</v>
      </c>
      <c r="J297" s="5" t="n">
        <v>0.6</v>
      </c>
      <c r="K297" s="4" t="n">
        <v>492</v>
      </c>
      <c r="L297" s="4" t="n">
        <v>149</v>
      </c>
      <c r="M297" s="5" t="n">
        <v>0.7</v>
      </c>
      <c r="N297" s="3" t="inlineStr">
        <is>
          <t>2</t>
        </is>
      </c>
      <c r="O297" s="3" t="inlineStr">
        <is>
          <t>-</t>
        </is>
      </c>
      <c r="P297" s="3" t="inlineStr">
        <is>
          <t>nan</t>
        </is>
      </c>
      <c r="Q297" s="6">
        <f>HYPERLINK("https://fin.land.naver.com/articles/2650061990", "매물Link")</f>
        <v/>
      </c>
      <c r="R297" s="6">
        <f>HYPERLINK("https://map.naver.com/p/search/세종특별자치시 나성동 829", "지도Link")</f>
        <v/>
      </c>
      <c r="S297" s="6">
        <f>HYPERLINK("http://www.eum.go.kr/web/ar/lu/luLandDet.jsp?pnu=3611010700108290000&amp;isNoScr=script&amp;mode=search", "토지이음")</f>
        <v/>
      </c>
      <c r="T297" s="3" t="inlineStr">
        <is>
          <t>에이스</t>
        </is>
      </c>
      <c r="U297" s="3" t="n">
        <v>1</v>
      </c>
      <c r="V297" s="3" t="inlineStr">
        <is>
          <t>전망공간 기계실</t>
        </is>
      </c>
      <c r="W297" s="4" t="n">
        <v>492</v>
      </c>
      <c r="X297" s="3" t="inlineStr">
        <is>
          <t>철근콘크리트구조</t>
        </is>
      </c>
      <c r="Y297" s="3" t="inlineStr">
        <is>
          <t>제2종근린생활시설</t>
        </is>
      </c>
      <c r="Z297" s="3" t="inlineStr">
        <is>
          <t>-m</t>
        </is>
      </c>
      <c r="AA297" s="3" t="inlineStr">
        <is>
          <t>2021-08-20</t>
        </is>
      </c>
    </row>
    <row r="298">
      <c r="A298" s="3" t="inlineStr">
        <is>
          <t>세종특별자치시 나성동 829</t>
        </is>
      </c>
      <c r="B298" s="3" t="inlineStr">
        <is>
          <t>중심상업지역</t>
        </is>
      </c>
      <c r="C298" s="3" t="inlineStr">
        <is>
          <t>대</t>
        </is>
      </c>
      <c r="D298" s="3" t="inlineStr">
        <is>
          <t>공장</t>
        </is>
      </c>
      <c r="E298" s="3" t="inlineStr">
        <is>
          <t>매매</t>
        </is>
      </c>
      <c r="F298" s="4" t="n">
        <v>40000</v>
      </c>
      <c r="G298" s="4" t="n">
        <v>0</v>
      </c>
      <c r="H298" s="4" t="n">
        <v>2730</v>
      </c>
      <c r="I298" s="4" t="n">
        <v>826</v>
      </c>
      <c r="J298" s="5" t="n">
        <v>48.4</v>
      </c>
      <c r="K298" s="4" t="n">
        <v>1453</v>
      </c>
      <c r="L298" s="4" t="n">
        <v>440</v>
      </c>
      <c r="M298" s="5" t="n">
        <v>90.90000000000001</v>
      </c>
      <c r="N298" s="3" t="inlineStr">
        <is>
          <t>1</t>
        </is>
      </c>
      <c r="O298" s="3" t="inlineStr">
        <is>
          <t>-</t>
        </is>
      </c>
      <c r="P298" s="3" t="inlineStr">
        <is>
          <t>nan</t>
        </is>
      </c>
      <c r="Q298" s="6">
        <f>HYPERLINK("https://fin.land.naver.com/articles/2650062910", "매물Link")</f>
        <v/>
      </c>
      <c r="R298" s="6">
        <f>HYPERLINK("https://map.naver.com/p/search/세종특별자치시 나성동 829", "지도Link")</f>
        <v/>
      </c>
      <c r="S298" s="6">
        <f>HYPERLINK("http://www.eum.go.kr/web/ar/lu/luLandDet.jsp?pnu=3611010700108290000&amp;isNoScr=script&amp;mode=search", "토지이음")</f>
        <v/>
      </c>
      <c r="T298" s="3" t="inlineStr">
        <is>
          <t>에이스</t>
        </is>
      </c>
      <c r="U298" s="3" t="n">
        <v>2</v>
      </c>
      <c r="V298" s="3" t="inlineStr">
        <is>
          <t>605</t>
        </is>
      </c>
      <c r="W298" s="4" t="n">
        <v>1453</v>
      </c>
      <c r="X298" s="3" t="inlineStr">
        <is>
          <t>철근콘크리트구조</t>
        </is>
      </c>
      <c r="Y298" s="3" t="inlineStr">
        <is>
          <t>공동주택</t>
        </is>
      </c>
      <c r="Z298" s="3" t="inlineStr">
        <is>
          <t>45.30m</t>
        </is>
      </c>
      <c r="AA298" s="3" t="inlineStr">
        <is>
          <t>2021-08-20</t>
        </is>
      </c>
    </row>
    <row r="299">
      <c r="A299" s="3" t="inlineStr">
        <is>
          <t>세종특별자치시 나성동 829</t>
        </is>
      </c>
      <c r="B299" s="3" t="inlineStr">
        <is>
          <t>중심상업지역</t>
        </is>
      </c>
      <c r="C299" s="3" t="inlineStr">
        <is>
          <t>대</t>
        </is>
      </c>
      <c r="D299" s="3" t="inlineStr">
        <is>
          <t>공장</t>
        </is>
      </c>
      <c r="E299" s="3" t="inlineStr">
        <is>
          <t>월세</t>
        </is>
      </c>
      <c r="F299" s="4" t="n">
        <v>500</v>
      </c>
      <c r="G299" s="4" t="n">
        <v>50</v>
      </c>
      <c r="H299" s="4" t="n">
        <v>3944</v>
      </c>
      <c r="I299" s="4" t="n">
        <v>1193</v>
      </c>
      <c r="J299" s="5" t="n">
        <v>0</v>
      </c>
      <c r="K299" s="4" t="n">
        <v>165</v>
      </c>
      <c r="L299" s="4" t="n">
        <v>50</v>
      </c>
      <c r="M299" s="5" t="n">
        <v>1</v>
      </c>
      <c r="N299" s="3" t="inlineStr">
        <is>
          <t>1</t>
        </is>
      </c>
      <c r="O299" s="3" t="inlineStr">
        <is>
          <t>-</t>
        </is>
      </c>
      <c r="P299" s="3" t="inlineStr">
        <is>
          <t>즉시입주가능,공장등록 가능한 소규모 공장 임대,전기5kw사용중</t>
        </is>
      </c>
      <c r="Q299" s="6">
        <f>HYPERLINK("https://fin.land.naver.com/articles/2650063473", "매물Link")</f>
        <v/>
      </c>
      <c r="R299" s="6">
        <f>HYPERLINK("https://map.naver.com/p/search/세종특별자치시 나성동 829", "지도Link")</f>
        <v/>
      </c>
      <c r="S299" s="6">
        <f>HYPERLINK("http://www.eum.go.kr/web/ar/lu/luLandDet.jsp?pnu=3611010700108290000&amp;isNoScr=script&amp;mode=search", "토지이음")</f>
        <v/>
      </c>
      <c r="T299" s="3" t="inlineStr">
        <is>
          <t>에이스</t>
        </is>
      </c>
      <c r="U299" s="3" t="n">
        <v>1</v>
      </c>
      <c r="V299" s="3" t="inlineStr">
        <is>
          <t>공동주택 관리사무소</t>
        </is>
      </c>
      <c r="W299" s="4" t="n">
        <v>165</v>
      </c>
      <c r="X299" s="3" t="inlineStr">
        <is>
          <t>철근콘크리트구조</t>
        </is>
      </c>
      <c r="Y299" s="3" t="inlineStr">
        <is>
          <t>공동주택</t>
        </is>
      </c>
      <c r="Z299" s="3" t="inlineStr">
        <is>
          <t>-m</t>
        </is>
      </c>
      <c r="AA299" s="3" t="inlineStr">
        <is>
          <t>2021-08-20</t>
        </is>
      </c>
    </row>
    <row r="300">
      <c r="A300" s="3" t="inlineStr">
        <is>
          <t>세종특별자치시 나성동 829</t>
        </is>
      </c>
      <c r="B300" s="3" t="inlineStr">
        <is>
          <t>중심상업지역</t>
        </is>
      </c>
      <c r="C300" s="3" t="inlineStr">
        <is>
          <t>대</t>
        </is>
      </c>
      <c r="D300" s="3" t="inlineStr">
        <is>
          <t>공장</t>
        </is>
      </c>
      <c r="E300" s="3" t="inlineStr">
        <is>
          <t>월세</t>
        </is>
      </c>
      <c r="F300" s="4" t="n">
        <v>1000</v>
      </c>
      <c r="G300" s="4" t="n">
        <v>90</v>
      </c>
      <c r="H300" s="4" t="n">
        <v>525</v>
      </c>
      <c r="I300" s="4" t="n">
        <v>159</v>
      </c>
      <c r="J300" s="5" t="n">
        <v>0.6</v>
      </c>
      <c r="K300" s="4" t="n">
        <v>263</v>
      </c>
      <c r="L300" s="4" t="n">
        <v>80</v>
      </c>
      <c r="M300" s="5" t="n">
        <v>1.1</v>
      </c>
      <c r="N300" s="3" t="inlineStr">
        <is>
          <t>1</t>
        </is>
      </c>
      <c r="O300" s="3" t="inlineStr">
        <is>
          <t>-</t>
        </is>
      </c>
      <c r="P300" s="3" t="inlineStr">
        <is>
          <t>사진, 계룡IC5분, 공장용도, 물류창고가능, 사무실휴게실, 즉시입주</t>
        </is>
      </c>
      <c r="Q300" s="6">
        <f>HYPERLINK("https://fin.land.naver.com/articles/2646859954", "매물Link")</f>
        <v/>
      </c>
      <c r="R300" s="6">
        <f>HYPERLINK("https://map.naver.com/p/search/세종특별자치시 나성동 829", "지도Link")</f>
        <v/>
      </c>
      <c r="S300" s="6">
        <f>HYPERLINK("http://www.eum.go.kr/web/ar/lu/luLandDet.jsp?pnu=3611010700108290000&amp;isNoScr=script&amp;mode=search", "토지이음")</f>
        <v/>
      </c>
      <c r="T300" s="3" t="inlineStr">
        <is>
          <t>OK허니</t>
        </is>
      </c>
      <c r="U300" s="3" t="n">
        <v>1</v>
      </c>
      <c r="V300" s="3" t="inlineStr">
        <is>
          <t>근린생활시설 기계실</t>
        </is>
      </c>
      <c r="W300" s="4" t="n">
        <v>263</v>
      </c>
      <c r="X300" s="3" t="inlineStr">
        <is>
          <t>철근콘크리트구조</t>
        </is>
      </c>
      <c r="Y300" s="3" t="inlineStr">
        <is>
          <t>제2종근린생활시설</t>
        </is>
      </c>
      <c r="Z300" s="3" t="inlineStr">
        <is>
          <t>-m</t>
        </is>
      </c>
      <c r="AA300" s="3" t="inlineStr">
        <is>
          <t>2021-08-20</t>
        </is>
      </c>
    </row>
    <row r="301">
      <c r="A301" s="3" t="inlineStr">
        <is>
          <t>세종특별자치시 나성동 829</t>
        </is>
      </c>
      <c r="B301" s="3" t="inlineStr">
        <is>
          <t>중심상업지역</t>
        </is>
      </c>
      <c r="C301" s="3" t="inlineStr">
        <is>
          <t>대</t>
        </is>
      </c>
      <c r="D301" s="3" t="inlineStr">
        <is>
          <t>공장</t>
        </is>
      </c>
      <c r="E301" s="3" t="inlineStr">
        <is>
          <t>매매</t>
        </is>
      </c>
      <c r="F301" s="4" t="n">
        <v>160000</v>
      </c>
      <c r="G301" s="4" t="n">
        <v>0</v>
      </c>
      <c r="H301" s="4" t="n">
        <v>4503</v>
      </c>
      <c r="I301" s="4" t="n">
        <v>1362</v>
      </c>
      <c r="J301" s="5" t="n">
        <v>117.5</v>
      </c>
      <c r="K301" s="4" t="n">
        <v>1145</v>
      </c>
      <c r="L301" s="4" t="n">
        <v>346</v>
      </c>
      <c r="M301" s="5" t="n">
        <v>462.4</v>
      </c>
      <c r="N301" s="3" t="inlineStr">
        <is>
          <t>1</t>
        </is>
      </c>
      <c r="O301" s="3" t="inlineStr">
        <is>
          <t>-</t>
        </is>
      </c>
      <c r="P301" s="3" t="inlineStr">
        <is>
          <t>계룡IC에서 12분</t>
        </is>
      </c>
      <c r="Q301" s="6">
        <f>HYPERLINK("https://fin.land.naver.com/articles/2649496572", "매물Link")</f>
        <v/>
      </c>
      <c r="R301" s="6">
        <f>HYPERLINK("https://map.naver.com/p/search/세종특별자치시 나성동 829", "지도Link")</f>
        <v/>
      </c>
      <c r="S301" s="6">
        <f>HYPERLINK("http://www.eum.go.kr/web/ar/lu/luLandDet.jsp?pnu=3611010700108290000&amp;isNoScr=script&amp;mode=search", "토지이음")</f>
        <v/>
      </c>
      <c r="T301" s="3" t="inlineStr">
        <is>
          <t>미더스</t>
        </is>
      </c>
      <c r="U301" s="3" t="n">
        <v>1</v>
      </c>
      <c r="V301" s="3" t="inlineStr">
        <is>
          <t>605</t>
        </is>
      </c>
      <c r="W301" s="4" t="n">
        <v>1145</v>
      </c>
      <c r="X301" s="3" t="inlineStr">
        <is>
          <t>철근콘크리트구조</t>
        </is>
      </c>
      <c r="Y301" s="3" t="inlineStr">
        <is>
          <t>공동주택</t>
        </is>
      </c>
      <c r="Z301" s="3" t="inlineStr">
        <is>
          <t>45.30m</t>
        </is>
      </c>
      <c r="AA301" s="3" t="inlineStr">
        <is>
          <t>2021-08-20</t>
        </is>
      </c>
    </row>
    <row r="302">
      <c r="A302" s="3" t="inlineStr">
        <is>
          <t>세종특별자치시 나성동 829</t>
        </is>
      </c>
      <c r="B302" s="3" t="inlineStr">
        <is>
          <t>중심상업지역</t>
        </is>
      </c>
      <c r="C302" s="3" t="inlineStr">
        <is>
          <t>대</t>
        </is>
      </c>
      <c r="D302" s="3" t="inlineStr">
        <is>
          <t>창고</t>
        </is>
      </c>
      <c r="E302" s="3" t="inlineStr">
        <is>
          <t>월세</t>
        </is>
      </c>
      <c r="F302" s="4" t="n">
        <v>1000</v>
      </c>
      <c r="G302" s="4" t="n">
        <v>200</v>
      </c>
      <c r="H302" s="4" t="n">
        <v>655</v>
      </c>
      <c r="I302" s="4" t="n">
        <v>198</v>
      </c>
      <c r="J302" s="5" t="n">
        <v>1</v>
      </c>
      <c r="K302" s="4" t="n">
        <v>330</v>
      </c>
      <c r="L302" s="4" t="n">
        <v>100</v>
      </c>
      <c r="M302" s="5" t="n">
        <v>2</v>
      </c>
      <c r="N302" s="3" t="inlineStr">
        <is>
          <t>1</t>
        </is>
      </c>
      <c r="O302" s="3" t="inlineStr">
        <is>
          <t>-</t>
        </is>
      </c>
      <c r="P302" s="3" t="inlineStr">
        <is>
          <t>연산시장 주변 층고높은 냉동창고 임대,일반창고도 가능,부가세별도</t>
        </is>
      </c>
      <c r="Q302" s="6">
        <f>HYPERLINK("https://fin.land.naver.com/articles/2645548421", "매물Link")</f>
        <v/>
      </c>
      <c r="R302" s="6">
        <f>HYPERLINK("https://map.naver.com/p/search/세종특별자치시 나성동 829", "지도Link")</f>
        <v/>
      </c>
      <c r="S302" s="6">
        <f>HYPERLINK("http://www.eum.go.kr/web/ar/lu/luLandDet.jsp?pnu=3611010700108290000&amp;isNoScr=script&amp;mode=search", "토지이음")</f>
        <v/>
      </c>
      <c r="T302" s="3" t="inlineStr">
        <is>
          <t>에이스</t>
        </is>
      </c>
      <c r="U302" s="3" t="n">
        <v>1</v>
      </c>
      <c r="V302" s="3" t="inlineStr">
        <is>
          <t>801</t>
        </is>
      </c>
      <c r="W302" s="4" t="n">
        <v>330</v>
      </c>
      <c r="X302" s="3" t="inlineStr">
        <is>
          <t>철근콘크리트구조</t>
        </is>
      </c>
      <c r="Y302" s="3" t="inlineStr">
        <is>
          <t>제2종근린생활시설</t>
        </is>
      </c>
      <c r="Z302" s="3" t="inlineStr">
        <is>
          <t>-m</t>
        </is>
      </c>
      <c r="AA302" s="3" t="inlineStr">
        <is>
          <t>2021-08-20</t>
        </is>
      </c>
    </row>
    <row r="303">
      <c r="A303" s="3" t="inlineStr">
        <is>
          <t>세종특별자치시 나성동 829</t>
        </is>
      </c>
      <c r="B303" s="3" t="inlineStr">
        <is>
          <t>중심상업지역</t>
        </is>
      </c>
      <c r="C303" s="3" t="inlineStr">
        <is>
          <t>대</t>
        </is>
      </c>
      <c r="D303" s="3" t="inlineStr">
        <is>
          <t>창고</t>
        </is>
      </c>
      <c r="E303" s="3" t="inlineStr">
        <is>
          <t>월세</t>
        </is>
      </c>
      <c r="F303" s="4" t="n">
        <v>10000</v>
      </c>
      <c r="G303" s="4" t="n">
        <v>750</v>
      </c>
      <c r="H303" s="4" t="n">
        <v>4556</v>
      </c>
      <c r="I303" s="4" t="n">
        <v>1378</v>
      </c>
      <c r="J303" s="5" t="n">
        <v>0.5</v>
      </c>
      <c r="K303" s="4" t="n">
        <v>1299</v>
      </c>
      <c r="L303" s="4" t="n">
        <v>393</v>
      </c>
      <c r="M303" s="5" t="n">
        <v>1.9</v>
      </c>
      <c r="N303" s="3" t="inlineStr">
        <is>
          <t>2</t>
        </is>
      </c>
      <c r="O303" s="3" t="inlineStr">
        <is>
          <t>-</t>
        </is>
      </c>
      <c r="P303" s="3" t="inlineStr">
        <is>
          <t>nan</t>
        </is>
      </c>
      <c r="Q303" s="6">
        <f>HYPERLINK("https://fin.land.naver.com/articles/2645840786", "매물Link")</f>
        <v/>
      </c>
      <c r="R303" s="6">
        <f>HYPERLINK("https://map.naver.com/p/search/세종특별자치시 나성동 829", "지도Link")</f>
        <v/>
      </c>
      <c r="S303" s="6">
        <f>HYPERLINK("http://www.eum.go.kr/web/ar/lu/luLandDet.jsp?pnu=3611010700108290000&amp;isNoScr=script&amp;mode=search", "토지이음")</f>
        <v/>
      </c>
      <c r="T303" s="3" t="inlineStr">
        <is>
          <t>에이스</t>
        </is>
      </c>
      <c r="U303" s="3" t="n">
        <v>1</v>
      </c>
      <c r="V303" s="3" t="inlineStr">
        <is>
          <t>605</t>
        </is>
      </c>
      <c r="W303" s="4" t="n">
        <v>1299</v>
      </c>
      <c r="X303" s="3" t="inlineStr">
        <is>
          <t>철근콘크리트구조</t>
        </is>
      </c>
      <c r="Y303" s="3" t="inlineStr">
        <is>
          <t>공동주택</t>
        </is>
      </c>
      <c r="Z303" s="3" t="inlineStr">
        <is>
          <t>45.30m</t>
        </is>
      </c>
      <c r="AA303" s="3" t="inlineStr">
        <is>
          <t>2021-08-20</t>
        </is>
      </c>
    </row>
    <row r="304">
      <c r="A304" s="3" t="inlineStr">
        <is>
          <t>세종특별자치시 나성동 829</t>
        </is>
      </c>
      <c r="B304" s="3" t="inlineStr">
        <is>
          <t>중심상업지역</t>
        </is>
      </c>
      <c r="C304" s="3" t="inlineStr">
        <is>
          <t>대</t>
        </is>
      </c>
      <c r="D304" s="3" t="inlineStr">
        <is>
          <t>창고</t>
        </is>
      </c>
      <c r="E304" s="3" t="inlineStr">
        <is>
          <t>매매</t>
        </is>
      </c>
      <c r="F304" s="4" t="n">
        <v>95000</v>
      </c>
      <c r="G304" s="4" t="n">
        <v>0</v>
      </c>
      <c r="H304" s="4" t="n">
        <v>1838</v>
      </c>
      <c r="I304" s="4" t="n">
        <v>556</v>
      </c>
      <c r="J304" s="5" t="n">
        <v>170.9</v>
      </c>
      <c r="K304" s="4" t="n">
        <v>559</v>
      </c>
      <c r="L304" s="4" t="n">
        <v>169</v>
      </c>
      <c r="M304" s="5" t="n">
        <v>562.1</v>
      </c>
      <c r="N304" s="3" t="inlineStr">
        <is>
          <t>1</t>
        </is>
      </c>
      <c r="O304" s="3" t="inlineStr">
        <is>
          <t>-</t>
        </is>
      </c>
      <c r="P304" s="3" t="inlineStr">
        <is>
          <t>2차선 도로에 접해있는 깔끔한 창고</t>
        </is>
      </c>
      <c r="Q304" s="6">
        <f>HYPERLINK("https://fin.land.naver.com/articles/2644758168", "매물Link")</f>
        <v/>
      </c>
      <c r="R304" s="6">
        <f>HYPERLINK("https://map.naver.com/p/search/세종특별자치시 나성동 829", "지도Link")</f>
        <v/>
      </c>
      <c r="S304" s="6">
        <f>HYPERLINK("http://www.eum.go.kr/web/ar/lu/luLandDet.jsp?pnu=3611010700108290000&amp;isNoScr=script&amp;mode=search", "토지이음")</f>
        <v/>
      </c>
      <c r="T304" s="3" t="inlineStr">
        <is>
          <t>뉴계룡</t>
        </is>
      </c>
      <c r="U304" s="3" t="n">
        <v>1</v>
      </c>
      <c r="V304" s="3" t="inlineStr">
        <is>
          <t>전망공간 기계실</t>
        </is>
      </c>
      <c r="W304" s="4" t="n">
        <v>559</v>
      </c>
      <c r="X304" s="3" t="inlineStr">
        <is>
          <t>철근콘크리트구조</t>
        </is>
      </c>
      <c r="Y304" s="3" t="inlineStr">
        <is>
          <t>제2종근린생활시설</t>
        </is>
      </c>
      <c r="Z304" s="3" t="inlineStr">
        <is>
          <t>-m</t>
        </is>
      </c>
      <c r="AA304" s="3" t="inlineStr">
        <is>
          <t>2021-08-20</t>
        </is>
      </c>
    </row>
    <row r="305">
      <c r="A305" s="3" t="inlineStr">
        <is>
          <t>세종특별자치시 나성동 829</t>
        </is>
      </c>
      <c r="B305" s="3" t="inlineStr">
        <is>
          <t>중심상업지역</t>
        </is>
      </c>
      <c r="C305" s="3" t="inlineStr">
        <is>
          <t>대</t>
        </is>
      </c>
      <c r="D305" s="3" t="inlineStr">
        <is>
          <t>공장</t>
        </is>
      </c>
      <c r="E305" s="3" t="inlineStr">
        <is>
          <t>매매</t>
        </is>
      </c>
      <c r="F305" s="4" t="n">
        <v>120000</v>
      </c>
      <c r="G305" s="4" t="n">
        <v>0</v>
      </c>
      <c r="H305" s="4" t="n">
        <v>5988</v>
      </c>
      <c r="I305" s="4" t="n">
        <v>1811</v>
      </c>
      <c r="J305" s="5" t="n">
        <v>66.3</v>
      </c>
      <c r="K305" s="4" t="n">
        <v>1098</v>
      </c>
      <c r="L305" s="4" t="n">
        <v>332</v>
      </c>
      <c r="M305" s="5" t="n">
        <v>361.4</v>
      </c>
      <c r="N305" s="3" t="inlineStr">
        <is>
          <t>1</t>
        </is>
      </c>
      <c r="O305" s="3" t="inlineStr">
        <is>
          <t>-</t>
        </is>
      </c>
      <c r="P305" s="3" t="inlineStr">
        <is>
          <t>급매,넓은 부지의 계획관리지역,공장및창고,대전접근성 양호,</t>
        </is>
      </c>
      <c r="Q305" s="6">
        <f>HYPERLINK("https://fin.land.naver.com/articles/2649735036", "매물Link")</f>
        <v/>
      </c>
      <c r="R305" s="6">
        <f>HYPERLINK("https://map.naver.com/p/search/세종특별자치시 나성동 829", "지도Link")</f>
        <v/>
      </c>
      <c r="S305" s="6">
        <f>HYPERLINK("http://www.eum.go.kr/web/ar/lu/luLandDet.jsp?pnu=3611010700108290000&amp;isNoScr=script&amp;mode=search", "토지이음")</f>
        <v/>
      </c>
      <c r="T305" s="3" t="inlineStr">
        <is>
          <t>더책임</t>
        </is>
      </c>
      <c r="U305" s="3" t="n">
        <v>1</v>
      </c>
      <c r="V305" s="3" t="inlineStr">
        <is>
          <t>605</t>
        </is>
      </c>
      <c r="W305" s="4" t="n">
        <v>1098</v>
      </c>
      <c r="X305" s="3" t="inlineStr">
        <is>
          <t>철근콘크리트구조</t>
        </is>
      </c>
      <c r="Y305" s="3" t="inlineStr">
        <is>
          <t>공동주택</t>
        </is>
      </c>
      <c r="Z305" s="3" t="inlineStr">
        <is>
          <t>45.30m</t>
        </is>
      </c>
      <c r="AA305" s="3" t="inlineStr">
        <is>
          <t>2021-08-20</t>
        </is>
      </c>
    </row>
    <row r="306">
      <c r="A306" s="3" t="inlineStr">
        <is>
          <t>세종특별자치시 나성동 829</t>
        </is>
      </c>
      <c r="B306" s="3" t="inlineStr">
        <is>
          <t>중심상업지역</t>
        </is>
      </c>
      <c r="C306" s="3" t="inlineStr">
        <is>
          <t>대</t>
        </is>
      </c>
      <c r="D306" s="3" t="inlineStr">
        <is>
          <t>공장</t>
        </is>
      </c>
      <c r="E306" s="3" t="inlineStr">
        <is>
          <t>매매</t>
        </is>
      </c>
      <c r="F306" s="4" t="n">
        <v>55000</v>
      </c>
      <c r="G306" s="4" t="n">
        <v>0</v>
      </c>
      <c r="H306" s="4" t="n">
        <v>2355</v>
      </c>
      <c r="I306" s="4" t="n">
        <v>712</v>
      </c>
      <c r="J306" s="5" t="n">
        <v>77.2</v>
      </c>
      <c r="K306" s="4" t="n">
        <v>767</v>
      </c>
      <c r="L306" s="4" t="n">
        <v>232</v>
      </c>
      <c r="M306" s="5" t="n">
        <v>237.1</v>
      </c>
      <c r="N306" s="3" t="inlineStr">
        <is>
          <t>1</t>
        </is>
      </c>
      <c r="O306" s="3" t="inlineStr">
        <is>
          <t>-</t>
        </is>
      </c>
      <c r="P306" s="3" t="inlineStr">
        <is>
          <t>자원순환시설 공장 급매,서대전에서30분내외,</t>
        </is>
      </c>
      <c r="Q306" s="6">
        <f>HYPERLINK("https://fin.land.naver.com/articles/2649736839", "매물Link")</f>
        <v/>
      </c>
      <c r="R306" s="6">
        <f>HYPERLINK("https://map.naver.com/p/search/세종특별자치시 나성동 829", "지도Link")</f>
        <v/>
      </c>
      <c r="S306" s="6">
        <f>HYPERLINK("http://www.eum.go.kr/web/ar/lu/luLandDet.jsp?pnu=3611010700108290000&amp;isNoScr=script&amp;mode=search", "토지이음")</f>
        <v/>
      </c>
      <c r="T306" s="3" t="inlineStr">
        <is>
          <t>더책임</t>
        </is>
      </c>
      <c r="U306" s="3" t="n">
        <v>1</v>
      </c>
      <c r="V306" s="3" t="inlineStr">
        <is>
          <t>공동주택 휘트니스</t>
        </is>
      </c>
      <c r="W306" s="4" t="n">
        <v>767</v>
      </c>
      <c r="X306" s="3" t="inlineStr">
        <is>
          <t>철근콘크리트구조</t>
        </is>
      </c>
      <c r="Y306" s="3" t="inlineStr">
        <is>
          <t>공동주택</t>
        </is>
      </c>
      <c r="Z306" s="3" t="inlineStr">
        <is>
          <t>-m</t>
        </is>
      </c>
      <c r="AA306" s="3" t="inlineStr">
        <is>
          <t>2021-08-20</t>
        </is>
      </c>
    </row>
    <row r="307">
      <c r="A307" s="3" t="inlineStr">
        <is>
          <t>세종특별자치시 나성동 829</t>
        </is>
      </c>
      <c r="B307" s="3" t="inlineStr">
        <is>
          <t>중심상업지역</t>
        </is>
      </c>
      <c r="C307" s="3" t="inlineStr">
        <is>
          <t>대</t>
        </is>
      </c>
      <c r="D307" s="3" t="inlineStr">
        <is>
          <t>창고</t>
        </is>
      </c>
      <c r="E307" s="3" t="inlineStr">
        <is>
          <t>월세</t>
        </is>
      </c>
      <c r="F307" s="4" t="n">
        <v>4000</v>
      </c>
      <c r="G307" s="4" t="n">
        <v>270</v>
      </c>
      <c r="H307" s="4" t="n">
        <v>1652</v>
      </c>
      <c r="I307" s="4" t="n">
        <v>500</v>
      </c>
      <c r="J307" s="5" t="n">
        <v>0.5</v>
      </c>
      <c r="K307" s="4" t="n">
        <v>493</v>
      </c>
      <c r="L307" s="4" t="n">
        <v>149</v>
      </c>
      <c r="M307" s="5" t="n">
        <v>1.8</v>
      </c>
      <c r="N307" s="3" t="inlineStr">
        <is>
          <t>1</t>
        </is>
      </c>
      <c r="O307" s="3" t="inlineStr">
        <is>
          <t>-</t>
        </is>
      </c>
      <c r="P307" s="3" t="inlineStr">
        <is>
          <t>계룡IC8분, 호이스트2.8톤,사무실있음,마당넓음,대형차진입</t>
        </is>
      </c>
      <c r="Q307" s="6">
        <f>HYPERLINK("https://fin.land.naver.com/articles/2648411477", "매물Link")</f>
        <v/>
      </c>
      <c r="R307" s="6">
        <f>HYPERLINK("https://map.naver.com/p/search/세종특별자치시 나성동 829", "지도Link")</f>
        <v/>
      </c>
      <c r="S307" s="6">
        <f>HYPERLINK("http://www.eum.go.kr/web/ar/lu/luLandDet.jsp?pnu=3611010700108290000&amp;isNoScr=script&amp;mode=search", "토지이음")</f>
        <v/>
      </c>
      <c r="T307" s="3" t="inlineStr">
        <is>
          <t>OK허니</t>
        </is>
      </c>
      <c r="U307" s="3" t="n">
        <v>1</v>
      </c>
      <c r="V307" s="3" t="inlineStr">
        <is>
          <t>전망공간 기계실</t>
        </is>
      </c>
      <c r="W307" s="4" t="n">
        <v>493</v>
      </c>
      <c r="X307" s="3" t="inlineStr">
        <is>
          <t>철근콘크리트구조</t>
        </is>
      </c>
      <c r="Y307" s="3" t="inlineStr">
        <is>
          <t>제2종근린생활시설</t>
        </is>
      </c>
      <c r="Z307" s="3" t="inlineStr">
        <is>
          <t>-m</t>
        </is>
      </c>
      <c r="AA307" s="3" t="inlineStr">
        <is>
          <t>2021-08-20</t>
        </is>
      </c>
    </row>
    <row r="308">
      <c r="A308" s="3" t="inlineStr">
        <is>
          <t>세종특별자치시 나성동 829</t>
        </is>
      </c>
      <c r="B308" s="3" t="inlineStr">
        <is>
          <t>중심상업지역</t>
        </is>
      </c>
      <c r="C308" s="3" t="inlineStr">
        <is>
          <t>대</t>
        </is>
      </c>
      <c r="D308" s="3" t="inlineStr">
        <is>
          <t>공장</t>
        </is>
      </c>
      <c r="E308" s="3" t="inlineStr">
        <is>
          <t>월세</t>
        </is>
      </c>
      <c r="F308" s="4" t="n">
        <v>1600</v>
      </c>
      <c r="G308" s="4" t="n">
        <v>160</v>
      </c>
      <c r="H308" s="4" t="n">
        <v>3944</v>
      </c>
      <c r="I308" s="4" t="n">
        <v>1193</v>
      </c>
      <c r="J308" s="5" t="n">
        <v>0.1</v>
      </c>
      <c r="K308" s="4" t="n">
        <v>528</v>
      </c>
      <c r="L308" s="4" t="n">
        <v>160</v>
      </c>
      <c r="M308" s="5" t="n">
        <v>1</v>
      </c>
      <c r="N308" s="3" t="inlineStr">
        <is>
          <t>1</t>
        </is>
      </c>
      <c r="O308" s="3" t="inlineStr">
        <is>
          <t>-</t>
        </is>
      </c>
      <c r="P308" s="3" t="inlineStr">
        <is>
          <t>연산농공단지내 공장등록가능한 공장</t>
        </is>
      </c>
      <c r="Q308" s="6">
        <f>HYPERLINK("https://fin.land.naver.com/articles/2645576555", "매물Link")</f>
        <v/>
      </c>
      <c r="R308" s="6">
        <f>HYPERLINK("https://map.naver.com/p/search/세종특별자치시 나성동 829", "지도Link")</f>
        <v/>
      </c>
      <c r="S308" s="6">
        <f>HYPERLINK("http://www.eum.go.kr/web/ar/lu/luLandDet.jsp?pnu=3611010700108290000&amp;isNoScr=script&amp;mode=search", "토지이음")</f>
        <v/>
      </c>
      <c r="T308" s="3" t="inlineStr">
        <is>
          <t>미래로</t>
        </is>
      </c>
      <c r="U308" s="3" t="n">
        <v>1</v>
      </c>
      <c r="V308" s="3" t="inlineStr">
        <is>
          <t>전망공간 기계실</t>
        </is>
      </c>
      <c r="W308" s="4" t="n">
        <v>528</v>
      </c>
      <c r="X308" s="3" t="inlineStr">
        <is>
          <t>철근콘크리트구조</t>
        </is>
      </c>
      <c r="Y308" s="3" t="inlineStr">
        <is>
          <t>제2종근린생활시설</t>
        </is>
      </c>
      <c r="Z308" s="3" t="inlineStr">
        <is>
          <t>-m</t>
        </is>
      </c>
      <c r="AA308" s="3" t="inlineStr">
        <is>
          <t>2021-08-20</t>
        </is>
      </c>
    </row>
    <row r="309">
      <c r="A309" s="3" t="inlineStr">
        <is>
          <t>세종특별자치시 나성동 829</t>
        </is>
      </c>
      <c r="B309" s="3" t="inlineStr">
        <is>
          <t>중심상업지역</t>
        </is>
      </c>
      <c r="C309" s="3" t="inlineStr">
        <is>
          <t>대</t>
        </is>
      </c>
      <c r="D309" s="3" t="inlineStr">
        <is>
          <t>공장</t>
        </is>
      </c>
      <c r="E309" s="3" t="inlineStr">
        <is>
          <t>매매</t>
        </is>
      </c>
      <c r="F309" s="4" t="n">
        <v>150000</v>
      </c>
      <c r="G309" s="4" t="n">
        <v>0</v>
      </c>
      <c r="H309" s="4" t="n">
        <v>5969</v>
      </c>
      <c r="I309" s="4" t="n">
        <v>1806</v>
      </c>
      <c r="J309" s="5" t="n">
        <v>83.09999999999999</v>
      </c>
      <c r="K309" s="4" t="n">
        <v>566</v>
      </c>
      <c r="L309" s="4" t="n">
        <v>171</v>
      </c>
      <c r="M309" s="5" t="n">
        <v>877.2</v>
      </c>
      <c r="N309" s="3" t="inlineStr">
        <is>
          <t>1</t>
        </is>
      </c>
      <c r="O309" s="3" t="inlineStr">
        <is>
          <t>-</t>
        </is>
      </c>
      <c r="P309" s="3" t="inlineStr">
        <is>
          <t>1번국도변 인근 물건으로 광고효과,교통,도로조건 최상의 공장물건</t>
        </is>
      </c>
      <c r="Q309" s="6">
        <f>HYPERLINK("https://fin.land.naver.com/articles/2645855872", "매물Link")</f>
        <v/>
      </c>
      <c r="R309" s="6">
        <f>HYPERLINK("https://map.naver.com/p/search/세종특별자치시 나성동 829", "지도Link")</f>
        <v/>
      </c>
      <c r="S309" s="6">
        <f>HYPERLINK("http://www.eum.go.kr/web/ar/lu/luLandDet.jsp?pnu=3611010700108290000&amp;isNoScr=script&amp;mode=search", "토지이음")</f>
        <v/>
      </c>
      <c r="T309" s="3" t="inlineStr">
        <is>
          <t>신평</t>
        </is>
      </c>
      <c r="U309" s="3" t="n">
        <v>1</v>
      </c>
      <c r="V309" s="3" t="inlineStr">
        <is>
          <t>803</t>
        </is>
      </c>
      <c r="W309" s="4" t="n">
        <v>566</v>
      </c>
      <c r="X309" s="3" t="inlineStr">
        <is>
          <t>철근콘크리트구조</t>
        </is>
      </c>
      <c r="Y309" s="3" t="inlineStr">
        <is>
          <t>제2종근린생활시설</t>
        </is>
      </c>
      <c r="Z309" s="3" t="inlineStr">
        <is>
          <t>-m</t>
        </is>
      </c>
      <c r="AA309" s="3" t="inlineStr">
        <is>
          <t>2021-08-20</t>
        </is>
      </c>
    </row>
    <row r="310">
      <c r="A310" s="3" t="inlineStr">
        <is>
          <t>세종특별자치시 나성동 829</t>
        </is>
      </c>
      <c r="B310" s="3" t="inlineStr">
        <is>
          <t>중심상업지역</t>
        </is>
      </c>
      <c r="C310" s="3" t="inlineStr">
        <is>
          <t>대</t>
        </is>
      </c>
      <c r="D310" s="3" t="inlineStr">
        <is>
          <t>공장</t>
        </is>
      </c>
      <c r="E310" s="3" t="inlineStr">
        <is>
          <t>매매</t>
        </is>
      </c>
      <c r="F310" s="4" t="n">
        <v>120000</v>
      </c>
      <c r="G310" s="4" t="n">
        <v>0</v>
      </c>
      <c r="H310" s="4" t="n">
        <v>3300</v>
      </c>
      <c r="I310" s="4" t="n">
        <v>998</v>
      </c>
      <c r="J310" s="5" t="n">
        <v>120.2</v>
      </c>
      <c r="K310" s="4" t="n">
        <v>731</v>
      </c>
      <c r="L310" s="4" t="n">
        <v>221</v>
      </c>
      <c r="M310" s="5" t="n">
        <v>543</v>
      </c>
      <c r="N310" s="3" t="inlineStr">
        <is>
          <t>1</t>
        </is>
      </c>
      <c r="O310" s="3" t="inlineStr">
        <is>
          <t>-</t>
        </is>
      </c>
      <c r="P310" s="3" t="inlineStr">
        <is>
          <t>연산 상월간 2차선 도로인근,교통 및 위치좋고 마당넓어 사용편리한 공장매</t>
        </is>
      </c>
      <c r="Q310" s="6">
        <f>HYPERLINK("https://fin.land.naver.com/articles/2647046185", "매물Link")</f>
        <v/>
      </c>
      <c r="R310" s="6">
        <f>HYPERLINK("https://map.naver.com/p/search/세종특별자치시 나성동 829", "지도Link")</f>
        <v/>
      </c>
      <c r="S310" s="6">
        <f>HYPERLINK("http://www.eum.go.kr/web/ar/lu/luLandDet.jsp?pnu=3611010700108290000&amp;isNoScr=script&amp;mode=search", "토지이음")</f>
        <v/>
      </c>
      <c r="T310" s="3" t="inlineStr">
        <is>
          <t>신평</t>
        </is>
      </c>
      <c r="U310" s="3" t="n">
        <v>1</v>
      </c>
      <c r="V310" s="3" t="inlineStr">
        <is>
          <t>803</t>
        </is>
      </c>
      <c r="W310" s="4" t="n">
        <v>731</v>
      </c>
      <c r="X310" s="3" t="inlineStr">
        <is>
          <t>철근콘크리트구조</t>
        </is>
      </c>
      <c r="Y310" s="3" t="inlineStr">
        <is>
          <t>제2종근린생활시설</t>
        </is>
      </c>
      <c r="Z310" s="3" t="inlineStr">
        <is>
          <t>-m</t>
        </is>
      </c>
      <c r="AA310" s="3" t="inlineStr">
        <is>
          <t>2021-08-20</t>
        </is>
      </c>
    </row>
    <row r="311">
      <c r="A311" s="3" t="inlineStr">
        <is>
          <t>세종특별자치시 나성동 829</t>
        </is>
      </c>
      <c r="B311" s="3" t="inlineStr">
        <is>
          <t>중심상업지역</t>
        </is>
      </c>
      <c r="C311" s="3" t="inlineStr">
        <is>
          <t>대</t>
        </is>
      </c>
      <c r="D311" s="3" t="inlineStr">
        <is>
          <t>공장</t>
        </is>
      </c>
      <c r="E311" s="3" t="inlineStr">
        <is>
          <t>매매</t>
        </is>
      </c>
      <c r="F311" s="4" t="n">
        <v>100000</v>
      </c>
      <c r="G311" s="4" t="n">
        <v>0</v>
      </c>
      <c r="H311" s="4" t="n">
        <v>3306</v>
      </c>
      <c r="I311" s="4" t="n">
        <v>1000</v>
      </c>
      <c r="J311" s="5" t="n">
        <v>100</v>
      </c>
      <c r="K311" s="4" t="n">
        <v>1143</v>
      </c>
      <c r="L311" s="4" t="n">
        <v>346</v>
      </c>
      <c r="M311" s="5" t="n">
        <v>289</v>
      </c>
      <c r="N311" s="3" t="inlineStr">
        <is>
          <t>1</t>
        </is>
      </c>
      <c r="O311" s="3" t="inlineStr">
        <is>
          <t>-</t>
        </is>
      </c>
      <c r="P311" s="3" t="inlineStr">
        <is>
          <t>청암산업단지내 공장물건으로 공장,사무실,숙소 등 완비,1톤 호이스트 설치</t>
        </is>
      </c>
      <c r="Q311" s="6">
        <f>HYPERLINK("https://fin.land.naver.com/articles/2647148758", "매물Link")</f>
        <v/>
      </c>
      <c r="R311" s="6">
        <f>HYPERLINK("https://map.naver.com/p/search/세종특별자치시 나성동 829", "지도Link")</f>
        <v/>
      </c>
      <c r="S311" s="6">
        <f>HYPERLINK("http://www.eum.go.kr/web/ar/lu/luLandDet.jsp?pnu=3611010700108290000&amp;isNoScr=script&amp;mode=search", "토지이음")</f>
        <v/>
      </c>
      <c r="T311" s="3" t="inlineStr">
        <is>
          <t>에이스</t>
        </is>
      </c>
      <c r="U311" s="3" t="n">
        <v>1</v>
      </c>
      <c r="V311" s="3" t="inlineStr">
        <is>
          <t>605</t>
        </is>
      </c>
      <c r="W311" s="4" t="n">
        <v>1143</v>
      </c>
      <c r="X311" s="3" t="inlineStr">
        <is>
          <t>철근콘크리트구조</t>
        </is>
      </c>
      <c r="Y311" s="3" t="inlineStr">
        <is>
          <t>공동주택</t>
        </is>
      </c>
      <c r="Z311" s="3" t="inlineStr">
        <is>
          <t>45.30m</t>
        </is>
      </c>
      <c r="AA311" s="3" t="inlineStr">
        <is>
          <t>2021-08-20</t>
        </is>
      </c>
    </row>
    <row r="312">
      <c r="A312" s="3" t="inlineStr">
        <is>
          <t>세종특별자치시 나성동 829</t>
        </is>
      </c>
      <c r="B312" s="3" t="inlineStr">
        <is>
          <t>중심상업지역</t>
        </is>
      </c>
      <c r="C312" s="3" t="inlineStr">
        <is>
          <t>대</t>
        </is>
      </c>
      <c r="D312" s="3" t="inlineStr">
        <is>
          <t>공장</t>
        </is>
      </c>
      <c r="E312" s="3" t="inlineStr">
        <is>
          <t>매매</t>
        </is>
      </c>
      <c r="F312" s="4" t="n">
        <v>23000</v>
      </c>
      <c r="G312" s="4" t="n">
        <v>0</v>
      </c>
      <c r="H312" s="4" t="n">
        <v>825</v>
      </c>
      <c r="I312" s="4" t="n">
        <v>250</v>
      </c>
      <c r="J312" s="5" t="n">
        <v>92</v>
      </c>
      <c r="K312" s="4" t="n">
        <v>330</v>
      </c>
      <c r="L312" s="4" t="n">
        <v>100</v>
      </c>
      <c r="M312" s="5" t="n">
        <v>230</v>
      </c>
      <c r="N312" s="3" t="inlineStr">
        <is>
          <t>1</t>
        </is>
      </c>
      <c r="O312" s="3" t="inlineStr">
        <is>
          <t>-</t>
        </is>
      </c>
      <c r="P312" s="3" t="inlineStr">
        <is>
          <t>nan</t>
        </is>
      </c>
      <c r="Q312" s="6">
        <f>HYPERLINK("https://fin.land.naver.com/articles/2648301879", "매물Link")</f>
        <v/>
      </c>
      <c r="R312" s="6">
        <f>HYPERLINK("https://map.naver.com/p/search/세종특별자치시 나성동 829", "지도Link")</f>
        <v/>
      </c>
      <c r="S312" s="6">
        <f>HYPERLINK("http://www.eum.go.kr/web/ar/lu/luLandDet.jsp?pnu=3611010700108290000&amp;isNoScr=script&amp;mode=search", "토지이음")</f>
        <v/>
      </c>
      <c r="T312" s="3" t="inlineStr">
        <is>
          <t>에이스</t>
        </is>
      </c>
      <c r="U312" s="3" t="n">
        <v>1</v>
      </c>
      <c r="V312" s="3" t="inlineStr">
        <is>
          <t>801</t>
        </is>
      </c>
      <c r="W312" s="4" t="n">
        <v>330</v>
      </c>
      <c r="X312" s="3" t="inlineStr">
        <is>
          <t>철근콘크리트구조</t>
        </is>
      </c>
      <c r="Y312" s="3" t="inlineStr">
        <is>
          <t>제2종근린생활시설</t>
        </is>
      </c>
      <c r="Z312" s="3" t="inlineStr">
        <is>
          <t>-m</t>
        </is>
      </c>
      <c r="AA312" s="3" t="inlineStr">
        <is>
          <t>2021-08-20</t>
        </is>
      </c>
    </row>
    <row r="313">
      <c r="A313" s="3" t="inlineStr">
        <is>
          <t>세종특별자치시 나성동 829</t>
        </is>
      </c>
      <c r="B313" s="3" t="inlineStr">
        <is>
          <t>중심상업지역</t>
        </is>
      </c>
      <c r="C313" s="3" t="inlineStr">
        <is>
          <t>대</t>
        </is>
      </c>
      <c r="D313" s="3" t="inlineStr">
        <is>
          <t>공장</t>
        </is>
      </c>
      <c r="E313" s="3" t="inlineStr">
        <is>
          <t>월세</t>
        </is>
      </c>
      <c r="F313" s="4" t="n">
        <v>1500</v>
      </c>
      <c r="G313" s="4" t="n">
        <v>150</v>
      </c>
      <c r="H313" s="4" t="n">
        <v>660</v>
      </c>
      <c r="I313" s="4" t="n">
        <v>200</v>
      </c>
      <c r="J313" s="5" t="n">
        <v>0.8</v>
      </c>
      <c r="K313" s="4" t="n">
        <v>496</v>
      </c>
      <c r="L313" s="4" t="n">
        <v>150</v>
      </c>
      <c r="M313" s="5" t="n">
        <v>1</v>
      </c>
      <c r="N313" s="3" t="inlineStr">
        <is>
          <t>1</t>
        </is>
      </c>
      <c r="O313" s="3" t="inlineStr">
        <is>
          <t>-</t>
        </is>
      </c>
      <c r="P313" s="3" t="inlineStr">
        <is>
          <t>사진, 연산농공단지내, 공장, 사무실있음, 대형차가능, 야적가능</t>
        </is>
      </c>
      <c r="Q313" s="6">
        <f>HYPERLINK("https://fin.land.naver.com/articles/2646860860", "매물Link")</f>
        <v/>
      </c>
      <c r="R313" s="6">
        <f>HYPERLINK("https://map.naver.com/p/search/세종특별자치시 나성동 829", "지도Link")</f>
        <v/>
      </c>
      <c r="S313" s="6">
        <f>HYPERLINK("http://www.eum.go.kr/web/ar/lu/luLandDet.jsp?pnu=3611010700108290000&amp;isNoScr=script&amp;mode=search", "토지이음")</f>
        <v/>
      </c>
      <c r="T313" s="3" t="inlineStr">
        <is>
          <t>OK허니</t>
        </is>
      </c>
      <c r="U313" s="3" t="n">
        <v>1</v>
      </c>
      <c r="V313" s="3" t="inlineStr">
        <is>
          <t>전망공간 기계실</t>
        </is>
      </c>
      <c r="W313" s="4" t="n">
        <v>496</v>
      </c>
      <c r="X313" s="3" t="inlineStr">
        <is>
          <t>철근콘크리트구조</t>
        </is>
      </c>
      <c r="Y313" s="3" t="inlineStr">
        <is>
          <t>제2종근린생활시설</t>
        </is>
      </c>
      <c r="Z313" s="3" t="inlineStr">
        <is>
          <t>-m</t>
        </is>
      </c>
      <c r="AA313" s="3" t="inlineStr">
        <is>
          <t>2021-08-20</t>
        </is>
      </c>
    </row>
    <row r="314">
      <c r="A314" s="3" t="inlineStr">
        <is>
          <t>세종특별자치시 나성동 829</t>
        </is>
      </c>
      <c r="B314" s="3" t="inlineStr">
        <is>
          <t>중심상업지역</t>
        </is>
      </c>
      <c r="C314" s="3" t="inlineStr">
        <is>
          <t>대</t>
        </is>
      </c>
      <c r="D314" s="3" t="inlineStr">
        <is>
          <t>창고</t>
        </is>
      </c>
      <c r="E314" s="3" t="inlineStr">
        <is>
          <t>매매</t>
        </is>
      </c>
      <c r="F314" s="4" t="n">
        <v>200000</v>
      </c>
      <c r="G314" s="4" t="n">
        <v>0</v>
      </c>
      <c r="H314" s="4" t="n">
        <v>4343</v>
      </c>
      <c r="I314" s="4" t="n">
        <v>1314</v>
      </c>
      <c r="J314" s="5" t="n">
        <v>152.2</v>
      </c>
      <c r="K314" s="4" t="n">
        <v>377</v>
      </c>
      <c r="L314" s="4" t="n">
        <v>114</v>
      </c>
      <c r="M314" s="5" t="n">
        <v>1754.4</v>
      </c>
      <c r="N314" s="3" t="inlineStr">
        <is>
          <t>2</t>
        </is>
      </c>
      <c r="O314" s="3" t="inlineStr">
        <is>
          <t>-</t>
        </is>
      </c>
      <c r="P314" s="3" t="inlineStr">
        <is>
          <t>논산 부적면 임대 맞춰져 있는 근생창고 포함 2필지 매매</t>
        </is>
      </c>
      <c r="Q314" s="6">
        <f>HYPERLINK("https://fin.land.naver.com/articles/2645788522", "매물Link")</f>
        <v/>
      </c>
      <c r="R314" s="6">
        <f>HYPERLINK("https://map.naver.com/p/search/세종특별자치시 나성동 829", "지도Link")</f>
        <v/>
      </c>
      <c r="S314" s="6">
        <f>HYPERLINK("http://www.eum.go.kr/web/ar/lu/luLandDet.jsp?pnu=3611010700108290000&amp;isNoScr=script&amp;mode=search", "토지이음")</f>
        <v/>
      </c>
      <c r="T314" s="3" t="inlineStr">
        <is>
          <t>SK랜드</t>
        </is>
      </c>
      <c r="U314" s="3" t="n">
        <v>1</v>
      </c>
      <c r="V314" s="3" t="inlineStr">
        <is>
          <t>전망공간 기계실</t>
        </is>
      </c>
      <c r="W314" s="4" t="n">
        <v>377</v>
      </c>
      <c r="X314" s="3" t="inlineStr">
        <is>
          <t>철근콘크리트구조</t>
        </is>
      </c>
      <c r="Y314" s="3" t="inlineStr">
        <is>
          <t>제2종근린생활시설</t>
        </is>
      </c>
      <c r="Z314" s="3" t="inlineStr">
        <is>
          <t>-m</t>
        </is>
      </c>
      <c r="AA314" s="3" t="inlineStr">
        <is>
          <t>2021-08-20</t>
        </is>
      </c>
    </row>
    <row r="315">
      <c r="A315" s="3" t="inlineStr">
        <is>
          <t>세종특별자치시 나성동 829</t>
        </is>
      </c>
      <c r="B315" s="3" t="inlineStr">
        <is>
          <t>중심상업지역</t>
        </is>
      </c>
      <c r="C315" s="3" t="inlineStr">
        <is>
          <t>대</t>
        </is>
      </c>
      <c r="D315" s="3" t="inlineStr">
        <is>
          <t>공장</t>
        </is>
      </c>
      <c r="E315" s="3" t="inlineStr">
        <is>
          <t>매매</t>
        </is>
      </c>
      <c r="F315" s="4" t="n">
        <v>350000</v>
      </c>
      <c r="G315" s="4" t="n">
        <v>0</v>
      </c>
      <c r="H315" s="4" t="n">
        <v>9001</v>
      </c>
      <c r="I315" s="4" t="n">
        <v>2723</v>
      </c>
      <c r="J315" s="5" t="n">
        <v>128.5</v>
      </c>
      <c r="K315" s="4" t="n">
        <v>3262</v>
      </c>
      <c r="L315" s="4" t="n">
        <v>987</v>
      </c>
      <c r="M315" s="5" t="n">
        <v>354.6</v>
      </c>
      <c r="N315" s="3" t="inlineStr">
        <is>
          <t>1</t>
        </is>
      </c>
      <c r="O315" s="3" t="inlineStr">
        <is>
          <t>-</t>
        </is>
      </c>
      <c r="P315" s="3" t="inlineStr">
        <is>
          <t>계룡IC에서 12분</t>
        </is>
      </c>
      <c r="Q315" s="6">
        <f>HYPERLINK("https://fin.land.naver.com/articles/2644743313", "매물Link")</f>
        <v/>
      </c>
      <c r="R315" s="6">
        <f>HYPERLINK("https://map.naver.com/p/search/세종특별자치시 나성동 829", "지도Link")</f>
        <v/>
      </c>
      <c r="S315" s="6">
        <f>HYPERLINK("http://www.eum.go.kr/web/ar/lu/luLandDet.jsp?pnu=3611010700108290000&amp;isNoScr=script&amp;mode=search", "토지이음")</f>
        <v/>
      </c>
      <c r="T315" s="3" t="inlineStr">
        <is>
          <t>미더스</t>
        </is>
      </c>
      <c r="U315" s="3" t="n">
        <v>1</v>
      </c>
      <c r="V315" s="3" t="inlineStr">
        <is>
          <t>802</t>
        </is>
      </c>
      <c r="W315" s="4" t="n">
        <v>3262</v>
      </c>
      <c r="X315" s="3" t="inlineStr">
        <is>
          <t>철근콘크리트구조</t>
        </is>
      </c>
      <c r="Y315" s="3" t="inlineStr">
        <is>
          <t>제2종근린생활시설</t>
        </is>
      </c>
      <c r="Z315" s="3" t="inlineStr">
        <is>
          <t>-m</t>
        </is>
      </c>
      <c r="AA315" s="3" t="inlineStr">
        <is>
          <t>2021-08-20</t>
        </is>
      </c>
    </row>
    <row r="316">
      <c r="A316" s="3" t="inlineStr">
        <is>
          <t>세종특별자치시 나성동 829</t>
        </is>
      </c>
      <c r="B316" s="3" t="inlineStr">
        <is>
          <t>중심상업지역</t>
        </is>
      </c>
      <c r="C316" s="3" t="inlineStr">
        <is>
          <t>대</t>
        </is>
      </c>
      <c r="D316" s="3" t="inlineStr">
        <is>
          <t>공장</t>
        </is>
      </c>
      <c r="E316" s="3" t="inlineStr">
        <is>
          <t>월세</t>
        </is>
      </c>
      <c r="F316" s="4" t="n">
        <v>2000</v>
      </c>
      <c r="G316" s="4" t="n">
        <v>190</v>
      </c>
      <c r="H316" s="4" t="n">
        <v>1238</v>
      </c>
      <c r="I316" s="4" t="n">
        <v>374</v>
      </c>
      <c r="J316" s="5" t="n">
        <v>0.5</v>
      </c>
      <c r="K316" s="4" t="n">
        <v>395</v>
      </c>
      <c r="L316" s="4" t="n">
        <v>119</v>
      </c>
      <c r="M316" s="5" t="n">
        <v>1.6</v>
      </c>
      <c r="N316" s="3" t="inlineStr">
        <is>
          <t>1</t>
        </is>
      </c>
      <c r="O316" s="3" t="inlineStr">
        <is>
          <t>-</t>
        </is>
      </c>
      <c r="P316" s="3" t="inlineStr">
        <is>
          <t>사진, 논산IC10분,2차선접,신축,2종근생제조,임대매매,민원없음</t>
        </is>
      </c>
      <c r="Q316" s="6">
        <f>HYPERLINK("https://fin.land.naver.com/articles/2645488427", "매물Link")</f>
        <v/>
      </c>
      <c r="R316" s="6">
        <f>HYPERLINK("https://map.naver.com/p/search/세종특별자치시 나성동 829", "지도Link")</f>
        <v/>
      </c>
      <c r="S316" s="6">
        <f>HYPERLINK("http://www.eum.go.kr/web/ar/lu/luLandDet.jsp?pnu=3611010700108290000&amp;isNoScr=script&amp;mode=search", "토지이음")</f>
        <v/>
      </c>
      <c r="T316" s="3" t="inlineStr">
        <is>
          <t>OK허니</t>
        </is>
      </c>
      <c r="U316" s="3" t="n">
        <v>2</v>
      </c>
      <c r="V316" s="3" t="inlineStr">
        <is>
          <t>전망공간 기계실</t>
        </is>
      </c>
      <c r="W316" s="4" t="n">
        <v>395</v>
      </c>
      <c r="X316" s="3" t="inlineStr">
        <is>
          <t>철근콘크리트구조</t>
        </is>
      </c>
      <c r="Y316" s="3" t="inlineStr">
        <is>
          <t>제2종근린생활시설</t>
        </is>
      </c>
      <c r="Z316" s="3" t="inlineStr">
        <is>
          <t>-m</t>
        </is>
      </c>
      <c r="AA316" s="3" t="inlineStr">
        <is>
          <t>2021-08-20</t>
        </is>
      </c>
    </row>
    <row r="317">
      <c r="A317" s="3" t="inlineStr">
        <is>
          <t>세종특별자치시 나성동 829</t>
        </is>
      </c>
      <c r="B317" s="3" t="inlineStr">
        <is>
          <t>중심상업지역</t>
        </is>
      </c>
      <c r="C317" s="3" t="inlineStr">
        <is>
          <t>대</t>
        </is>
      </c>
      <c r="D317" s="3" t="inlineStr">
        <is>
          <t>창고</t>
        </is>
      </c>
      <c r="E317" s="3" t="inlineStr">
        <is>
          <t>매매</t>
        </is>
      </c>
      <c r="F317" s="4" t="n">
        <v>40000</v>
      </c>
      <c r="G317" s="4" t="n">
        <v>0</v>
      </c>
      <c r="H317" s="4" t="n">
        <v>4380</v>
      </c>
      <c r="I317" s="4" t="n">
        <v>1325</v>
      </c>
      <c r="J317" s="5" t="n">
        <v>30.2</v>
      </c>
      <c r="K317" s="4" t="n">
        <v>385</v>
      </c>
      <c r="L317" s="4" t="n">
        <v>116</v>
      </c>
      <c r="M317" s="5" t="n">
        <v>344.8</v>
      </c>
      <c r="N317" s="3" t="inlineStr">
        <is>
          <t>1</t>
        </is>
      </c>
      <c r="O317" s="3" t="inlineStr">
        <is>
          <t>-</t>
        </is>
      </c>
      <c r="P317" s="3" t="inlineStr">
        <is>
          <t>창고나 제조업으로 사용가능한 근생건물과 토지입니다</t>
        </is>
      </c>
      <c r="Q317" s="6">
        <f>HYPERLINK("https://fin.land.naver.com/articles/2648054425", "매물Link")</f>
        <v/>
      </c>
      <c r="R317" s="6">
        <f>HYPERLINK("https://map.naver.com/p/search/세종특별자치시 나성동 829", "지도Link")</f>
        <v/>
      </c>
      <c r="S317" s="6">
        <f>HYPERLINK("http://www.eum.go.kr/web/ar/lu/luLandDet.jsp?pnu=3611010700108290000&amp;isNoScr=script&amp;mode=search", "토지이음")</f>
        <v/>
      </c>
      <c r="T317" s="3" t="inlineStr">
        <is>
          <t>우리</t>
        </is>
      </c>
      <c r="U317" s="3" t="n">
        <v>1</v>
      </c>
      <c r="V317" s="3" t="inlineStr">
        <is>
          <t>전망공간 기계실</t>
        </is>
      </c>
      <c r="W317" s="4" t="n">
        <v>385</v>
      </c>
      <c r="X317" s="3" t="inlineStr">
        <is>
          <t>철근콘크리트구조</t>
        </is>
      </c>
      <c r="Y317" s="3" t="inlineStr">
        <is>
          <t>제2종근린생활시설</t>
        </is>
      </c>
      <c r="Z317" s="3" t="inlineStr">
        <is>
          <t>-m</t>
        </is>
      </c>
      <c r="AA317" s="3" t="inlineStr">
        <is>
          <t>2021-08-20</t>
        </is>
      </c>
    </row>
    <row r="318">
      <c r="A318" s="3" t="inlineStr">
        <is>
          <t>세종특별자치시 나성동 829</t>
        </is>
      </c>
      <c r="B318" s="3" t="inlineStr">
        <is>
          <t>중심상업지역</t>
        </is>
      </c>
      <c r="C318" s="3" t="inlineStr">
        <is>
          <t>대</t>
        </is>
      </c>
      <c r="D318" s="3" t="inlineStr">
        <is>
          <t>창고</t>
        </is>
      </c>
      <c r="E318" s="3" t="inlineStr">
        <is>
          <t>월세</t>
        </is>
      </c>
      <c r="F318" s="4" t="n">
        <v>3000</v>
      </c>
      <c r="G318" s="4" t="n">
        <v>180</v>
      </c>
      <c r="H318" s="4" t="n">
        <v>995</v>
      </c>
      <c r="I318" s="4" t="n">
        <v>301</v>
      </c>
      <c r="J318" s="5" t="n">
        <v>0.6</v>
      </c>
      <c r="K318" s="4" t="n">
        <v>395</v>
      </c>
      <c r="L318" s="4" t="n">
        <v>119</v>
      </c>
      <c r="M318" s="5" t="n">
        <v>1.5</v>
      </c>
      <c r="N318" s="3" t="inlineStr">
        <is>
          <t>1</t>
        </is>
      </c>
      <c r="O318" s="3" t="inlineStr">
        <is>
          <t>-</t>
        </is>
      </c>
      <c r="P318" s="3" t="inlineStr">
        <is>
          <t>논산IC5분, 신축급, 1종근생, 대형차진입, 층고8m,9월입주협의</t>
        </is>
      </c>
      <c r="Q318" s="6">
        <f>HYPERLINK("https://fin.land.naver.com/articles/2646861908", "매물Link")</f>
        <v/>
      </c>
      <c r="R318" s="6">
        <f>HYPERLINK("https://map.naver.com/p/search/세종특별자치시 나성동 829", "지도Link")</f>
        <v/>
      </c>
      <c r="S318" s="6">
        <f>HYPERLINK("http://www.eum.go.kr/web/ar/lu/luLandDet.jsp?pnu=3611010700108290000&amp;isNoScr=script&amp;mode=search", "토지이음")</f>
        <v/>
      </c>
      <c r="T318" s="3" t="inlineStr">
        <is>
          <t>OK허니</t>
        </is>
      </c>
      <c r="U318" s="3" t="n">
        <v>1</v>
      </c>
      <c r="V318" s="3" t="inlineStr">
        <is>
          <t>전망공간 기계실</t>
        </is>
      </c>
      <c r="W318" s="4" t="n">
        <v>395</v>
      </c>
      <c r="X318" s="3" t="inlineStr">
        <is>
          <t>철근콘크리트구조</t>
        </is>
      </c>
      <c r="Y318" s="3" t="inlineStr">
        <is>
          <t>제2종근린생활시설</t>
        </is>
      </c>
      <c r="Z318" s="3" t="inlineStr">
        <is>
          <t>-m</t>
        </is>
      </c>
      <c r="AA318" s="3" t="inlineStr">
        <is>
          <t>2021-08-20</t>
        </is>
      </c>
    </row>
    <row r="319">
      <c r="A319" s="3" t="inlineStr">
        <is>
          <t>세종특별자치시 나성동 829</t>
        </is>
      </c>
      <c r="B319" s="3" t="inlineStr">
        <is>
          <t>중심상업지역</t>
        </is>
      </c>
      <c r="C319" s="3" t="inlineStr">
        <is>
          <t>대</t>
        </is>
      </c>
      <c r="D319" s="3" t="inlineStr">
        <is>
          <t>창고</t>
        </is>
      </c>
      <c r="E319" s="3" t="inlineStr">
        <is>
          <t>매매</t>
        </is>
      </c>
      <c r="F319" s="4" t="n">
        <v>210000</v>
      </c>
      <c r="G319" s="4" t="n">
        <v>0</v>
      </c>
      <c r="H319" s="4" t="n">
        <v>5674</v>
      </c>
      <c r="I319" s="4" t="n">
        <v>1716</v>
      </c>
      <c r="J319" s="5" t="n">
        <v>122.4</v>
      </c>
      <c r="K319" s="4" t="n">
        <v>769</v>
      </c>
      <c r="L319" s="4" t="n">
        <v>233</v>
      </c>
      <c r="M319" s="5" t="n">
        <v>901.3</v>
      </c>
      <c r="N319" s="3" t="inlineStr">
        <is>
          <t>1</t>
        </is>
      </c>
      <c r="O319" s="3" t="inlineStr">
        <is>
          <t>-</t>
        </is>
      </c>
      <c r="P319" s="3" t="inlineStr">
        <is>
          <t>논산IC5분, 안정적수익형, 대기업월차임920만원,10년임대중</t>
        </is>
      </c>
      <c r="Q319" s="6">
        <f>HYPERLINK("https://fin.land.naver.com/articles/2646866199", "매물Link")</f>
        <v/>
      </c>
      <c r="R319" s="6">
        <f>HYPERLINK("https://map.naver.com/p/search/세종특별자치시 나성동 829", "지도Link")</f>
        <v/>
      </c>
      <c r="S319" s="6">
        <f>HYPERLINK("http://www.eum.go.kr/web/ar/lu/luLandDet.jsp?pnu=3611010700108290000&amp;isNoScr=script&amp;mode=search", "토지이음")</f>
        <v/>
      </c>
      <c r="T319" s="3" t="inlineStr">
        <is>
          <t>OK허니</t>
        </is>
      </c>
      <c r="U319" s="3" t="n">
        <v>1</v>
      </c>
      <c r="V319" s="3" t="inlineStr">
        <is>
          <t>공동주택 휘트니스</t>
        </is>
      </c>
      <c r="W319" s="4" t="n">
        <v>769</v>
      </c>
      <c r="X319" s="3" t="inlineStr">
        <is>
          <t>철근콘크리트구조</t>
        </is>
      </c>
      <c r="Y319" s="3" t="inlineStr">
        <is>
          <t>공동주택</t>
        </is>
      </c>
      <c r="Z319" s="3" t="inlineStr">
        <is>
          <t>-m</t>
        </is>
      </c>
      <c r="AA319" s="3" t="inlineStr">
        <is>
          <t>2021-08-20</t>
        </is>
      </c>
    </row>
    <row r="320">
      <c r="A320" s="3" t="inlineStr">
        <is>
          <t>세종특별자치시 나성동 829</t>
        </is>
      </c>
      <c r="B320" s="3" t="inlineStr">
        <is>
          <t>중심상업지역</t>
        </is>
      </c>
      <c r="C320" s="3" t="inlineStr">
        <is>
          <t>대</t>
        </is>
      </c>
      <c r="D320" s="3" t="inlineStr">
        <is>
          <t>공장</t>
        </is>
      </c>
      <c r="E320" s="3" t="inlineStr">
        <is>
          <t>매매</t>
        </is>
      </c>
      <c r="F320" s="4" t="n">
        <v>120000</v>
      </c>
      <c r="G320" s="4" t="n">
        <v>0</v>
      </c>
      <c r="H320" s="4" t="n">
        <v>8025</v>
      </c>
      <c r="I320" s="4" t="n">
        <v>2428</v>
      </c>
      <c r="J320" s="5" t="n">
        <v>49.4</v>
      </c>
      <c r="K320" s="4" t="n">
        <v>967</v>
      </c>
      <c r="L320" s="4" t="n">
        <v>293</v>
      </c>
      <c r="M320" s="5" t="n">
        <v>409.6</v>
      </c>
      <c r="N320" s="3" t="inlineStr">
        <is>
          <t>1</t>
        </is>
      </c>
      <c r="O320" s="3" t="inlineStr">
        <is>
          <t>-</t>
        </is>
      </c>
      <c r="P320" s="3" t="inlineStr">
        <is>
          <t>사진, 연무IC10분, 단독사용, 대형공장용지, 야적,공장매매, 임대가능</t>
        </is>
      </c>
      <c r="Q320" s="6">
        <f>HYPERLINK("https://fin.land.naver.com/articles/2649562970", "매물Link")</f>
        <v/>
      </c>
      <c r="R320" s="6">
        <f>HYPERLINK("https://map.naver.com/p/search/세종특별자치시 나성동 829", "지도Link")</f>
        <v/>
      </c>
      <c r="S320" s="6">
        <f>HYPERLINK("http://www.eum.go.kr/web/ar/lu/luLandDet.jsp?pnu=3611010700108290000&amp;isNoScr=script&amp;mode=search", "토지이음")</f>
        <v/>
      </c>
      <c r="T320" s="3" t="inlineStr">
        <is>
          <t>OK허니</t>
        </is>
      </c>
      <c r="U320" s="3" t="n">
        <v>1</v>
      </c>
      <c r="V320" s="3" t="inlineStr">
        <is>
          <t>전망공간 지하주차장</t>
        </is>
      </c>
      <c r="W320" s="4" t="n">
        <v>967</v>
      </c>
      <c r="X320" s="3" t="inlineStr">
        <is>
          <t>철근콘크리트구조</t>
        </is>
      </c>
      <c r="Y320" s="3" t="inlineStr">
        <is>
          <t>제2종근린생활시설</t>
        </is>
      </c>
      <c r="Z320" s="3" t="inlineStr">
        <is>
          <t>4.50m</t>
        </is>
      </c>
      <c r="AA320" s="3" t="inlineStr">
        <is>
          <t>2021-08-20</t>
        </is>
      </c>
    </row>
    <row r="321">
      <c r="A321" s="3" t="inlineStr">
        <is>
          <t>세종특별자치시 나성동 829</t>
        </is>
      </c>
      <c r="B321" s="3" t="inlineStr">
        <is>
          <t>중심상업지역</t>
        </is>
      </c>
      <c r="C321" s="3" t="inlineStr">
        <is>
          <t>대</t>
        </is>
      </c>
      <c r="D321" s="3" t="inlineStr">
        <is>
          <t>창고</t>
        </is>
      </c>
      <c r="E321" s="3" t="inlineStr">
        <is>
          <t>매매</t>
        </is>
      </c>
      <c r="F321" s="4" t="n">
        <v>50000</v>
      </c>
      <c r="G321" s="4" t="n">
        <v>0</v>
      </c>
      <c r="H321" s="4" t="n">
        <v>1238</v>
      </c>
      <c r="I321" s="4" t="n">
        <v>374</v>
      </c>
      <c r="J321" s="5" t="n">
        <v>133.7</v>
      </c>
      <c r="K321" s="4" t="n">
        <v>396</v>
      </c>
      <c r="L321" s="4" t="n">
        <v>120</v>
      </c>
      <c r="M321" s="5" t="n">
        <v>416.7</v>
      </c>
      <c r="N321" s="3" t="inlineStr">
        <is>
          <t>1</t>
        </is>
      </c>
      <c r="O321" s="3" t="inlineStr">
        <is>
          <t>-</t>
        </is>
      </c>
      <c r="P321" s="3" t="inlineStr">
        <is>
          <t>즉시입주,교환가능,2차선접,넓은주차장</t>
        </is>
      </c>
      <c r="Q321" s="6">
        <f>HYPERLINK("https://fin.land.naver.com/articles/2648024362", "매물Link")</f>
        <v/>
      </c>
      <c r="R321" s="6">
        <f>HYPERLINK("https://map.naver.com/p/search/세종특별자치시 나성동 829", "지도Link")</f>
        <v/>
      </c>
      <c r="S321" s="6">
        <f>HYPERLINK("http://www.eum.go.kr/web/ar/lu/luLandDet.jsp?pnu=3611010700108290000&amp;isNoScr=script&amp;mode=search", "토지이음")</f>
        <v/>
      </c>
      <c r="T321" s="3" t="inlineStr">
        <is>
          <t>백억사사무소</t>
        </is>
      </c>
      <c r="U321" s="3" t="n">
        <v>1</v>
      </c>
      <c r="V321" s="3" t="inlineStr">
        <is>
          <t>전망공간 기계실</t>
        </is>
      </c>
      <c r="W321" s="4" t="n">
        <v>396</v>
      </c>
      <c r="X321" s="3" t="inlineStr">
        <is>
          <t>철근콘크리트구조</t>
        </is>
      </c>
      <c r="Y321" s="3" t="inlineStr">
        <is>
          <t>제2종근린생활시설</t>
        </is>
      </c>
      <c r="Z321" s="3" t="inlineStr">
        <is>
          <t>-m</t>
        </is>
      </c>
      <c r="AA321" s="3" t="inlineStr">
        <is>
          <t>2021-08-20</t>
        </is>
      </c>
    </row>
    <row r="322">
      <c r="A322" s="3" t="inlineStr">
        <is>
          <t>세종특별자치시 나성동 829</t>
        </is>
      </c>
      <c r="B322" s="3" t="inlineStr">
        <is>
          <t>중심상업지역</t>
        </is>
      </c>
      <c r="C322" s="3" t="inlineStr">
        <is>
          <t>대</t>
        </is>
      </c>
      <c r="D322" s="3" t="inlineStr">
        <is>
          <t>창고</t>
        </is>
      </c>
      <c r="E322" s="3" t="inlineStr">
        <is>
          <t>월세</t>
        </is>
      </c>
      <c r="F322" s="4" t="n">
        <v>1000</v>
      </c>
      <c r="G322" s="4" t="n">
        <v>90</v>
      </c>
      <c r="H322" s="4" t="n">
        <v>991</v>
      </c>
      <c r="I322" s="4" t="n">
        <v>300</v>
      </c>
      <c r="J322" s="5" t="n">
        <v>0.3</v>
      </c>
      <c r="K322" s="4" t="n">
        <v>330</v>
      </c>
      <c r="L322" s="4" t="n">
        <v>100</v>
      </c>
      <c r="M322" s="5" t="n">
        <v>0.9</v>
      </c>
      <c r="N322" s="3" t="inlineStr">
        <is>
          <t>1</t>
        </is>
      </c>
      <c r="O322" s="3" t="inlineStr">
        <is>
          <t>-</t>
        </is>
      </c>
      <c r="P322" s="3" t="inlineStr">
        <is>
          <t>사진, 양촌IC5분, 단독사용마당,층고6m,사무실있음,대형차가능</t>
        </is>
      </c>
      <c r="Q322" s="6">
        <f>HYPERLINK("https://fin.land.naver.com/articles/2649568358", "매물Link")</f>
        <v/>
      </c>
      <c r="R322" s="6">
        <f>HYPERLINK("https://map.naver.com/p/search/세종특별자치시 나성동 829", "지도Link")</f>
        <v/>
      </c>
      <c r="S322" s="6">
        <f>HYPERLINK("http://www.eum.go.kr/web/ar/lu/luLandDet.jsp?pnu=3611010700108290000&amp;isNoScr=script&amp;mode=search", "토지이음")</f>
        <v/>
      </c>
      <c r="T322" s="3" t="inlineStr">
        <is>
          <t>OK허니</t>
        </is>
      </c>
      <c r="U322" s="3" t="n">
        <v>1</v>
      </c>
      <c r="V322" s="3" t="inlineStr">
        <is>
          <t>801</t>
        </is>
      </c>
      <c r="W322" s="4" t="n">
        <v>330</v>
      </c>
      <c r="X322" s="3" t="inlineStr">
        <is>
          <t>철근콘크리트구조</t>
        </is>
      </c>
      <c r="Y322" s="3" t="inlineStr">
        <is>
          <t>제2종근린생활시설</t>
        </is>
      </c>
      <c r="Z322" s="3" t="inlineStr">
        <is>
          <t>-m</t>
        </is>
      </c>
      <c r="AA322" s="3" t="inlineStr">
        <is>
          <t>2021-08-20</t>
        </is>
      </c>
    </row>
    <row r="323">
      <c r="A323" s="3" t="inlineStr">
        <is>
          <t>세종특별자치시 나성동 829</t>
        </is>
      </c>
      <c r="B323" s="3" t="inlineStr">
        <is>
          <t>중심상업지역</t>
        </is>
      </c>
      <c r="C323" s="3" t="inlineStr">
        <is>
          <t>대</t>
        </is>
      </c>
      <c r="D323" s="3" t="inlineStr">
        <is>
          <t>공장</t>
        </is>
      </c>
      <c r="E323" s="3" t="inlineStr">
        <is>
          <t>매매</t>
        </is>
      </c>
      <c r="F323" s="4" t="n">
        <v>40000</v>
      </c>
      <c r="G323" s="4" t="n">
        <v>0</v>
      </c>
      <c r="H323" s="4" t="n">
        <v>3885</v>
      </c>
      <c r="I323" s="4" t="n">
        <v>1175</v>
      </c>
      <c r="J323" s="5" t="n">
        <v>34</v>
      </c>
      <c r="K323" s="4" t="n">
        <v>1157</v>
      </c>
      <c r="L323" s="4" t="n">
        <v>350</v>
      </c>
      <c r="M323" s="5" t="n">
        <v>114.3</v>
      </c>
      <c r="N323" s="3" t="inlineStr">
        <is>
          <t>1</t>
        </is>
      </c>
      <c r="O323" s="3" t="inlineStr">
        <is>
          <t>-</t>
        </is>
      </c>
      <c r="P323" s="3" t="inlineStr">
        <is>
          <t>nan</t>
        </is>
      </c>
      <c r="Q323" s="6">
        <f>HYPERLINK("https://fin.land.naver.com/articles/2648416339", "매물Link")</f>
        <v/>
      </c>
      <c r="R323" s="6">
        <f>HYPERLINK("https://map.naver.com/p/search/세종특별자치시 나성동 829", "지도Link")</f>
        <v/>
      </c>
      <c r="S323" s="6">
        <f>HYPERLINK("http://www.eum.go.kr/web/ar/lu/luLandDet.jsp?pnu=3611010700108290000&amp;isNoScr=script&amp;mode=search", "토지이음")</f>
        <v/>
      </c>
      <c r="T323" s="3" t="inlineStr">
        <is>
          <t>신화  사무소</t>
        </is>
      </c>
      <c r="U323" s="3" t="n">
        <v>1</v>
      </c>
      <c r="V323" s="3" t="inlineStr">
        <is>
          <t>605</t>
        </is>
      </c>
      <c r="W323" s="4" t="n">
        <v>1157</v>
      </c>
      <c r="X323" s="3" t="inlineStr">
        <is>
          <t>철근콘크리트구조</t>
        </is>
      </c>
      <c r="Y323" s="3" t="inlineStr">
        <is>
          <t>공동주택</t>
        </is>
      </c>
      <c r="Z323" s="3" t="inlineStr">
        <is>
          <t>45.30m</t>
        </is>
      </c>
      <c r="AA323" s="3" t="inlineStr">
        <is>
          <t>2021-08-20</t>
        </is>
      </c>
    </row>
    <row r="324">
      <c r="A324" s="3" t="inlineStr">
        <is>
          <t>세종특별자치시 나성동 829</t>
        </is>
      </c>
      <c r="B324" s="3" t="inlineStr">
        <is>
          <t>중심상업지역</t>
        </is>
      </c>
      <c r="C324" s="3" t="inlineStr">
        <is>
          <t>대</t>
        </is>
      </c>
      <c r="D324" s="3" t="inlineStr">
        <is>
          <t>창고</t>
        </is>
      </c>
      <c r="E324" s="3" t="inlineStr">
        <is>
          <t>월세</t>
        </is>
      </c>
      <c r="F324" s="4" t="n">
        <v>2000</v>
      </c>
      <c r="G324" s="4" t="n">
        <v>140</v>
      </c>
      <c r="H324" s="4" t="n">
        <v>1753</v>
      </c>
      <c r="I324" s="4" t="n">
        <v>530</v>
      </c>
      <c r="J324" s="5" t="n">
        <v>0.3</v>
      </c>
      <c r="K324" s="4" t="n">
        <v>115</v>
      </c>
      <c r="L324" s="4" t="n">
        <v>35</v>
      </c>
      <c r="M324" s="5" t="n">
        <v>4</v>
      </c>
      <c r="N324" s="3" t="inlineStr">
        <is>
          <t>1</t>
        </is>
      </c>
      <c r="O324" s="3" t="inlineStr">
        <is>
          <t>-</t>
        </is>
      </c>
      <c r="P324" s="3" t="inlineStr">
        <is>
          <t>주중동,소형창고</t>
        </is>
      </c>
      <c r="Q324" s="6">
        <f>HYPERLINK("https://fin.land.naver.com/articles/2646718219", "매물Link")</f>
        <v/>
      </c>
      <c r="R324" s="6">
        <f>HYPERLINK("https://map.naver.com/p/search/세종특별자치시 나성동 829", "지도Link")</f>
        <v/>
      </c>
      <c r="S324" s="6">
        <f>HYPERLINK("http://www.eum.go.kr/web/ar/lu/luLandDet.jsp?pnu=3611010700108290000&amp;isNoScr=script&amp;mode=search", "토지이음")</f>
        <v/>
      </c>
      <c r="T324" s="3" t="inlineStr">
        <is>
          <t>LBA리치아노합동사무소</t>
        </is>
      </c>
      <c r="U324" s="3" t="n">
        <v>1</v>
      </c>
      <c r="V324" s="3" t="inlineStr">
        <is>
          <t>판매시설 지하주차장</t>
        </is>
      </c>
      <c r="W324" s="4" t="n">
        <v>115</v>
      </c>
      <c r="X324" s="3" t="inlineStr">
        <is>
          <t>철근콘크리트구조</t>
        </is>
      </c>
      <c r="Y324" s="3" t="inlineStr">
        <is>
          <t>판매시설</t>
        </is>
      </c>
      <c r="Z324" s="3" t="inlineStr">
        <is>
          <t>-m</t>
        </is>
      </c>
      <c r="AA324" s="3" t="inlineStr">
        <is>
          <t>2021-08-20</t>
        </is>
      </c>
    </row>
    <row r="325">
      <c r="A325" s="3" t="inlineStr">
        <is>
          <t>세종특별자치시 나성동 829</t>
        </is>
      </c>
      <c r="B325" s="3" t="inlineStr">
        <is>
          <t>중심상업지역</t>
        </is>
      </c>
      <c r="C325" s="3" t="inlineStr">
        <is>
          <t>대</t>
        </is>
      </c>
      <c r="D325" s="3" t="inlineStr">
        <is>
          <t>창고</t>
        </is>
      </c>
      <c r="E325" s="3" t="inlineStr">
        <is>
          <t>월세</t>
        </is>
      </c>
      <c r="F325" s="4" t="n">
        <v>2000</v>
      </c>
      <c r="G325" s="4" t="n">
        <v>100</v>
      </c>
      <c r="H325" s="4" t="n">
        <v>656</v>
      </c>
      <c r="I325" s="4" t="n">
        <v>198</v>
      </c>
      <c r="J325" s="5" t="n">
        <v>0.5</v>
      </c>
      <c r="K325" s="4" t="n">
        <v>149</v>
      </c>
      <c r="L325" s="4" t="n">
        <v>45</v>
      </c>
      <c r="M325" s="5" t="n">
        <v>2.2</v>
      </c>
      <c r="N325" s="3" t="inlineStr">
        <is>
          <t>1</t>
        </is>
      </c>
      <c r="O325" s="3" t="inlineStr">
        <is>
          <t>-</t>
        </is>
      </c>
      <c r="P325" s="3" t="inlineStr">
        <is>
          <t>주중동,창고,임대</t>
        </is>
      </c>
      <c r="Q325" s="6">
        <f>HYPERLINK("https://fin.land.naver.com/articles/2647745106", "매물Link")</f>
        <v/>
      </c>
      <c r="R325" s="6">
        <f>HYPERLINK("https://map.naver.com/p/search/세종특별자치시 나성동 829", "지도Link")</f>
        <v/>
      </c>
      <c r="S325" s="6">
        <f>HYPERLINK("http://www.eum.go.kr/web/ar/lu/luLandDet.jsp?pnu=3611010700108290000&amp;isNoScr=script&amp;mode=search", "토지이음")</f>
        <v/>
      </c>
      <c r="T325" s="3" t="inlineStr">
        <is>
          <t>LBA리치아노합동사무소</t>
        </is>
      </c>
      <c r="U325" s="3" t="n">
        <v>1</v>
      </c>
      <c r="V325" s="3" t="inlineStr">
        <is>
          <t>공동주택 경로당</t>
        </is>
      </c>
      <c r="W325" s="4" t="n">
        <v>149</v>
      </c>
      <c r="X325" s="3" t="inlineStr">
        <is>
          <t>철근콘크리트구조</t>
        </is>
      </c>
      <c r="Y325" s="3" t="inlineStr">
        <is>
          <t>공동주택</t>
        </is>
      </c>
      <c r="Z325" s="3" t="inlineStr">
        <is>
          <t>-m</t>
        </is>
      </c>
      <c r="AA325" s="3" t="inlineStr">
        <is>
          <t>2021-08-20</t>
        </is>
      </c>
    </row>
    <row r="326">
      <c r="A326" s="3" t="inlineStr">
        <is>
          <t>세종특별자치시 나성동 829</t>
        </is>
      </c>
      <c r="B326" s="3" t="inlineStr">
        <is>
          <t>중심상업지역</t>
        </is>
      </c>
      <c r="C326" s="3" t="inlineStr">
        <is>
          <t>대</t>
        </is>
      </c>
      <c r="D326" s="3" t="inlineStr">
        <is>
          <t>창고</t>
        </is>
      </c>
      <c r="E326" s="3" t="inlineStr">
        <is>
          <t>매매</t>
        </is>
      </c>
      <c r="F326" s="4" t="n">
        <v>247000</v>
      </c>
      <c r="G326" s="4" t="n">
        <v>0</v>
      </c>
      <c r="H326" s="4" t="n">
        <v>2816</v>
      </c>
      <c r="I326" s="4" t="n">
        <v>852</v>
      </c>
      <c r="J326" s="5" t="n">
        <v>289.9</v>
      </c>
      <c r="K326" s="4" t="n">
        <v>494</v>
      </c>
      <c r="L326" s="4" t="n">
        <v>149</v>
      </c>
      <c r="M326" s="5" t="n">
        <v>1657.7</v>
      </c>
      <c r="N326" s="3" t="inlineStr">
        <is>
          <t>1</t>
        </is>
      </c>
      <c r="O326" s="3" t="inlineStr">
        <is>
          <t>-</t>
        </is>
      </c>
      <c r="P326" s="3" t="inlineStr">
        <is>
          <t>수름재삼거리 근거리에 위치한 제조업소이며, 2개 동으로 되어있습니다.</t>
        </is>
      </c>
      <c r="Q326" s="6">
        <f>HYPERLINK("https://fin.land.naver.com/articles/2650140931", "매물Link")</f>
        <v/>
      </c>
      <c r="R326" s="6">
        <f>HYPERLINK("https://map.naver.com/p/search/세종특별자치시 나성동 829", "지도Link")</f>
        <v/>
      </c>
      <c r="S326" s="6">
        <f>HYPERLINK("http://www.eum.go.kr/web/ar/lu/luLandDet.jsp?pnu=3611010700108290000&amp;isNoScr=script&amp;mode=search", "토지이음")</f>
        <v/>
      </c>
      <c r="T326" s="3" t="inlineStr">
        <is>
          <t>정민</t>
        </is>
      </c>
      <c r="U326" s="3" t="n">
        <v>2</v>
      </c>
      <c r="V326" s="3" t="inlineStr">
        <is>
          <t>전망공간 기계실</t>
        </is>
      </c>
      <c r="W326" s="4" t="n">
        <v>494</v>
      </c>
      <c r="X326" s="3" t="inlineStr">
        <is>
          <t>철근콘크리트구조</t>
        </is>
      </c>
      <c r="Y326" s="3" t="inlineStr">
        <is>
          <t>제2종근린생활시설</t>
        </is>
      </c>
      <c r="Z326" s="3" t="inlineStr">
        <is>
          <t>-m</t>
        </is>
      </c>
      <c r="AA326" s="3" t="inlineStr">
        <is>
          <t>2021-08-20</t>
        </is>
      </c>
    </row>
    <row r="327">
      <c r="A327" s="3" t="inlineStr">
        <is>
          <t>세종특별자치시 나성동 829</t>
        </is>
      </c>
      <c r="B327" s="3" t="inlineStr">
        <is>
          <t>중심상업지역</t>
        </is>
      </c>
      <c r="C327" s="3" t="inlineStr">
        <is>
          <t>대</t>
        </is>
      </c>
      <c r="D327" s="3" t="inlineStr">
        <is>
          <t>창고</t>
        </is>
      </c>
      <c r="E327" s="3" t="inlineStr">
        <is>
          <t>월세</t>
        </is>
      </c>
      <c r="F327" s="4" t="n">
        <v>3000</v>
      </c>
      <c r="G327" s="4" t="n">
        <v>280</v>
      </c>
      <c r="H327" s="4" t="n">
        <v>359</v>
      </c>
      <c r="I327" s="4" t="n">
        <v>109</v>
      </c>
      <c r="J327" s="5" t="n">
        <v>2.6</v>
      </c>
      <c r="K327" s="4" t="n">
        <v>183</v>
      </c>
      <c r="L327" s="4" t="n">
        <v>55</v>
      </c>
      <c r="M327" s="5" t="n">
        <v>5.1</v>
      </c>
      <c r="N327" s="3" t="inlineStr">
        <is>
          <t>2</t>
        </is>
      </c>
      <c r="O327" s="3" t="inlineStr">
        <is>
          <t>B1</t>
        </is>
      </c>
      <c r="P327" s="3" t="inlineStr">
        <is>
          <t>청주초입에 위치한 수름재부근 코너자리 광고효과 좋고 노출만점</t>
        </is>
      </c>
      <c r="Q327" s="6">
        <f>HYPERLINK("https://fin.land.naver.com/articles/2644271197", "매물Link")</f>
        <v/>
      </c>
      <c r="R327" s="6">
        <f>HYPERLINK("https://map.naver.com/p/search/세종특별자치시 나성동 829", "지도Link")</f>
        <v/>
      </c>
      <c r="S327" s="6">
        <f>HYPERLINK("http://www.eum.go.kr/web/ar/lu/luLandDet.jsp?pnu=3611010700108290000&amp;isNoScr=script&amp;mode=search", "토지이음")</f>
        <v/>
      </c>
      <c r="T327" s="3" t="inlineStr">
        <is>
          <t>에이스</t>
        </is>
      </c>
      <c r="U327" s="3" t="n">
        <v>1</v>
      </c>
      <c r="V327" s="3" t="inlineStr">
        <is>
          <t>701</t>
        </is>
      </c>
      <c r="W327" s="4" t="n">
        <v>183</v>
      </c>
      <c r="X327" s="3" t="inlineStr">
        <is>
          <t>철근콘크리트구조</t>
        </is>
      </c>
      <c r="Y327" s="3" t="inlineStr">
        <is>
          <t>판매시설</t>
        </is>
      </c>
      <c r="Z327" s="3" t="inlineStr">
        <is>
          <t>-m</t>
        </is>
      </c>
      <c r="AA327" s="3" t="inlineStr">
        <is>
          <t>2021-08-20</t>
        </is>
      </c>
    </row>
    <row r="328">
      <c r="A328" s="3" t="inlineStr">
        <is>
          <t>세종특별자치시 나성동 829</t>
        </is>
      </c>
      <c r="B328" s="3" t="inlineStr">
        <is>
          <t>중심상업지역</t>
        </is>
      </c>
      <c r="C328" s="3" t="inlineStr">
        <is>
          <t>대</t>
        </is>
      </c>
      <c r="D328" s="3" t="inlineStr">
        <is>
          <t>공장</t>
        </is>
      </c>
      <c r="E328" s="3" t="inlineStr">
        <is>
          <t>월세</t>
        </is>
      </c>
      <c r="F328" s="4" t="n">
        <v>5000</v>
      </c>
      <c r="G328" s="4" t="n">
        <v>380</v>
      </c>
      <c r="H328" s="4" t="n">
        <v>2500</v>
      </c>
      <c r="I328" s="4" t="n">
        <v>756</v>
      </c>
      <c r="J328" s="5" t="n">
        <v>0.5</v>
      </c>
      <c r="K328" s="4" t="n">
        <v>320</v>
      </c>
      <c r="L328" s="4" t="n">
        <v>97</v>
      </c>
      <c r="M328" s="5" t="n">
        <v>3.9</v>
      </c>
      <c r="N328" s="3" t="inlineStr">
        <is>
          <t>1</t>
        </is>
      </c>
      <c r="O328" s="3" t="inlineStr">
        <is>
          <t>-</t>
        </is>
      </c>
      <c r="P328" s="3" t="inlineStr">
        <is>
          <t>주성동 신축넓은 주차장 창고및 사무실등 추천</t>
        </is>
      </c>
      <c r="Q328" s="6">
        <f>HYPERLINK("https://fin.land.naver.com/articles/2646668793", "매물Link")</f>
        <v/>
      </c>
      <c r="R328" s="6">
        <f>HYPERLINK("https://map.naver.com/p/search/세종특별자치시 나성동 829", "지도Link")</f>
        <v/>
      </c>
      <c r="S328" s="6">
        <f>HYPERLINK("http://www.eum.go.kr/web/ar/lu/luLandDet.jsp?pnu=3611010700108290000&amp;isNoScr=script&amp;mode=search", "토지이음")</f>
        <v/>
      </c>
      <c r="T328" s="3" t="inlineStr">
        <is>
          <t>더원</t>
        </is>
      </c>
      <c r="U328" s="3" t="n">
        <v>1</v>
      </c>
      <c r="V328" s="3" t="inlineStr">
        <is>
          <t>801</t>
        </is>
      </c>
      <c r="W328" s="4" t="n">
        <v>320</v>
      </c>
      <c r="X328" s="3" t="inlineStr">
        <is>
          <t>철근콘크리트구조</t>
        </is>
      </c>
      <c r="Y328" s="3" t="inlineStr">
        <is>
          <t>제2종근린생활시설</t>
        </is>
      </c>
      <c r="Z328" s="3" t="inlineStr">
        <is>
          <t>-m</t>
        </is>
      </c>
      <c r="AA328" s="3" t="inlineStr">
        <is>
          <t>2021-08-20</t>
        </is>
      </c>
    </row>
    <row r="329">
      <c r="A329" s="3" t="inlineStr">
        <is>
          <t>세종특별자치시 나성동 829</t>
        </is>
      </c>
      <c r="B329" s="3" t="inlineStr">
        <is>
          <t>중심상업지역</t>
        </is>
      </c>
      <c r="C329" s="3" t="inlineStr">
        <is>
          <t>대</t>
        </is>
      </c>
      <c r="D329" s="3" t="inlineStr">
        <is>
          <t>공장</t>
        </is>
      </c>
      <c r="E329" s="3" t="inlineStr">
        <is>
          <t>매매</t>
        </is>
      </c>
      <c r="F329" s="4" t="n">
        <v>155000</v>
      </c>
      <c r="G329" s="4" t="n">
        <v>0</v>
      </c>
      <c r="H329" s="4" t="n">
        <v>2266</v>
      </c>
      <c r="I329" s="4" t="n">
        <v>685</v>
      </c>
      <c r="J329" s="5" t="n">
        <v>226.3</v>
      </c>
      <c r="K329" s="4" t="n">
        <v>441</v>
      </c>
      <c r="L329" s="4" t="n">
        <v>133</v>
      </c>
      <c r="M329" s="5" t="n">
        <v>1165.4</v>
      </c>
      <c r="N329" s="3" t="inlineStr">
        <is>
          <t>1</t>
        </is>
      </c>
      <c r="O329" s="3" t="inlineStr">
        <is>
          <t>-</t>
        </is>
      </c>
      <c r="P329" s="3" t="inlineStr">
        <is>
          <t>2.3순환로 인근으로 대형차 진출입 가능 2종근생 제조업허가</t>
        </is>
      </c>
      <c r="Q329" s="6">
        <f>HYPERLINK("https://fin.land.naver.com/articles/2645942384", "매물Link")</f>
        <v/>
      </c>
      <c r="R329" s="6">
        <f>HYPERLINK("https://map.naver.com/p/search/세종특별자치시 나성동 829", "지도Link")</f>
        <v/>
      </c>
      <c r="S329" s="6">
        <f>HYPERLINK("http://www.eum.go.kr/web/ar/lu/luLandDet.jsp?pnu=3611010700108290000&amp;isNoScr=script&amp;mode=search", "토지이음")</f>
        <v/>
      </c>
      <c r="T329" s="3" t="inlineStr">
        <is>
          <t>더원</t>
        </is>
      </c>
      <c r="U329" s="3" t="n">
        <v>1</v>
      </c>
      <c r="V329" s="3" t="inlineStr">
        <is>
          <t>전망공간 기계실</t>
        </is>
      </c>
      <c r="W329" s="4" t="n">
        <v>441</v>
      </c>
      <c r="X329" s="3" t="inlineStr">
        <is>
          <t>철근콘크리트구조</t>
        </is>
      </c>
      <c r="Y329" s="3" t="inlineStr">
        <is>
          <t>제2종근린생활시설</t>
        </is>
      </c>
      <c r="Z329" s="3" t="inlineStr">
        <is>
          <t>-m</t>
        </is>
      </c>
      <c r="AA329" s="3" t="inlineStr">
        <is>
          <t>2021-08-20</t>
        </is>
      </c>
    </row>
    <row r="330">
      <c r="A330" s="3" t="inlineStr">
        <is>
          <t>세종특별자치시 나성동 829</t>
        </is>
      </c>
      <c r="B330" s="3" t="inlineStr">
        <is>
          <t>중심상업지역</t>
        </is>
      </c>
      <c r="C330" s="3" t="inlineStr">
        <is>
          <t>대</t>
        </is>
      </c>
      <c r="D330" s="3" t="inlineStr">
        <is>
          <t>창고</t>
        </is>
      </c>
      <c r="E330" s="3" t="inlineStr">
        <is>
          <t>매매</t>
        </is>
      </c>
      <c r="F330" s="4" t="n">
        <v>35000</v>
      </c>
      <c r="G330" s="4" t="n">
        <v>0</v>
      </c>
      <c r="H330" s="4" t="n">
        <v>540</v>
      </c>
      <c r="I330" s="4" t="n">
        <v>163</v>
      </c>
      <c r="J330" s="5" t="n">
        <v>214.7</v>
      </c>
      <c r="K330" s="4" t="n">
        <v>98</v>
      </c>
      <c r="L330" s="4" t="n">
        <v>30</v>
      </c>
      <c r="M330" s="5" t="n">
        <v>1166.7</v>
      </c>
      <c r="N330" s="3" t="inlineStr">
        <is>
          <t>1</t>
        </is>
      </c>
      <c r="O330" s="3" t="inlineStr">
        <is>
          <t>-</t>
        </is>
      </c>
      <c r="P330" s="3" t="inlineStr">
        <is>
          <t>정북동 창고 매매, 위치 좋고 도로 진입 편리한 곳, 주차까지 편리</t>
        </is>
      </c>
      <c r="Q330" s="6">
        <f>HYPERLINK("https://fin.land.naver.com/articles/2643943182", "매물Link")</f>
        <v/>
      </c>
      <c r="R330" s="6">
        <f>HYPERLINK("https://map.naver.com/p/search/세종특별자치시 나성동 829", "지도Link")</f>
        <v/>
      </c>
      <c r="S330" s="6">
        <f>HYPERLINK("http://www.eum.go.kr/web/ar/lu/luLandDet.jsp?pnu=3611010700108290000&amp;isNoScr=script&amp;mode=search", "토지이음")</f>
        <v/>
      </c>
      <c r="T330" s="3" t="inlineStr">
        <is>
          <t>진</t>
        </is>
      </c>
      <c r="U330" s="3" t="n">
        <v>1</v>
      </c>
      <c r="V330" s="3" t="inlineStr">
        <is>
          <t>공동주택 연결통로</t>
        </is>
      </c>
      <c r="W330" s="4" t="n">
        <v>98</v>
      </c>
      <c r="X330" s="3" t="inlineStr">
        <is>
          <t>철근콘크리트구조</t>
        </is>
      </c>
      <c r="Y330" s="3" t="inlineStr">
        <is>
          <t>공동주택</t>
        </is>
      </c>
      <c r="Z330" s="3" t="inlineStr">
        <is>
          <t>-m</t>
        </is>
      </c>
      <c r="AA330" s="3" t="inlineStr">
        <is>
          <t>2021-08-20</t>
        </is>
      </c>
    </row>
    <row r="331">
      <c r="A331" s="3" t="inlineStr">
        <is>
          <t>세종특별자치시 나성동 829</t>
        </is>
      </c>
      <c r="B331" s="3" t="inlineStr">
        <is>
          <t>중심상업지역</t>
        </is>
      </c>
      <c r="C331" s="3" t="inlineStr">
        <is>
          <t>대</t>
        </is>
      </c>
      <c r="D331" s="3" t="inlineStr">
        <is>
          <t>창고</t>
        </is>
      </c>
      <c r="E331" s="3" t="inlineStr">
        <is>
          <t>월세</t>
        </is>
      </c>
      <c r="F331" s="4" t="n">
        <v>1000</v>
      </c>
      <c r="G331" s="4" t="n">
        <v>80</v>
      </c>
      <c r="H331" s="4" t="n">
        <v>300</v>
      </c>
      <c r="I331" s="4" t="n">
        <v>91</v>
      </c>
      <c r="J331" s="5" t="n">
        <v>0.9</v>
      </c>
      <c r="K331" s="4" t="n">
        <v>132</v>
      </c>
      <c r="L331" s="4" t="n">
        <v>40</v>
      </c>
      <c r="M331" s="5" t="n">
        <v>2</v>
      </c>
      <c r="N331" s="3" t="inlineStr">
        <is>
          <t>1</t>
        </is>
      </c>
      <c r="O331" s="3" t="inlineStr">
        <is>
          <t>-</t>
        </is>
      </c>
      <c r="P331" s="3" t="inlineStr">
        <is>
          <t>정상동,창고</t>
        </is>
      </c>
      <c r="Q331" s="6">
        <f>HYPERLINK("https://fin.land.naver.com/articles/2646715196", "매물Link")</f>
        <v/>
      </c>
      <c r="R331" s="6">
        <f>HYPERLINK("https://map.naver.com/p/search/세종특별자치시 나성동 829", "지도Link")</f>
        <v/>
      </c>
      <c r="S331" s="6">
        <f>HYPERLINK("http://www.eum.go.kr/web/ar/lu/luLandDet.jsp?pnu=3611010700108290000&amp;isNoScr=script&amp;mode=search", "토지이음")</f>
        <v/>
      </c>
      <c r="T331" s="3" t="inlineStr">
        <is>
          <t>LBA리치아노합동사무소</t>
        </is>
      </c>
      <c r="U331" s="3" t="n">
        <v>1</v>
      </c>
      <c r="V331" s="3" t="inlineStr">
        <is>
          <t>근린생활시설 전기/발전기실</t>
        </is>
      </c>
      <c r="W331" s="4" t="n">
        <v>132</v>
      </c>
      <c r="X331" s="3" t="inlineStr">
        <is>
          <t>철근콘크리트구조</t>
        </is>
      </c>
      <c r="Y331" s="3" t="inlineStr">
        <is>
          <t>제2종근린생활시설</t>
        </is>
      </c>
      <c r="Z331" s="3" t="inlineStr">
        <is>
          <t>-m</t>
        </is>
      </c>
      <c r="AA331" s="3" t="inlineStr">
        <is>
          <t>2021-08-20</t>
        </is>
      </c>
    </row>
    <row r="332">
      <c r="A332" s="3" t="inlineStr">
        <is>
          <t>세종특별자치시 나성동 829</t>
        </is>
      </c>
      <c r="B332" s="3" t="inlineStr">
        <is>
          <t>중심상업지역</t>
        </is>
      </c>
      <c r="C332" s="3" t="inlineStr">
        <is>
          <t>대</t>
        </is>
      </c>
      <c r="D332" s="3" t="inlineStr">
        <is>
          <t>창고</t>
        </is>
      </c>
      <c r="E332" s="3" t="inlineStr">
        <is>
          <t>월세</t>
        </is>
      </c>
      <c r="F332" s="4" t="n">
        <v>2000</v>
      </c>
      <c r="G332" s="4" t="n">
        <v>150</v>
      </c>
      <c r="H332" s="4" t="n">
        <v>4477</v>
      </c>
      <c r="I332" s="4" t="n">
        <v>1354</v>
      </c>
      <c r="J332" s="5" t="n">
        <v>0.1</v>
      </c>
      <c r="K332" s="4" t="n">
        <v>199</v>
      </c>
      <c r="L332" s="4" t="n">
        <v>60</v>
      </c>
      <c r="M332" s="5" t="n">
        <v>2.5</v>
      </c>
      <c r="N332" s="3" t="inlineStr">
        <is>
          <t>1</t>
        </is>
      </c>
      <c r="O332" s="3" t="inlineStr">
        <is>
          <t>-</t>
        </is>
      </c>
      <c r="P332" s="3" t="inlineStr">
        <is>
          <t>청주,농업용창고,임대</t>
        </is>
      </c>
      <c r="Q332" s="6">
        <f>HYPERLINK("https://fin.land.naver.com/articles/2646792901", "매물Link")</f>
        <v/>
      </c>
      <c r="R332" s="6">
        <f>HYPERLINK("https://map.naver.com/p/search/세종특별자치시 나성동 829", "지도Link")</f>
        <v/>
      </c>
      <c r="S332" s="6">
        <f>HYPERLINK("http://www.eum.go.kr/web/ar/lu/luLandDet.jsp?pnu=3611010700108290000&amp;isNoScr=script&amp;mode=search", "토지이음")</f>
        <v/>
      </c>
      <c r="T332" s="3" t="inlineStr">
        <is>
          <t>LBA리치아노합동사무소</t>
        </is>
      </c>
      <c r="U332" s="3" t="n">
        <v>1</v>
      </c>
      <c r="V332" s="3" t="inlineStr">
        <is>
          <t>공동주택 주민공동시설</t>
        </is>
      </c>
      <c r="W332" s="4" t="n">
        <v>199</v>
      </c>
      <c r="X332" s="3" t="inlineStr">
        <is>
          <t>철근콘크리트구조</t>
        </is>
      </c>
      <c r="Y332" s="3" t="inlineStr">
        <is>
          <t>공동주택</t>
        </is>
      </c>
      <c r="Z332" s="3" t="inlineStr">
        <is>
          <t>-m</t>
        </is>
      </c>
      <c r="AA332" s="3" t="inlineStr">
        <is>
          <t>2021-08-20</t>
        </is>
      </c>
    </row>
    <row r="333">
      <c r="A333" s="3" t="inlineStr">
        <is>
          <t>세종특별자치시 나성동 829</t>
        </is>
      </c>
      <c r="B333" s="3" t="inlineStr">
        <is>
          <t>중심상업지역</t>
        </is>
      </c>
      <c r="C333" s="3" t="inlineStr">
        <is>
          <t>대</t>
        </is>
      </c>
      <c r="D333" s="3" t="inlineStr">
        <is>
          <t>창고</t>
        </is>
      </c>
      <c r="E333" s="3" t="inlineStr">
        <is>
          <t>월세</t>
        </is>
      </c>
      <c r="F333" s="4" t="n">
        <v>500</v>
      </c>
      <c r="G333" s="4" t="n">
        <v>80</v>
      </c>
      <c r="H333" s="4" t="n">
        <v>1565</v>
      </c>
      <c r="I333" s="4" t="n">
        <v>473</v>
      </c>
      <c r="J333" s="5" t="n">
        <v>0.2</v>
      </c>
      <c r="K333" s="4" t="n">
        <v>190</v>
      </c>
      <c r="L333" s="4" t="n">
        <v>57</v>
      </c>
      <c r="M333" s="5" t="n">
        <v>1.4</v>
      </c>
      <c r="N333" s="3" t="inlineStr">
        <is>
          <t>1</t>
        </is>
      </c>
      <c r="O333" s="3" t="inlineStr">
        <is>
          <t>-</t>
        </is>
      </c>
      <c r="P333" s="3" t="inlineStr">
        <is>
          <t>3순환로인근,창고용도</t>
        </is>
      </c>
      <c r="Q333" s="6">
        <f>HYPERLINK("https://fin.land.naver.com/articles/2649530998", "매물Link")</f>
        <v/>
      </c>
      <c r="R333" s="6">
        <f>HYPERLINK("https://map.naver.com/p/search/세종특별자치시 나성동 829", "지도Link")</f>
        <v/>
      </c>
      <c r="S333" s="6">
        <f>HYPERLINK("http://www.eum.go.kr/web/ar/lu/luLandDet.jsp?pnu=3611010700108290000&amp;isNoScr=script&amp;mode=search", "토지이음")</f>
        <v/>
      </c>
      <c r="T333" s="3" t="inlineStr">
        <is>
          <t>LBA리치아노합동사무소</t>
        </is>
      </c>
      <c r="U333" s="3" t="n">
        <v>1</v>
      </c>
      <c r="V333" s="3" t="inlineStr">
        <is>
          <t>701</t>
        </is>
      </c>
      <c r="W333" s="4" t="n">
        <v>190</v>
      </c>
      <c r="X333" s="3" t="inlineStr">
        <is>
          <t>철근콘크리트구조</t>
        </is>
      </c>
      <c r="Y333" s="3" t="inlineStr">
        <is>
          <t>판매시설</t>
        </is>
      </c>
      <c r="Z333" s="3" t="inlineStr">
        <is>
          <t>-m</t>
        </is>
      </c>
      <c r="AA333" s="3" t="inlineStr">
        <is>
          <t>2021-08-20</t>
        </is>
      </c>
    </row>
    <row r="334">
      <c r="A334" s="3" t="inlineStr">
        <is>
          <t>세종특별자치시 나성동 829</t>
        </is>
      </c>
      <c r="B334" s="3" t="inlineStr">
        <is>
          <t>중심상업지역</t>
        </is>
      </c>
      <c r="C334" s="3" t="inlineStr">
        <is>
          <t>대</t>
        </is>
      </c>
      <c r="D334" s="3" t="inlineStr">
        <is>
          <t>창고</t>
        </is>
      </c>
      <c r="E334" s="3" t="inlineStr">
        <is>
          <t>월세</t>
        </is>
      </c>
      <c r="F334" s="4" t="n">
        <v>2200</v>
      </c>
      <c r="G334" s="4" t="n">
        <v>200</v>
      </c>
      <c r="H334" s="4" t="n">
        <v>2667</v>
      </c>
      <c r="I334" s="4" t="n">
        <v>807</v>
      </c>
      <c r="J334" s="5" t="n">
        <v>0.2</v>
      </c>
      <c r="K334" s="4" t="n">
        <v>300</v>
      </c>
      <c r="L334" s="4" t="n">
        <v>91</v>
      </c>
      <c r="M334" s="5" t="n">
        <v>2.2</v>
      </c>
      <c r="N334" s="3" t="inlineStr">
        <is>
          <t>1</t>
        </is>
      </c>
      <c r="O334" s="3" t="inlineStr">
        <is>
          <t>-</t>
        </is>
      </c>
      <c r="P334" s="3" t="inlineStr">
        <is>
          <t>사천동 학생회관 뒤 사과나무 식당 인근에 자리하고 있는 창고 시설입니다</t>
        </is>
      </c>
      <c r="Q334" s="6">
        <f>HYPERLINK("https://fin.land.naver.com/articles/2647073459", "매물Link")</f>
        <v/>
      </c>
      <c r="R334" s="6">
        <f>HYPERLINK("https://map.naver.com/p/search/세종특별자치시 나성동 829", "지도Link")</f>
        <v/>
      </c>
      <c r="S334" s="6">
        <f>HYPERLINK("http://www.eum.go.kr/web/ar/lu/luLandDet.jsp?pnu=3611010700108290000&amp;isNoScr=script&amp;mode=search", "토지이음")</f>
        <v/>
      </c>
      <c r="T334" s="3" t="inlineStr">
        <is>
          <t>지구촌무소</t>
        </is>
      </c>
      <c r="U334" s="3" t="n">
        <v>1</v>
      </c>
      <c r="V334" s="3" t="inlineStr">
        <is>
          <t>801</t>
        </is>
      </c>
      <c r="W334" s="4" t="n">
        <v>300</v>
      </c>
      <c r="X334" s="3" t="inlineStr">
        <is>
          <t>철근콘크리트구조</t>
        </is>
      </c>
      <c r="Y334" s="3" t="inlineStr">
        <is>
          <t>제2종근린생활시설</t>
        </is>
      </c>
      <c r="Z334" s="3" t="inlineStr">
        <is>
          <t>-m</t>
        </is>
      </c>
      <c r="AA334" s="3" t="inlineStr">
        <is>
          <t>2021-08-20</t>
        </is>
      </c>
    </row>
    <row r="335">
      <c r="A335" s="3" t="inlineStr">
        <is>
          <t>세종특별자치시 나성동 829</t>
        </is>
      </c>
      <c r="B335" s="3" t="inlineStr">
        <is>
          <t>중심상업지역</t>
        </is>
      </c>
      <c r="C335" s="3" t="inlineStr">
        <is>
          <t>대</t>
        </is>
      </c>
      <c r="D335" s="3" t="inlineStr">
        <is>
          <t>공장</t>
        </is>
      </c>
      <c r="E335" s="3" t="inlineStr">
        <is>
          <t>월세</t>
        </is>
      </c>
      <c r="F335" s="4" t="n">
        <v>3000</v>
      </c>
      <c r="G335" s="4" t="n">
        <v>300</v>
      </c>
      <c r="H335" s="4" t="n">
        <v>1747</v>
      </c>
      <c r="I335" s="4" t="n">
        <v>528</v>
      </c>
      <c r="J335" s="5" t="n">
        <v>0.6</v>
      </c>
      <c r="K335" s="4" t="n">
        <v>330</v>
      </c>
      <c r="L335" s="4" t="n">
        <v>100</v>
      </c>
      <c r="M335" s="5" t="n">
        <v>3</v>
      </c>
      <c r="N335" s="3" t="inlineStr">
        <is>
          <t>1</t>
        </is>
      </c>
      <c r="O335" s="3" t="inlineStr">
        <is>
          <t>-</t>
        </is>
      </c>
      <c r="P335" s="3" t="inlineStr">
        <is>
          <t>nan</t>
        </is>
      </c>
      <c r="Q335" s="6">
        <f>HYPERLINK("https://fin.land.naver.com/articles/2647853795", "매물Link")</f>
        <v/>
      </c>
      <c r="R335" s="6">
        <f>HYPERLINK("https://map.naver.com/p/search/세종특별자치시 나성동 829", "지도Link")</f>
        <v/>
      </c>
      <c r="S335" s="6">
        <f>HYPERLINK("http://www.eum.go.kr/web/ar/lu/luLandDet.jsp?pnu=3611010700108290000&amp;isNoScr=script&amp;mode=search", "토지이음")</f>
        <v/>
      </c>
      <c r="T335" s="3" t="inlineStr">
        <is>
          <t>청주부부</t>
        </is>
      </c>
      <c r="U335" s="3" t="n">
        <v>1</v>
      </c>
      <c r="V335" s="3" t="inlineStr">
        <is>
          <t>801</t>
        </is>
      </c>
      <c r="W335" s="4" t="n">
        <v>330</v>
      </c>
      <c r="X335" s="3" t="inlineStr">
        <is>
          <t>철근콘크리트구조</t>
        </is>
      </c>
      <c r="Y335" s="3" t="inlineStr">
        <is>
          <t>제2종근린생활시설</t>
        </is>
      </c>
      <c r="Z335" s="3" t="inlineStr">
        <is>
          <t>-m</t>
        </is>
      </c>
      <c r="AA335" s="3" t="inlineStr">
        <is>
          <t>2021-08-20</t>
        </is>
      </c>
    </row>
    <row r="336">
      <c r="A336" s="3" t="inlineStr">
        <is>
          <t>세종특별자치시 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HYPERLINK("https://map.naver.com/p/search/세종특별자치시 나성동 829", "지도Link")</f>
        <v/>
      </c>
      <c r="S336" s="6">
        <f>HYPERLINK("http://www.eum.go.kr/web/ar/lu/luLandDet.jsp?pnu=3611010700108290000&amp;isNoScr=script&amp;mode=search", "토지이음")</f>
        <v/>
      </c>
      <c r="T336" s="3" t="inlineStr">
        <is>
          <t>공장365</t>
        </is>
      </c>
      <c r="U336" s="3" t="n">
        <v>1</v>
      </c>
      <c r="V336" s="3" t="inlineStr">
        <is>
          <t>801</t>
        </is>
      </c>
      <c r="W336" s="4" t="n">
        <v>331</v>
      </c>
      <c r="X336" s="3" t="inlineStr">
        <is>
          <t>철근콘크리트구조</t>
        </is>
      </c>
      <c r="Y336" s="3" t="inlineStr">
        <is>
          <t>제2종근린생활시설</t>
        </is>
      </c>
      <c r="Z336" s="3" t="inlineStr">
        <is>
          <t>-m</t>
        </is>
      </c>
      <c r="AA336" s="3" t="inlineStr">
        <is>
          <t>2021-08-20</t>
        </is>
      </c>
    </row>
    <row r="337">
      <c r="A337" s="3" t="inlineStr">
        <is>
          <t>세종특별자치시 나성동 829</t>
        </is>
      </c>
      <c r="B337" s="3" t="inlineStr">
        <is>
          <t>중심상업지역</t>
        </is>
      </c>
      <c r="C337" s="3" t="inlineStr">
        <is>
          <t>대</t>
        </is>
      </c>
      <c r="D337" s="3" t="inlineStr">
        <is>
          <t>창고</t>
        </is>
      </c>
      <c r="E337" s="3" t="inlineStr">
        <is>
          <t>월세</t>
        </is>
      </c>
      <c r="F337" s="4" t="n">
        <v>2000</v>
      </c>
      <c r="G337" s="4" t="n">
        <v>150</v>
      </c>
      <c r="H337" s="4" t="n">
        <v>992</v>
      </c>
      <c r="I337" s="4" t="n">
        <v>300</v>
      </c>
      <c r="J337" s="5" t="n">
        <v>0.5</v>
      </c>
      <c r="K337" s="4" t="n">
        <v>262</v>
      </c>
      <c r="L337" s="4" t="n">
        <v>79</v>
      </c>
      <c r="M337" s="5" t="n">
        <v>1.9</v>
      </c>
      <c r="N337" s="3" t="inlineStr">
        <is>
          <t>1</t>
        </is>
      </c>
      <c r="O337" s="3" t="inlineStr">
        <is>
          <t>-</t>
        </is>
      </c>
      <c r="P337" s="3" t="inlineStr">
        <is>
          <t>1동은 1991년 공장 신축하고 2동은 2025년12월 증축 함</t>
        </is>
      </c>
      <c r="Q337" s="6">
        <f>HYPERLINK("https://fin.land.naver.com/articles/2644785379", "매물Link")</f>
        <v/>
      </c>
      <c r="R337" s="6">
        <f>HYPERLINK("https://map.naver.com/p/search/세종특별자치시 나성동 829", "지도Link")</f>
        <v/>
      </c>
      <c r="S337" s="6">
        <f>HYPERLINK("http://www.eum.go.kr/web/ar/lu/luLandDet.jsp?pnu=3611010700108290000&amp;isNoScr=script&amp;mode=search", "토지이음")</f>
        <v/>
      </c>
      <c r="T337" s="3" t="inlineStr">
        <is>
          <t>태평</t>
        </is>
      </c>
      <c r="U337" s="3" t="n">
        <v>1</v>
      </c>
      <c r="V337" s="3" t="inlineStr">
        <is>
          <t>근린생활시설 기계실</t>
        </is>
      </c>
      <c r="W337" s="4" t="n">
        <v>262</v>
      </c>
      <c r="X337" s="3" t="inlineStr">
        <is>
          <t>철근콘크리트구조</t>
        </is>
      </c>
      <c r="Y337" s="3" t="inlineStr">
        <is>
          <t>제2종근린생활시설</t>
        </is>
      </c>
      <c r="Z337" s="3" t="inlineStr">
        <is>
          <t>-m</t>
        </is>
      </c>
      <c r="AA337" s="3" t="inlineStr">
        <is>
          <t>2021-08-20</t>
        </is>
      </c>
    </row>
    <row r="338">
      <c r="A338" s="3" t="inlineStr">
        <is>
          <t>세종특별자치시 나성동 829</t>
        </is>
      </c>
      <c r="B338" s="3" t="inlineStr">
        <is>
          <t>중심상업지역</t>
        </is>
      </c>
      <c r="C338" s="3" t="inlineStr">
        <is>
          <t>대</t>
        </is>
      </c>
      <c r="D338" s="3" t="inlineStr">
        <is>
          <t>공장</t>
        </is>
      </c>
      <c r="E338" s="3" t="inlineStr">
        <is>
          <t>매매</t>
        </is>
      </c>
      <c r="F338" s="4" t="n">
        <v>65000</v>
      </c>
      <c r="G338" s="4" t="n">
        <v>0</v>
      </c>
      <c r="H338" s="4" t="n">
        <v>867</v>
      </c>
      <c r="I338" s="4" t="n">
        <v>262</v>
      </c>
      <c r="J338" s="5" t="n">
        <v>248.1</v>
      </c>
      <c r="K338" s="4" t="n">
        <v>345</v>
      </c>
      <c r="L338" s="4" t="n">
        <v>104</v>
      </c>
      <c r="M338" s="5" t="n">
        <v>625</v>
      </c>
      <c r="N338" s="3" t="inlineStr">
        <is>
          <t>1</t>
        </is>
      </c>
      <c r="O338" s="3" t="inlineStr">
        <is>
          <t>-</t>
        </is>
      </c>
      <c r="P338" s="3" t="inlineStr">
        <is>
          <t>2차선도로 접한 임대된 투자용공장</t>
        </is>
      </c>
      <c r="Q338" s="6">
        <f>HYPERLINK("https://fin.land.naver.com/articles/2646712178", "매물Link")</f>
        <v/>
      </c>
      <c r="R338" s="6">
        <f>HYPERLINK("https://map.naver.com/p/search/세종특별자치시 나성동 829", "지도Link")</f>
        <v/>
      </c>
      <c r="S338" s="6">
        <f>HYPERLINK("http://www.eum.go.kr/web/ar/lu/luLandDet.jsp?pnu=3611010700108290000&amp;isNoScr=script&amp;mode=search", "토지이음")</f>
        <v/>
      </c>
      <c r="T338" s="3" t="inlineStr">
        <is>
          <t>빛나</t>
        </is>
      </c>
      <c r="U338" s="3" t="n">
        <v>1</v>
      </c>
      <c r="V338" s="3" t="inlineStr">
        <is>
          <t>801</t>
        </is>
      </c>
      <c r="W338" s="4" t="n">
        <v>345</v>
      </c>
      <c r="X338" s="3" t="inlineStr">
        <is>
          <t>철근콘크리트구조</t>
        </is>
      </c>
      <c r="Y338" s="3" t="inlineStr">
        <is>
          <t>제2종근린생활시설</t>
        </is>
      </c>
      <c r="Z338" s="3" t="inlineStr">
        <is>
          <t>-m</t>
        </is>
      </c>
      <c r="AA338" s="3" t="inlineStr">
        <is>
          <t>2021-08-20</t>
        </is>
      </c>
    </row>
    <row r="339">
      <c r="A339" s="3" t="inlineStr">
        <is>
          <t>세종특별자치시 나성동 829</t>
        </is>
      </c>
      <c r="B339" s="3" t="inlineStr">
        <is>
          <t>중심상업지역</t>
        </is>
      </c>
      <c r="C339" s="3" t="inlineStr">
        <is>
          <t>대</t>
        </is>
      </c>
      <c r="D339" s="3" t="inlineStr">
        <is>
          <t>창고</t>
        </is>
      </c>
      <c r="E339" s="3" t="inlineStr">
        <is>
          <t>매매</t>
        </is>
      </c>
      <c r="F339" s="4" t="n">
        <v>22000</v>
      </c>
      <c r="G339" s="4" t="n">
        <v>0</v>
      </c>
      <c r="H339" s="4" t="n">
        <v>452</v>
      </c>
      <c r="I339" s="4" t="n">
        <v>137</v>
      </c>
      <c r="J339" s="5" t="n">
        <v>160.6</v>
      </c>
      <c r="K339" s="4" t="n">
        <v>132</v>
      </c>
      <c r="L339" s="4" t="n">
        <v>40</v>
      </c>
      <c r="M339" s="5" t="n">
        <v>550</v>
      </c>
      <c r="N339" s="3" t="inlineStr">
        <is>
          <t>1</t>
        </is>
      </c>
      <c r="O339" s="3" t="inlineStr">
        <is>
          <t>-</t>
        </is>
      </c>
      <c r="P339" s="3" t="inlineStr">
        <is>
          <t>국사리 산업단징파
국사리 산업단지 앞쪽 저렴한 매물 창고</t>
        </is>
      </c>
      <c r="Q339" s="6">
        <f>HYPERLINK("https://fin.land.naver.com/articles/2647523854", "매물Link")</f>
        <v/>
      </c>
      <c r="R339" s="6">
        <f>HYPERLINK("https://map.naver.com/p/search/세종특별자치시 나성동 829", "지도Link")</f>
        <v/>
      </c>
      <c r="S339" s="6">
        <f>HYPERLINK("http://www.eum.go.kr/web/ar/lu/luLandDet.jsp?pnu=3611010700108290000&amp;isNoScr=script&amp;mode=search", "토지이음")</f>
        <v/>
      </c>
      <c r="T339" s="3" t="inlineStr">
        <is>
          <t>옥산리버자이</t>
        </is>
      </c>
      <c r="U339" s="3" t="n">
        <v>1</v>
      </c>
      <c r="V339" s="3" t="inlineStr">
        <is>
          <t>근린생활시설 전기/발전기실</t>
        </is>
      </c>
      <c r="W339" s="4" t="n">
        <v>132</v>
      </c>
      <c r="X339" s="3" t="inlineStr">
        <is>
          <t>철근콘크리트구조</t>
        </is>
      </c>
      <c r="Y339" s="3" t="inlineStr">
        <is>
          <t>제2종근린생활시설</t>
        </is>
      </c>
      <c r="Z339" s="3" t="inlineStr">
        <is>
          <t>-m</t>
        </is>
      </c>
      <c r="AA339" s="3" t="inlineStr">
        <is>
          <t>2021-08-20</t>
        </is>
      </c>
    </row>
    <row r="340">
      <c r="A340" s="3" t="inlineStr">
        <is>
          <t>세종특별자치시 나성동 829</t>
        </is>
      </c>
      <c r="B340" s="3" t="inlineStr">
        <is>
          <t>중심상업지역</t>
        </is>
      </c>
      <c r="C340" s="3" t="inlineStr">
        <is>
          <t>대</t>
        </is>
      </c>
      <c r="D340" s="3" t="inlineStr">
        <is>
          <t>공장</t>
        </is>
      </c>
      <c r="E340" s="3" t="inlineStr">
        <is>
          <t>매매</t>
        </is>
      </c>
      <c r="F340" s="4" t="n">
        <v>420000</v>
      </c>
      <c r="G340" s="4" t="n">
        <v>0</v>
      </c>
      <c r="H340" s="4" t="n">
        <v>6371</v>
      </c>
      <c r="I340" s="4" t="n">
        <v>1927</v>
      </c>
      <c r="J340" s="5" t="n">
        <v>218</v>
      </c>
      <c r="K340" s="4" t="n">
        <v>2542</v>
      </c>
      <c r="L340" s="4" t="n">
        <v>769</v>
      </c>
      <c r="M340" s="5" t="n">
        <v>546.2</v>
      </c>
      <c r="N340" s="3" t="inlineStr">
        <is>
          <t>1</t>
        </is>
      </c>
      <c r="O340" s="3" t="inlineStr">
        <is>
          <t>-</t>
        </is>
      </c>
      <c r="P340" s="3" t="inlineStr">
        <is>
          <t>2차로 변 층고가 높은 공장매매</t>
        </is>
      </c>
      <c r="Q340" s="6">
        <f>HYPERLINK("https://fin.land.naver.com/articles/2648904836", "매물Link")</f>
        <v/>
      </c>
      <c r="R340" s="6">
        <f>HYPERLINK("https://map.naver.com/p/search/세종특별자치시 나성동 829", "지도Link")</f>
        <v/>
      </c>
      <c r="S340" s="6">
        <f>HYPERLINK("http://www.eum.go.kr/web/ar/lu/luLandDet.jsp?pnu=3611010700108290000&amp;isNoScr=script&amp;mode=search", "토지이음")</f>
        <v/>
      </c>
      <c r="T340" s="3" t="inlineStr">
        <is>
          <t>황금알</t>
        </is>
      </c>
      <c r="U340" s="3" t="n">
        <v>1</v>
      </c>
      <c r="V340" s="3" t="inlineStr">
        <is>
          <t>802</t>
        </is>
      </c>
      <c r="W340" s="4" t="n">
        <v>2542</v>
      </c>
      <c r="X340" s="3" t="inlineStr">
        <is>
          <t>철근콘크리트구조</t>
        </is>
      </c>
      <c r="Y340" s="3" t="inlineStr">
        <is>
          <t>제2종근린생활시설</t>
        </is>
      </c>
      <c r="Z340" s="3" t="inlineStr">
        <is>
          <t>-m</t>
        </is>
      </c>
      <c r="AA340" s="3" t="inlineStr">
        <is>
          <t>2021-08-20</t>
        </is>
      </c>
    </row>
    <row r="341">
      <c r="A341" s="3" t="inlineStr">
        <is>
          <t>세종특별자치시 나성동 829</t>
        </is>
      </c>
      <c r="B341" s="3" t="inlineStr">
        <is>
          <t>중심상업지역</t>
        </is>
      </c>
      <c r="C341" s="3" t="inlineStr">
        <is>
          <t>대</t>
        </is>
      </c>
      <c r="D341" s="3" t="inlineStr">
        <is>
          <t>공장</t>
        </is>
      </c>
      <c r="E341" s="3" t="inlineStr">
        <is>
          <t>월세</t>
        </is>
      </c>
      <c r="F341" s="4" t="n">
        <v>4000</v>
      </c>
      <c r="G341" s="4" t="n">
        <v>300</v>
      </c>
      <c r="H341" s="4" t="n">
        <v>2099</v>
      </c>
      <c r="I341" s="4" t="n">
        <v>635</v>
      </c>
      <c r="J341" s="5" t="n">
        <v>0.5</v>
      </c>
      <c r="K341" s="4" t="n">
        <v>390</v>
      </c>
      <c r="L341" s="4" t="n">
        <v>118</v>
      </c>
      <c r="M341" s="5" t="n">
        <v>2.5</v>
      </c>
      <c r="N341" s="3" t="inlineStr">
        <is>
          <t>1</t>
        </is>
      </c>
      <c r="O341" s="3" t="inlineStr">
        <is>
          <t>-</t>
        </is>
      </c>
      <c r="P341" s="3" t="inlineStr">
        <is>
          <t>사천동,제조업소및창고,별도사무동,입주협의</t>
        </is>
      </c>
      <c r="Q341" s="6">
        <f>HYPERLINK("https://fin.land.naver.com/articles/2646102915", "매물Link")</f>
        <v/>
      </c>
      <c r="R341" s="6">
        <f>HYPERLINK("https://map.naver.com/p/search/세종특별자치시 나성동 829", "지도Link")</f>
        <v/>
      </c>
      <c r="S341" s="6">
        <f>HYPERLINK("http://www.eum.go.kr/web/ar/lu/luLandDet.jsp?pnu=3611010700108290000&amp;isNoScr=script&amp;mode=search", "토지이음")</f>
        <v/>
      </c>
      <c r="T341" s="3" t="inlineStr">
        <is>
          <t>LBA리치아노합동사무소</t>
        </is>
      </c>
      <c r="U341" s="3" t="n">
        <v>1</v>
      </c>
      <c r="V341" s="3" t="inlineStr">
        <is>
          <t>전망공간 기계실</t>
        </is>
      </c>
      <c r="W341" s="4" t="n">
        <v>390</v>
      </c>
      <c r="X341" s="3" t="inlineStr">
        <is>
          <t>철근콘크리트구조</t>
        </is>
      </c>
      <c r="Y341" s="3" t="inlineStr">
        <is>
          <t>제2종근린생활시설</t>
        </is>
      </c>
      <c r="Z341" s="3" t="inlineStr">
        <is>
          <t>-m</t>
        </is>
      </c>
      <c r="AA341" s="3" t="inlineStr">
        <is>
          <t>2021-08-20</t>
        </is>
      </c>
    </row>
    <row r="342">
      <c r="A342" s="3" t="inlineStr">
        <is>
          <t>세종특별자치시 나성동 829</t>
        </is>
      </c>
      <c r="B342" s="3" t="inlineStr">
        <is>
          <t>중심상업지역</t>
        </is>
      </c>
      <c r="C342" s="3" t="inlineStr">
        <is>
          <t>대</t>
        </is>
      </c>
      <c r="D342" s="3" t="inlineStr">
        <is>
          <t>공장</t>
        </is>
      </c>
      <c r="E342" s="3" t="inlineStr">
        <is>
          <t>매매</t>
        </is>
      </c>
      <c r="F342" s="4" t="n">
        <v>590000</v>
      </c>
      <c r="G342" s="4" t="n">
        <v>0</v>
      </c>
      <c r="H342" s="4" t="n">
        <v>4307</v>
      </c>
      <c r="I342" s="4" t="n">
        <v>1303</v>
      </c>
      <c r="J342" s="5" t="n">
        <v>452.8</v>
      </c>
      <c r="K342" s="4" t="n">
        <v>4307</v>
      </c>
      <c r="L342" s="4" t="n">
        <v>1303</v>
      </c>
      <c r="M342" s="5" t="n">
        <v>452.8</v>
      </c>
      <c r="N342" s="3" t="inlineStr">
        <is>
          <t>1</t>
        </is>
      </c>
      <c r="O342" s="3" t="inlineStr">
        <is>
          <t>B1</t>
        </is>
      </c>
      <c r="P342" s="3" t="inlineStr">
        <is>
          <t>토지매매 공장,창고,판매물류시설 ,도로접</t>
        </is>
      </c>
      <c r="Q342" s="6">
        <f>HYPERLINK("https://fin.land.naver.com/articles/2646288282", "매물Link")</f>
        <v/>
      </c>
      <c r="R342" s="6">
        <f>HYPERLINK("https://map.naver.com/p/search/세종특별자치시 나성동 829", "지도Link")</f>
        <v/>
      </c>
      <c r="S342" s="6">
        <f>HYPERLINK("http://www.eum.go.kr/web/ar/lu/luLandDet.jsp?pnu=3611010700108290000&amp;isNoScr=script&amp;mode=search", "토지이음")</f>
        <v/>
      </c>
      <c r="T342" s="3" t="inlineStr">
        <is>
          <t>투자</t>
        </is>
      </c>
      <c r="U342" s="3" t="n">
        <v>1</v>
      </c>
      <c r="V342" s="3" t="inlineStr">
        <is>
          <t>802</t>
        </is>
      </c>
      <c r="W342" s="4" t="n">
        <v>4307</v>
      </c>
      <c r="X342" s="3" t="inlineStr">
        <is>
          <t>철근콘크리트구조</t>
        </is>
      </c>
      <c r="Y342" s="3" t="inlineStr">
        <is>
          <t>제2종근린생활시설</t>
        </is>
      </c>
      <c r="Z342" s="3" t="inlineStr">
        <is>
          <t>-m</t>
        </is>
      </c>
      <c r="AA342" s="3" t="inlineStr">
        <is>
          <t>2021-08-20</t>
        </is>
      </c>
    </row>
    <row r="343">
      <c r="A343" s="3" t="inlineStr">
        <is>
          <t>세종특별자치시 나성동 829</t>
        </is>
      </c>
      <c r="B343" s="3" t="inlineStr">
        <is>
          <t>중심상업지역</t>
        </is>
      </c>
      <c r="C343" s="3" t="inlineStr">
        <is>
          <t>대</t>
        </is>
      </c>
      <c r="D343" s="3" t="inlineStr">
        <is>
          <t>공장</t>
        </is>
      </c>
      <c r="E343" s="3" t="inlineStr">
        <is>
          <t>월세</t>
        </is>
      </c>
      <c r="F343" s="4" t="n">
        <v>4000</v>
      </c>
      <c r="G343" s="4" t="n">
        <v>260</v>
      </c>
      <c r="H343" s="4" t="n">
        <v>3903</v>
      </c>
      <c r="I343" s="4" t="n">
        <v>1181</v>
      </c>
      <c r="J343" s="5" t="n">
        <v>0.2</v>
      </c>
      <c r="K343" s="4" t="n">
        <v>194</v>
      </c>
      <c r="L343" s="4" t="n">
        <v>59</v>
      </c>
      <c r="M343" s="5" t="n">
        <v>4.4</v>
      </c>
      <c r="N343" s="3" t="inlineStr">
        <is>
          <t>1</t>
        </is>
      </c>
      <c r="O343" s="3" t="inlineStr">
        <is>
          <t>-</t>
        </is>
      </c>
      <c r="P343" s="3" t="inlineStr">
        <is>
          <t>사천동 제조업소 및 창고 신축입주협의가능</t>
        </is>
      </c>
      <c r="Q343" s="6">
        <f>HYPERLINK("https://fin.land.naver.com/articles/2646669188", "매물Link")</f>
        <v/>
      </c>
      <c r="R343" s="6">
        <f>HYPERLINK("https://map.naver.com/p/search/세종특별자치시 나성동 829", "지도Link")</f>
        <v/>
      </c>
      <c r="S343" s="6">
        <f>HYPERLINK("http://www.eum.go.kr/web/ar/lu/luLandDet.jsp?pnu=3611010700108290000&amp;isNoScr=script&amp;mode=search", "토지이음")</f>
        <v/>
      </c>
      <c r="T343" s="3" t="inlineStr">
        <is>
          <t>더원</t>
        </is>
      </c>
      <c r="U343" s="3" t="n">
        <v>1</v>
      </c>
      <c r="V343" s="3" t="inlineStr">
        <is>
          <t>공동주택 주민공동시설</t>
        </is>
      </c>
      <c r="W343" s="4" t="n">
        <v>194</v>
      </c>
      <c r="X343" s="3" t="inlineStr">
        <is>
          <t>철근콘크리트구조</t>
        </is>
      </c>
      <c r="Y343" s="3" t="inlineStr">
        <is>
          <t>공동주택</t>
        </is>
      </c>
      <c r="Z343" s="3" t="inlineStr">
        <is>
          <t>-m</t>
        </is>
      </c>
      <c r="AA343" s="3" t="inlineStr">
        <is>
          <t>2021-08-20</t>
        </is>
      </c>
    </row>
    <row r="344">
      <c r="A344" s="3" t="inlineStr">
        <is>
          <t>세종특별자치시 나성동 829</t>
        </is>
      </c>
      <c r="B344" s="3" t="inlineStr">
        <is>
          <t>중심상업지역</t>
        </is>
      </c>
      <c r="C344" s="3" t="inlineStr">
        <is>
          <t>대</t>
        </is>
      </c>
      <c r="D344" s="3" t="inlineStr">
        <is>
          <t>공장</t>
        </is>
      </c>
      <c r="E344" s="3" t="inlineStr">
        <is>
          <t>월세</t>
        </is>
      </c>
      <c r="F344" s="4" t="n">
        <v>1500</v>
      </c>
      <c r="G344" s="4" t="n">
        <v>200</v>
      </c>
      <c r="H344" s="4" t="n">
        <v>753</v>
      </c>
      <c r="I344" s="4" t="n">
        <v>228</v>
      </c>
      <c r="J344" s="5" t="n">
        <v>0.9</v>
      </c>
      <c r="K344" s="4" t="n">
        <v>294</v>
      </c>
      <c r="L344" s="4" t="n">
        <v>89</v>
      </c>
      <c r="M344" s="5" t="n">
        <v>2.2</v>
      </c>
      <c r="N344" s="3" t="inlineStr">
        <is>
          <t>1</t>
        </is>
      </c>
      <c r="O344" s="3" t="inlineStr">
        <is>
          <t>-</t>
        </is>
      </c>
      <c r="P344" s="3" t="inlineStr">
        <is>
          <t>사천동,1층45형,2층45형,제조업소및창고</t>
        </is>
      </c>
      <c r="Q344" s="6">
        <f>HYPERLINK("https://fin.land.naver.com/articles/2646712515", "매물Link")</f>
        <v/>
      </c>
      <c r="R344" s="6">
        <f>HYPERLINK("https://map.naver.com/p/search/세종특별자치시 나성동 829", "지도Link")</f>
        <v/>
      </c>
      <c r="S344" s="6">
        <f>HYPERLINK("http://www.eum.go.kr/web/ar/lu/luLandDet.jsp?pnu=3611010700108290000&amp;isNoScr=script&amp;mode=search", "토지이음")</f>
        <v/>
      </c>
      <c r="T344" s="3" t="inlineStr">
        <is>
          <t>LBA리치아노합동사무소</t>
        </is>
      </c>
      <c r="U344" s="3" t="n">
        <v>1</v>
      </c>
      <c r="V344" s="3" t="inlineStr">
        <is>
          <t>공동주택 전기,발전기실</t>
        </is>
      </c>
      <c r="W344" s="4" t="n">
        <v>294</v>
      </c>
      <c r="X344" s="3" t="inlineStr">
        <is>
          <t>철근콘크리트구조</t>
        </is>
      </c>
      <c r="Y344" s="3" t="inlineStr">
        <is>
          <t>공동주택</t>
        </is>
      </c>
      <c r="Z344" s="3" t="inlineStr">
        <is>
          <t>-m</t>
        </is>
      </c>
      <c r="AA344" s="3" t="inlineStr">
        <is>
          <t>2021-08-20</t>
        </is>
      </c>
    </row>
    <row r="345">
      <c r="A345" s="3" t="inlineStr">
        <is>
          <t>세종특별자치시 나성동 829</t>
        </is>
      </c>
      <c r="B345" s="3" t="inlineStr">
        <is>
          <t>중심상업지역</t>
        </is>
      </c>
      <c r="C345" s="3" t="inlineStr">
        <is>
          <t>대</t>
        </is>
      </c>
      <c r="D345" s="3" t="inlineStr">
        <is>
          <t>공장</t>
        </is>
      </c>
      <c r="E345" s="3" t="inlineStr">
        <is>
          <t>월세</t>
        </is>
      </c>
      <c r="F345" s="4" t="n">
        <v>3000</v>
      </c>
      <c r="G345" s="4" t="n">
        <v>200</v>
      </c>
      <c r="H345" s="4" t="n">
        <v>1249</v>
      </c>
      <c r="I345" s="4" t="n">
        <v>378</v>
      </c>
      <c r="J345" s="5" t="n">
        <v>0.5</v>
      </c>
      <c r="K345" s="4" t="n">
        <v>222</v>
      </c>
      <c r="L345" s="4" t="n">
        <v>67</v>
      </c>
      <c r="M345" s="5" t="n">
        <v>3</v>
      </c>
      <c r="N345" s="3" t="inlineStr">
        <is>
          <t>1</t>
        </is>
      </c>
      <c r="O345" s="3" t="inlineStr">
        <is>
          <t>-</t>
        </is>
      </c>
      <c r="P345" s="3" t="inlineStr">
        <is>
          <t>사천동,제조업소및창고,2층사무실,입주협의</t>
        </is>
      </c>
      <c r="Q345" s="6">
        <f>HYPERLINK("https://fin.land.naver.com/articles/2646733244", "매물Link")</f>
        <v/>
      </c>
      <c r="R345" s="6">
        <f>HYPERLINK("https://map.naver.com/p/search/세종특별자치시 나성동 829", "지도Link")</f>
        <v/>
      </c>
      <c r="S345" s="6">
        <f>HYPERLINK("http://www.eum.go.kr/web/ar/lu/luLandDet.jsp?pnu=3611010700108290000&amp;isNoScr=script&amp;mode=search", "토지이음")</f>
        <v/>
      </c>
      <c r="T345" s="3" t="inlineStr">
        <is>
          <t>LBA리치아노합동사무소</t>
        </is>
      </c>
      <c r="U345" s="3" t="n">
        <v>1</v>
      </c>
      <c r="V345" s="3" t="inlineStr">
        <is>
          <t>공동주택 주민공동시설</t>
        </is>
      </c>
      <c r="W345" s="4" t="n">
        <v>222</v>
      </c>
      <c r="X345" s="3" t="inlineStr">
        <is>
          <t>철근콘크리트구조</t>
        </is>
      </c>
      <c r="Y345" s="3" t="inlineStr">
        <is>
          <t>공동주택</t>
        </is>
      </c>
      <c r="Z345" s="3" t="inlineStr">
        <is>
          <t>-m</t>
        </is>
      </c>
      <c r="AA345" s="3" t="inlineStr">
        <is>
          <t>2021-08-20</t>
        </is>
      </c>
    </row>
    <row r="346">
      <c r="A346" s="3" t="inlineStr">
        <is>
          <t>세종특별자치시 나성동 829</t>
        </is>
      </c>
      <c r="B346" s="3" t="inlineStr">
        <is>
          <t>중심상업지역</t>
        </is>
      </c>
      <c r="C346" s="3" t="inlineStr">
        <is>
          <t>대</t>
        </is>
      </c>
      <c r="D346" s="3" t="inlineStr">
        <is>
          <t>공장</t>
        </is>
      </c>
      <c r="E346" s="3" t="inlineStr">
        <is>
          <t>월세</t>
        </is>
      </c>
      <c r="F346" s="4" t="n">
        <v>1000</v>
      </c>
      <c r="G346" s="4" t="n">
        <v>120</v>
      </c>
      <c r="H346" s="4" t="n">
        <v>992</v>
      </c>
      <c r="I346" s="4" t="n">
        <v>300</v>
      </c>
      <c r="J346" s="5" t="n">
        <v>0.4</v>
      </c>
      <c r="K346" s="4" t="n">
        <v>148</v>
      </c>
      <c r="L346" s="4" t="n">
        <v>45</v>
      </c>
      <c r="M346" s="5" t="n">
        <v>2.7</v>
      </c>
      <c r="N346" s="3" t="inlineStr">
        <is>
          <t>1</t>
        </is>
      </c>
      <c r="O346" s="3" t="inlineStr">
        <is>
          <t>-</t>
        </is>
      </c>
      <c r="P346" s="3" t="inlineStr">
        <is>
          <t>사천동,제조업소및창고</t>
        </is>
      </c>
      <c r="Q346" s="6">
        <f>HYPERLINK("https://fin.land.naver.com/articles/2647435382", "매물Link")</f>
        <v/>
      </c>
      <c r="R346" s="6">
        <f>HYPERLINK("https://map.naver.com/p/search/세종특별자치시 나성동 829", "지도Link")</f>
        <v/>
      </c>
      <c r="S346" s="6">
        <f>HYPERLINK("http://www.eum.go.kr/web/ar/lu/luLandDet.jsp?pnu=3611010700108290000&amp;isNoScr=script&amp;mode=search", "토지이음")</f>
        <v/>
      </c>
      <c r="T346" s="3" t="inlineStr">
        <is>
          <t>LBA리치아노합동사무소</t>
        </is>
      </c>
      <c r="U346" s="3" t="n">
        <v>1</v>
      </c>
      <c r="V346" s="3" t="inlineStr">
        <is>
          <t>공동주택 경로당</t>
        </is>
      </c>
      <c r="W346" s="4" t="n">
        <v>148</v>
      </c>
      <c r="X346" s="3" t="inlineStr">
        <is>
          <t>철근콘크리트구조</t>
        </is>
      </c>
      <c r="Y346" s="3" t="inlineStr">
        <is>
          <t>공동주택</t>
        </is>
      </c>
      <c r="Z346" s="3" t="inlineStr">
        <is>
          <t>-m</t>
        </is>
      </c>
      <c r="AA346" s="3" t="inlineStr">
        <is>
          <t>2021-08-20</t>
        </is>
      </c>
    </row>
    <row r="347">
      <c r="A347" s="3" t="inlineStr">
        <is>
          <t>세종특별자치시 나성동 829</t>
        </is>
      </c>
      <c r="B347" s="3" t="inlineStr">
        <is>
          <t>중심상업지역</t>
        </is>
      </c>
      <c r="C347" s="3" t="inlineStr">
        <is>
          <t>대</t>
        </is>
      </c>
      <c r="D347" s="3" t="inlineStr">
        <is>
          <t>공장</t>
        </is>
      </c>
      <c r="E347" s="3" t="inlineStr">
        <is>
          <t>월세</t>
        </is>
      </c>
      <c r="F347" s="4" t="n">
        <v>3000</v>
      </c>
      <c r="G347" s="4" t="n">
        <v>150</v>
      </c>
      <c r="H347" s="4" t="n">
        <v>2278</v>
      </c>
      <c r="I347" s="4" t="n">
        <v>689</v>
      </c>
      <c r="J347" s="5" t="n">
        <v>0.2</v>
      </c>
      <c r="K347" s="4" t="n">
        <v>115</v>
      </c>
      <c r="L347" s="4" t="n">
        <v>35</v>
      </c>
      <c r="M347" s="5" t="n">
        <v>4.3</v>
      </c>
      <c r="N347" s="3" t="inlineStr">
        <is>
          <t>1</t>
        </is>
      </c>
      <c r="O347" s="3" t="inlineStr">
        <is>
          <t>-</t>
        </is>
      </c>
      <c r="P347" s="3" t="inlineStr">
        <is>
          <t>사천동,제조업소및창고</t>
        </is>
      </c>
      <c r="Q347" s="6">
        <f>HYPERLINK("https://fin.land.naver.com/articles/2647456773", "매물Link")</f>
        <v/>
      </c>
      <c r="R347" s="6">
        <f>HYPERLINK("https://map.naver.com/p/search/세종특별자치시 나성동 829", "지도Link")</f>
        <v/>
      </c>
      <c r="S347" s="6">
        <f>HYPERLINK("http://www.eum.go.kr/web/ar/lu/luLandDet.jsp?pnu=3611010700108290000&amp;isNoScr=script&amp;mode=search", "토지이음")</f>
        <v/>
      </c>
      <c r="T347" s="3" t="inlineStr">
        <is>
          <t>LBA리치아노합동사무소</t>
        </is>
      </c>
      <c r="U347" s="3" t="n">
        <v>1</v>
      </c>
      <c r="V347" s="3" t="inlineStr">
        <is>
          <t>판매시설 지하주차장</t>
        </is>
      </c>
      <c r="W347" s="4" t="n">
        <v>115</v>
      </c>
      <c r="X347" s="3" t="inlineStr">
        <is>
          <t>철근콘크리트구조</t>
        </is>
      </c>
      <c r="Y347" s="3" t="inlineStr">
        <is>
          <t>판매시설</t>
        </is>
      </c>
      <c r="Z347" s="3" t="inlineStr">
        <is>
          <t>-m</t>
        </is>
      </c>
      <c r="AA347" s="3" t="inlineStr">
        <is>
          <t>2021-08-20</t>
        </is>
      </c>
    </row>
    <row r="348">
      <c r="A348" s="3" t="inlineStr">
        <is>
          <t>세종특별자치시 나성동 829</t>
        </is>
      </c>
      <c r="B348" s="3" t="inlineStr">
        <is>
          <t>중심상업지역</t>
        </is>
      </c>
      <c r="C348" s="3" t="inlineStr">
        <is>
          <t>대</t>
        </is>
      </c>
      <c r="D348" s="3" t="inlineStr">
        <is>
          <t>공장</t>
        </is>
      </c>
      <c r="E348" s="3" t="inlineStr">
        <is>
          <t>월세</t>
        </is>
      </c>
      <c r="F348" s="4" t="n">
        <v>2000</v>
      </c>
      <c r="G348" s="4" t="n">
        <v>180</v>
      </c>
      <c r="H348" s="4" t="n">
        <v>1446</v>
      </c>
      <c r="I348" s="4" t="n">
        <v>437</v>
      </c>
      <c r="J348" s="5" t="n">
        <v>0.4</v>
      </c>
      <c r="K348" s="4" t="n">
        <v>390</v>
      </c>
      <c r="L348" s="4" t="n">
        <v>118</v>
      </c>
      <c r="M348" s="5" t="n">
        <v>1.5</v>
      </c>
      <c r="N348" s="3" t="inlineStr">
        <is>
          <t>1</t>
        </is>
      </c>
      <c r="O348" s="3" t="inlineStr">
        <is>
          <t>-</t>
        </is>
      </c>
      <c r="P348" s="3" t="inlineStr">
        <is>
          <t>사천동,제조업소및창고,호이스트2톤,2층사무실</t>
        </is>
      </c>
      <c r="Q348" s="6">
        <f>HYPERLINK("https://fin.land.naver.com/articles/2648842321", "매물Link")</f>
        <v/>
      </c>
      <c r="R348" s="6">
        <f>HYPERLINK("https://map.naver.com/p/search/세종특별자치시 나성동 829", "지도Link")</f>
        <v/>
      </c>
      <c r="S348" s="6">
        <f>HYPERLINK("http://www.eum.go.kr/web/ar/lu/luLandDet.jsp?pnu=3611010700108290000&amp;isNoScr=script&amp;mode=search", "토지이음")</f>
        <v/>
      </c>
      <c r="T348" s="3" t="inlineStr">
        <is>
          <t>LBA리치아노합동사무소</t>
        </is>
      </c>
      <c r="U348" s="3" t="n">
        <v>1</v>
      </c>
      <c r="V348" s="3" t="inlineStr">
        <is>
          <t>전망공간 기계실</t>
        </is>
      </c>
      <c r="W348" s="4" t="n">
        <v>390</v>
      </c>
      <c r="X348" s="3" t="inlineStr">
        <is>
          <t>철근콘크리트구조</t>
        </is>
      </c>
      <c r="Y348" s="3" t="inlineStr">
        <is>
          <t>제2종근린생활시설</t>
        </is>
      </c>
      <c r="Z348" s="3" t="inlineStr">
        <is>
          <t>-m</t>
        </is>
      </c>
      <c r="AA348" s="3" t="inlineStr">
        <is>
          <t>2021-08-20</t>
        </is>
      </c>
    </row>
    <row r="349">
      <c r="A349" s="3" t="inlineStr">
        <is>
          <t>세종특별자치시 나성동 829</t>
        </is>
      </c>
      <c r="B349" s="3" t="inlineStr">
        <is>
          <t>중심상업지역</t>
        </is>
      </c>
      <c r="C349" s="3" t="inlineStr">
        <is>
          <t>대</t>
        </is>
      </c>
      <c r="D349" s="3" t="inlineStr">
        <is>
          <t>공장</t>
        </is>
      </c>
      <c r="E349" s="3" t="inlineStr">
        <is>
          <t>월세</t>
        </is>
      </c>
      <c r="F349" s="4" t="n">
        <v>3000</v>
      </c>
      <c r="G349" s="4" t="n">
        <v>300</v>
      </c>
      <c r="H349" s="4" t="n">
        <v>1747</v>
      </c>
      <c r="I349" s="4" t="n">
        <v>528</v>
      </c>
      <c r="J349" s="5" t="n">
        <v>0.6</v>
      </c>
      <c r="K349" s="4" t="n">
        <v>330</v>
      </c>
      <c r="L349" s="4" t="n">
        <v>100</v>
      </c>
      <c r="M349" s="5" t="n">
        <v>3</v>
      </c>
      <c r="N349" s="3" t="inlineStr">
        <is>
          <t>1</t>
        </is>
      </c>
      <c r="O349" s="3" t="inlineStr">
        <is>
          <t>-</t>
        </is>
      </c>
      <c r="P349" s="3" t="inlineStr">
        <is>
          <t>nan</t>
        </is>
      </c>
      <c r="Q349" s="6">
        <f>HYPERLINK("https://fin.land.naver.com/articles/2649210236", "매물Link")</f>
        <v/>
      </c>
      <c r="R349" s="6">
        <f>HYPERLINK("https://map.naver.com/p/search/세종특별자치시 나성동 829", "지도Link")</f>
        <v/>
      </c>
      <c r="S349" s="6">
        <f>HYPERLINK("http://www.eum.go.kr/web/ar/lu/luLandDet.jsp?pnu=3611010700108290000&amp;isNoScr=script&amp;mode=search", "토지이음")</f>
        <v/>
      </c>
      <c r="T349" s="3" t="inlineStr">
        <is>
          <t>청주부부</t>
        </is>
      </c>
      <c r="U349" s="3" t="n">
        <v>1</v>
      </c>
      <c r="V349" s="3" t="inlineStr">
        <is>
          <t>801</t>
        </is>
      </c>
      <c r="W349" s="4" t="n">
        <v>330</v>
      </c>
      <c r="X349" s="3" t="inlineStr">
        <is>
          <t>철근콘크리트구조</t>
        </is>
      </c>
      <c r="Y349" s="3" t="inlineStr">
        <is>
          <t>제2종근린생활시설</t>
        </is>
      </c>
      <c r="Z349" s="3" t="inlineStr">
        <is>
          <t>-m</t>
        </is>
      </c>
      <c r="AA349" s="3" t="inlineStr">
        <is>
          <t>2021-08-20</t>
        </is>
      </c>
    </row>
    <row r="350">
      <c r="A350" s="3" t="inlineStr">
        <is>
          <t>세종특별자치시 나성동 829</t>
        </is>
      </c>
      <c r="B350" s="3" t="inlineStr">
        <is>
          <t>중심상업지역</t>
        </is>
      </c>
      <c r="C350" s="3" t="inlineStr">
        <is>
          <t>대</t>
        </is>
      </c>
      <c r="D350" s="3" t="inlineStr">
        <is>
          <t>창고</t>
        </is>
      </c>
      <c r="E350" s="3" t="inlineStr">
        <is>
          <t>월세</t>
        </is>
      </c>
      <c r="F350" s="4" t="n">
        <v>3000</v>
      </c>
      <c r="G350" s="4" t="n">
        <v>250</v>
      </c>
      <c r="H350" s="4" t="n">
        <v>7373</v>
      </c>
      <c r="I350" s="4" t="n">
        <v>2230</v>
      </c>
      <c r="J350" s="5" t="n">
        <v>0.1</v>
      </c>
      <c r="K350" s="4" t="n">
        <v>331</v>
      </c>
      <c r="L350" s="4" t="n">
        <v>100</v>
      </c>
      <c r="M350" s="5" t="n">
        <v>2.5</v>
      </c>
      <c r="N350" s="3" t="inlineStr">
        <is>
          <t>1</t>
        </is>
      </c>
      <c r="O350" s="3" t="inlineStr">
        <is>
          <t>-</t>
        </is>
      </c>
      <c r="P350" s="3" t="inlineStr">
        <is>
          <t>율량동 상리에 위치한 제1종 근린생활시설의 건물입니다</t>
        </is>
      </c>
      <c r="Q350" s="6">
        <f>HYPERLINK("https://fin.land.naver.com/articles/2647077655", "매물Link")</f>
        <v/>
      </c>
      <c r="R350" s="6">
        <f>HYPERLINK("https://map.naver.com/p/search/세종특별자치시 나성동 829", "지도Link")</f>
        <v/>
      </c>
      <c r="S350" s="6">
        <f>HYPERLINK("http://www.eum.go.kr/web/ar/lu/luLandDet.jsp?pnu=3611010700108290000&amp;isNoScr=script&amp;mode=search", "토지이음")</f>
        <v/>
      </c>
      <c r="T350" s="3" t="inlineStr">
        <is>
          <t>지구촌무소</t>
        </is>
      </c>
      <c r="U350" s="3" t="n">
        <v>1</v>
      </c>
      <c r="V350" s="3" t="inlineStr">
        <is>
          <t>801</t>
        </is>
      </c>
      <c r="W350" s="4" t="n">
        <v>331</v>
      </c>
      <c r="X350" s="3" t="inlineStr">
        <is>
          <t>철근콘크리트구조</t>
        </is>
      </c>
      <c r="Y350" s="3" t="inlineStr">
        <is>
          <t>제2종근린생활시설</t>
        </is>
      </c>
      <c r="Z350" s="3" t="inlineStr">
        <is>
          <t>-m</t>
        </is>
      </c>
      <c r="AA350" s="3" t="inlineStr">
        <is>
          <t>2021-08-20</t>
        </is>
      </c>
    </row>
    <row r="351">
      <c r="A351" s="3" t="inlineStr">
        <is>
          <t>세종특별자치시 나성동 829</t>
        </is>
      </c>
      <c r="B351" s="3" t="inlineStr">
        <is>
          <t>중심상업지역</t>
        </is>
      </c>
      <c r="C351" s="3" t="inlineStr">
        <is>
          <t>대</t>
        </is>
      </c>
      <c r="D351" s="3" t="inlineStr">
        <is>
          <t>공장</t>
        </is>
      </c>
      <c r="E351" s="3" t="inlineStr">
        <is>
          <t>매매</t>
        </is>
      </c>
      <c r="F351" s="4" t="n">
        <v>175000</v>
      </c>
      <c r="G351" s="4" t="n">
        <v>0</v>
      </c>
      <c r="H351" s="4" t="n">
        <v>1400</v>
      </c>
      <c r="I351" s="4" t="n">
        <v>424</v>
      </c>
      <c r="J351" s="5" t="n">
        <v>412.7</v>
      </c>
      <c r="K351" s="4" t="n">
        <v>650</v>
      </c>
      <c r="L351" s="4" t="n">
        <v>197</v>
      </c>
      <c r="M351" s="5" t="n">
        <v>888.3</v>
      </c>
      <c r="N351" s="3" t="inlineStr">
        <is>
          <t>1</t>
        </is>
      </c>
      <c r="O351" s="3" t="inlineStr">
        <is>
          <t>-</t>
        </is>
      </c>
      <c r="P351" s="3" t="inlineStr">
        <is>
          <t>투자  및 수익성 좋음 ,  월세는 태양광150만원 포함</t>
        </is>
      </c>
      <c r="Q351" s="6">
        <f>HYPERLINK("https://fin.land.naver.com/articles/2647706710", "매물Link")</f>
        <v/>
      </c>
      <c r="R351" s="6">
        <f>HYPERLINK("https://map.naver.com/p/search/세종특별자치시 나성동 829", "지도Link")</f>
        <v/>
      </c>
      <c r="S351" s="6">
        <f>HYPERLINK("http://www.eum.go.kr/web/ar/lu/luLandDet.jsp?pnu=3611010700108290000&amp;isNoScr=script&amp;mode=search", "토지이음")</f>
        <v/>
      </c>
      <c r="T351" s="3" t="inlineStr">
        <is>
          <t>한우리</t>
        </is>
      </c>
      <c r="U351" s="3" t="n">
        <v>1</v>
      </c>
      <c r="V351" s="3" t="inlineStr">
        <is>
          <t>803</t>
        </is>
      </c>
      <c r="W351" s="4" t="n">
        <v>650</v>
      </c>
      <c r="X351" s="3" t="inlineStr">
        <is>
          <t>철근콘크리트구조</t>
        </is>
      </c>
      <c r="Y351" s="3" t="inlineStr">
        <is>
          <t>제2종근린생활시설</t>
        </is>
      </c>
      <c r="Z351" s="3" t="inlineStr">
        <is>
          <t>-m</t>
        </is>
      </c>
      <c r="AA351" s="3" t="inlineStr">
        <is>
          <t>2021-08-20</t>
        </is>
      </c>
    </row>
    <row r="352">
      <c r="A352" s="3" t="inlineStr">
        <is>
          <t>세종특별자치시 나성동 829</t>
        </is>
      </c>
      <c r="B352" s="3" t="inlineStr">
        <is>
          <t>중심상업지역</t>
        </is>
      </c>
      <c r="C352" s="3" t="inlineStr">
        <is>
          <t>대</t>
        </is>
      </c>
      <c r="D352" s="3" t="inlineStr">
        <is>
          <t>공장</t>
        </is>
      </c>
      <c r="E352" s="3" t="inlineStr">
        <is>
          <t>매매</t>
        </is>
      </c>
      <c r="F352" s="4" t="n">
        <v>257000</v>
      </c>
      <c r="G352" s="4" t="n">
        <v>0</v>
      </c>
      <c r="H352" s="4" t="n">
        <v>2542</v>
      </c>
      <c r="I352" s="4" t="n">
        <v>769</v>
      </c>
      <c r="J352" s="5" t="n">
        <v>334.2</v>
      </c>
      <c r="K352" s="4" t="n">
        <v>485</v>
      </c>
      <c r="L352" s="4" t="n">
        <v>147</v>
      </c>
      <c r="M352" s="5" t="n">
        <v>1748.3</v>
      </c>
      <c r="N352" s="3" t="inlineStr">
        <is>
          <t>1</t>
        </is>
      </c>
      <c r="O352" s="3" t="inlineStr">
        <is>
          <t>-</t>
        </is>
      </c>
      <c r="P352" s="3" t="inlineStr">
        <is>
          <t>사천동 공장 매매</t>
        </is>
      </c>
      <c r="Q352" s="6">
        <f>HYPERLINK("https://fin.land.naver.com/articles/2647118228", "매물Link")</f>
        <v/>
      </c>
      <c r="R352" s="6">
        <f>HYPERLINK("https://map.naver.com/p/search/세종특별자치시 나성동 829", "지도Link")</f>
        <v/>
      </c>
      <c r="S352" s="6">
        <f>HYPERLINK("http://www.eum.go.kr/web/ar/lu/luLandDet.jsp?pnu=3611010700108290000&amp;isNoScr=script&amp;mode=search", "토지이음")</f>
        <v/>
      </c>
      <c r="T352" s="3" t="inlineStr">
        <is>
          <t>삼성사무소</t>
        </is>
      </c>
      <c r="U352" s="3" t="n">
        <v>1</v>
      </c>
      <c r="V352" s="3" t="inlineStr">
        <is>
          <t>전망공간 기계실</t>
        </is>
      </c>
      <c r="W352" s="4" t="n">
        <v>485</v>
      </c>
      <c r="X352" s="3" t="inlineStr">
        <is>
          <t>철근콘크리트구조</t>
        </is>
      </c>
      <c r="Y352" s="3" t="inlineStr">
        <is>
          <t>제2종근린생활시설</t>
        </is>
      </c>
      <c r="Z352" s="3" t="inlineStr">
        <is>
          <t>-m</t>
        </is>
      </c>
      <c r="AA352" s="3" t="inlineStr">
        <is>
          <t>2021-08-20</t>
        </is>
      </c>
    </row>
    <row r="353">
      <c r="A353" s="3" t="inlineStr">
        <is>
          <t>세종특별자치시 나성동 829</t>
        </is>
      </c>
      <c r="B353" s="3" t="inlineStr">
        <is>
          <t>중심상업지역</t>
        </is>
      </c>
      <c r="C353" s="3" t="inlineStr">
        <is>
          <t>대</t>
        </is>
      </c>
      <c r="D353" s="3" t="inlineStr">
        <is>
          <t>공장</t>
        </is>
      </c>
      <c r="E353" s="3" t="inlineStr">
        <is>
          <t>월세</t>
        </is>
      </c>
      <c r="F353" s="4" t="n">
        <v>3000</v>
      </c>
      <c r="G353" s="4" t="n">
        <v>250</v>
      </c>
      <c r="H353" s="4" t="n">
        <v>1871</v>
      </c>
      <c r="I353" s="4" t="n">
        <v>566</v>
      </c>
      <c r="J353" s="5" t="n">
        <v>0.4</v>
      </c>
      <c r="K353" s="4" t="n">
        <v>330</v>
      </c>
      <c r="L353" s="4" t="n">
        <v>100</v>
      </c>
      <c r="M353" s="5" t="n">
        <v>2.5</v>
      </c>
      <c r="N353" s="3" t="inlineStr">
        <is>
          <t>1</t>
        </is>
      </c>
      <c r="O353" s="3" t="inlineStr">
        <is>
          <t>-</t>
        </is>
      </c>
      <c r="P353" s="3" t="inlineStr">
        <is>
          <t>외평동,제조업소및창고,단독</t>
        </is>
      </c>
      <c r="Q353" s="6">
        <f>HYPERLINK("https://fin.land.naver.com/articles/2646795933", "매물Link")</f>
        <v/>
      </c>
      <c r="R353" s="6">
        <f>HYPERLINK("https://map.naver.com/p/search/세종특별자치시 나성동 829", "지도Link")</f>
        <v/>
      </c>
      <c r="S353" s="6">
        <f>HYPERLINK("http://www.eum.go.kr/web/ar/lu/luLandDet.jsp?pnu=3611010700108290000&amp;isNoScr=script&amp;mode=search", "토지이음")</f>
        <v/>
      </c>
      <c r="T353" s="3" t="inlineStr">
        <is>
          <t>LBA리치아노합동사무소</t>
        </is>
      </c>
      <c r="U353" s="3" t="n">
        <v>1</v>
      </c>
      <c r="V353" s="3" t="inlineStr">
        <is>
          <t>801</t>
        </is>
      </c>
      <c r="W353" s="4" t="n">
        <v>330</v>
      </c>
      <c r="X353" s="3" t="inlineStr">
        <is>
          <t>철근콘크리트구조</t>
        </is>
      </c>
      <c r="Y353" s="3" t="inlineStr">
        <is>
          <t>제2종근린생활시설</t>
        </is>
      </c>
      <c r="Z353" s="3" t="inlineStr">
        <is>
          <t>-m</t>
        </is>
      </c>
      <c r="AA353" s="3" t="inlineStr">
        <is>
          <t>2021-08-20</t>
        </is>
      </c>
    </row>
    <row r="354">
      <c r="A354" s="3" t="inlineStr">
        <is>
          <t>세종특별자치시 나성동 829</t>
        </is>
      </c>
      <c r="B354" s="3" t="inlineStr">
        <is>
          <t>중심상업지역</t>
        </is>
      </c>
      <c r="C354" s="3" t="inlineStr">
        <is>
          <t>대</t>
        </is>
      </c>
      <c r="D354" s="3" t="inlineStr">
        <is>
          <t>공장</t>
        </is>
      </c>
      <c r="E354" s="3" t="inlineStr">
        <is>
          <t>매매</t>
        </is>
      </c>
      <c r="F354" s="4" t="n">
        <v>220000</v>
      </c>
      <c r="G354" s="4" t="n">
        <v>0</v>
      </c>
      <c r="H354" s="4" t="n">
        <v>4821</v>
      </c>
      <c r="I354" s="4" t="n">
        <v>1458</v>
      </c>
      <c r="J354" s="5" t="n">
        <v>150.9</v>
      </c>
      <c r="K354" s="4" t="n">
        <v>960</v>
      </c>
      <c r="L354" s="4" t="n">
        <v>290</v>
      </c>
      <c r="M354" s="5" t="n">
        <v>758.6</v>
      </c>
      <c r="N354" s="3" t="inlineStr">
        <is>
          <t>1</t>
        </is>
      </c>
      <c r="O354" s="3" t="inlineStr">
        <is>
          <t>-</t>
        </is>
      </c>
      <c r="P354" s="3" t="inlineStr">
        <is>
          <t>초급매 청주 외평동 3순환로 인접 신축급 공장</t>
        </is>
      </c>
      <c r="Q354" s="6">
        <f>HYPERLINK("https://fin.land.naver.com/articles/2646669064", "매물Link")</f>
        <v/>
      </c>
      <c r="R354" s="6">
        <f>HYPERLINK("https://map.naver.com/p/search/세종특별자치시 나성동 829", "지도Link")</f>
        <v/>
      </c>
      <c r="S354" s="6">
        <f>HYPERLINK("http://www.eum.go.kr/web/ar/lu/luLandDet.jsp?pnu=3611010700108290000&amp;isNoScr=script&amp;mode=search", "토지이음")</f>
        <v/>
      </c>
      <c r="T354" s="3" t="inlineStr">
        <is>
          <t>더원</t>
        </is>
      </c>
      <c r="U354" s="3" t="n">
        <v>1</v>
      </c>
      <c r="V354" s="3" t="inlineStr">
        <is>
          <t>전망공간 지하주차장</t>
        </is>
      </c>
      <c r="W354" s="4" t="n">
        <v>960</v>
      </c>
      <c r="X354" s="3" t="inlineStr">
        <is>
          <t>철근콘크리트구조</t>
        </is>
      </c>
      <c r="Y354" s="3" t="inlineStr">
        <is>
          <t>제2종근린생활시설</t>
        </is>
      </c>
      <c r="Z354" s="3" t="inlineStr">
        <is>
          <t>4.50m</t>
        </is>
      </c>
      <c r="AA354" s="3" t="inlineStr">
        <is>
          <t>2021-08-20</t>
        </is>
      </c>
    </row>
    <row r="355">
      <c r="A355" s="3" t="inlineStr">
        <is>
          <t>세종특별자치시 나성동 829</t>
        </is>
      </c>
      <c r="B355" s="3" t="inlineStr">
        <is>
          <t>중심상업지역</t>
        </is>
      </c>
      <c r="C355" s="3" t="inlineStr">
        <is>
          <t>대</t>
        </is>
      </c>
      <c r="D355" s="3" t="inlineStr">
        <is>
          <t>공장</t>
        </is>
      </c>
      <c r="E355" s="3" t="inlineStr">
        <is>
          <t>매매</t>
        </is>
      </c>
      <c r="F355" s="4" t="n">
        <v>130000</v>
      </c>
      <c r="G355" s="4" t="n">
        <v>0</v>
      </c>
      <c r="H355" s="4" t="n">
        <v>2479</v>
      </c>
      <c r="I355" s="4" t="n">
        <v>750</v>
      </c>
      <c r="J355" s="5" t="n">
        <v>173.3</v>
      </c>
      <c r="K355" s="4" t="n">
        <v>654</v>
      </c>
      <c r="L355" s="4" t="n">
        <v>198</v>
      </c>
      <c r="M355" s="5" t="n">
        <v>656.6</v>
      </c>
      <c r="N355" s="3" t="inlineStr">
        <is>
          <t>1</t>
        </is>
      </c>
      <c r="O355" s="3" t="inlineStr">
        <is>
          <t>-</t>
        </is>
      </c>
      <c r="P355" s="3" t="inlineStr">
        <is>
          <t>초급매 청주3순환로 인접 신축급 공장 접근성 좋은 위치</t>
        </is>
      </c>
      <c r="Q355" s="6">
        <f>HYPERLINK("https://fin.land.naver.com/articles/2646667941", "매물Link")</f>
        <v/>
      </c>
      <c r="R355" s="6">
        <f>HYPERLINK("https://map.naver.com/p/search/세종특별자치시 나성동 829", "지도Link")</f>
        <v/>
      </c>
      <c r="S355" s="6">
        <f>HYPERLINK("http://www.eum.go.kr/web/ar/lu/luLandDet.jsp?pnu=3611010700108290000&amp;isNoScr=script&amp;mode=search", "토지이음")</f>
        <v/>
      </c>
      <c r="T355" s="3" t="inlineStr">
        <is>
          <t>더원</t>
        </is>
      </c>
      <c r="U355" s="3" t="n">
        <v>1</v>
      </c>
      <c r="V355" s="3" t="inlineStr">
        <is>
          <t>803</t>
        </is>
      </c>
      <c r="W355" s="4" t="n">
        <v>654</v>
      </c>
      <c r="X355" s="3" t="inlineStr">
        <is>
          <t>철근콘크리트구조</t>
        </is>
      </c>
      <c r="Y355" s="3" t="inlineStr">
        <is>
          <t>제2종근린생활시설</t>
        </is>
      </c>
      <c r="Z355" s="3" t="inlineStr">
        <is>
          <t>-m</t>
        </is>
      </c>
      <c r="AA355" s="3" t="inlineStr">
        <is>
          <t>2021-08-20</t>
        </is>
      </c>
    </row>
    <row r="356">
      <c r="A356" s="3" t="inlineStr">
        <is>
          <t>세종특별자치시 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HYPERLINK("https://map.naver.com/p/search/세종특별자치시 나성동 829", "지도Link")</f>
        <v/>
      </c>
      <c r="S356" s="6">
        <f>HYPERLINK("http://www.eum.go.kr/web/ar/lu/luLandDet.jsp?pnu=3611010700108290000&amp;isNoScr=script&amp;mode=search", "토지이음")</f>
        <v/>
      </c>
      <c r="T356" s="3" t="inlineStr">
        <is>
          <t>도원</t>
        </is>
      </c>
      <c r="U356" s="3" t="n">
        <v>1</v>
      </c>
      <c r="V356" s="3" t="inlineStr">
        <is>
          <t>공동주택 관리사무소</t>
        </is>
      </c>
      <c r="W356" s="4" t="n">
        <v>159</v>
      </c>
      <c r="X356" s="3" t="inlineStr">
        <is>
          <t>철근콘크리트구조</t>
        </is>
      </c>
      <c r="Y356" s="3" t="inlineStr">
        <is>
          <t>공동주택</t>
        </is>
      </c>
      <c r="Z356" s="3" t="inlineStr">
        <is>
          <t>-m</t>
        </is>
      </c>
      <c r="AA356" s="3" t="inlineStr">
        <is>
          <t>2021-08-20</t>
        </is>
      </c>
    </row>
    <row r="357">
      <c r="A357" s="3" t="inlineStr">
        <is>
          <t>세종특별자치시 나성동 829</t>
        </is>
      </c>
      <c r="B357" s="3" t="inlineStr">
        <is>
          <t>중심상업지역</t>
        </is>
      </c>
      <c r="C357" s="3" t="inlineStr">
        <is>
          <t>대</t>
        </is>
      </c>
      <c r="D357" s="3" t="inlineStr">
        <is>
          <t>공장</t>
        </is>
      </c>
      <c r="E357" s="3" t="inlineStr">
        <is>
          <t>매매</t>
        </is>
      </c>
      <c r="F357" s="4" t="n">
        <v>50000</v>
      </c>
      <c r="G357" s="4" t="n">
        <v>0</v>
      </c>
      <c r="H357" s="4" t="n">
        <v>853</v>
      </c>
      <c r="I357" s="4" t="n">
        <v>258</v>
      </c>
      <c r="J357" s="5" t="n">
        <v>193.8</v>
      </c>
      <c r="K357" s="4" t="n">
        <v>253</v>
      </c>
      <c r="L357" s="4" t="n">
        <v>77</v>
      </c>
      <c r="M357" s="5" t="n">
        <v>649.4</v>
      </c>
      <c r="N357" s="3" t="inlineStr">
        <is>
          <t>1</t>
        </is>
      </c>
      <c r="O357" s="3" t="inlineStr">
        <is>
          <t>-</t>
        </is>
      </c>
      <c r="P357" s="3" t="inlineStr">
        <is>
          <t>현재식품공장으로 사용중 .식품공장및 식품제조업으로 적극추천</t>
        </is>
      </c>
      <c r="Q357" s="6">
        <f>HYPERLINK("https://fin.land.naver.com/articles/2649589126", "매물Link")</f>
        <v/>
      </c>
      <c r="R357" s="6">
        <f>HYPERLINK("https://map.naver.com/p/search/세종특별자치시 나성동 829", "지도Link")</f>
        <v/>
      </c>
      <c r="S357" s="6">
        <f>HYPERLINK("http://www.eum.go.kr/web/ar/lu/luLandDet.jsp?pnu=3611010700108290000&amp;isNoScr=script&amp;mode=search", "토지이음")</f>
        <v/>
      </c>
      <c r="T357" s="3" t="inlineStr">
        <is>
          <t>도원</t>
        </is>
      </c>
      <c r="U357" s="3" t="n">
        <v>1</v>
      </c>
      <c r="V357" s="3" t="inlineStr">
        <is>
          <t>공동주택 보육시설</t>
        </is>
      </c>
      <c r="W357" s="4" t="n">
        <v>253</v>
      </c>
      <c r="X357" s="3" t="inlineStr">
        <is>
          <t>철근콘크리트구조</t>
        </is>
      </c>
      <c r="Y357" s="3" t="inlineStr">
        <is>
          <t>공동주택</t>
        </is>
      </c>
      <c r="Z357" s="3" t="inlineStr">
        <is>
          <t>-m</t>
        </is>
      </c>
      <c r="AA357" s="3" t="inlineStr">
        <is>
          <t>2021-08-20</t>
        </is>
      </c>
    </row>
    <row r="358">
      <c r="A358" s="3" t="inlineStr">
        <is>
          <t>세종특별자치시 나성동 829</t>
        </is>
      </c>
      <c r="B358" s="3" t="inlineStr">
        <is>
          <t>중심상업지역</t>
        </is>
      </c>
      <c r="C358" s="3" t="inlineStr">
        <is>
          <t>대</t>
        </is>
      </c>
      <c r="D358" s="3" t="inlineStr">
        <is>
          <t>공장</t>
        </is>
      </c>
      <c r="E358" s="3" t="inlineStr">
        <is>
          <t>매매</t>
        </is>
      </c>
      <c r="F358" s="4" t="n">
        <v>160000</v>
      </c>
      <c r="G358" s="4" t="n">
        <v>0</v>
      </c>
      <c r="H358" s="4" t="n">
        <v>2806</v>
      </c>
      <c r="I358" s="4" t="n">
        <v>849</v>
      </c>
      <c r="J358" s="5" t="n">
        <v>188.5</v>
      </c>
      <c r="K358" s="4" t="n">
        <v>987</v>
      </c>
      <c r="L358" s="4" t="n">
        <v>299</v>
      </c>
      <c r="M358" s="5" t="n">
        <v>535.1</v>
      </c>
      <c r="N358" s="3" t="inlineStr">
        <is>
          <t>2</t>
        </is>
      </c>
      <c r="O358" s="3" t="inlineStr">
        <is>
          <t>-</t>
        </is>
      </c>
      <c r="P358" s="3" t="inlineStr">
        <is>
          <t>화학업종가능 청주와 내수를 잇는 3순환도로 인근의 공장전력500kw</t>
        </is>
      </c>
      <c r="Q358" s="6">
        <f>HYPERLINK("https://fin.land.naver.com/articles/2644663398", "매물Link")</f>
        <v/>
      </c>
      <c r="R358" s="6">
        <f>HYPERLINK("https://map.naver.com/p/search/세종특별자치시 나성동 829", "지도Link")</f>
        <v/>
      </c>
      <c r="S358" s="6">
        <f>HYPERLINK("http://www.eum.go.kr/web/ar/lu/luLandDet.jsp?pnu=3611010700108290000&amp;isNoScr=script&amp;mode=search", "토지이음")</f>
        <v/>
      </c>
      <c r="T358" s="3" t="inlineStr">
        <is>
          <t>더원</t>
        </is>
      </c>
      <c r="U358" s="3" t="n">
        <v>1</v>
      </c>
      <c r="V358" s="3" t="inlineStr">
        <is>
          <t>604</t>
        </is>
      </c>
      <c r="W358" s="4" t="n">
        <v>987</v>
      </c>
      <c r="X358" s="3" t="inlineStr">
        <is>
          <t>철근콘크리트구조</t>
        </is>
      </c>
      <c r="Y358" s="3" t="inlineStr">
        <is>
          <t>공동주택</t>
        </is>
      </c>
      <c r="Z358" s="3" t="inlineStr">
        <is>
          <t>38.30m</t>
        </is>
      </c>
      <c r="AA358" s="3" t="inlineStr">
        <is>
          <t>2021-08-20</t>
        </is>
      </c>
    </row>
    <row r="359">
      <c r="A359" s="3" t="inlineStr">
        <is>
          <t>세종특별자치시 나성동 829</t>
        </is>
      </c>
      <c r="B359" s="3" t="inlineStr">
        <is>
          <t>중심상업지역</t>
        </is>
      </c>
      <c r="C359" s="3" t="inlineStr">
        <is>
          <t>대</t>
        </is>
      </c>
      <c r="D359" s="3" t="inlineStr">
        <is>
          <t>창고</t>
        </is>
      </c>
      <c r="E359" s="3" t="inlineStr">
        <is>
          <t>월세</t>
        </is>
      </c>
      <c r="F359" s="4" t="n">
        <v>3000</v>
      </c>
      <c r="G359" s="4" t="n">
        <v>400</v>
      </c>
      <c r="H359" s="4" t="n">
        <v>2656</v>
      </c>
      <c r="I359" s="4" t="n">
        <v>803</v>
      </c>
      <c r="J359" s="5" t="n">
        <v>0.5</v>
      </c>
      <c r="K359" s="4" t="n">
        <v>660</v>
      </c>
      <c r="L359" s="4" t="n">
        <v>200</v>
      </c>
      <c r="M359" s="5" t="n">
        <v>2</v>
      </c>
      <c r="N359" s="3" t="inlineStr">
        <is>
          <t>1</t>
        </is>
      </c>
      <c r="O359" s="3" t="inlineStr">
        <is>
          <t>-</t>
        </is>
      </c>
      <c r="P359" s="3" t="inlineStr">
        <is>
          <t>청주,층고낮은창고,임대</t>
        </is>
      </c>
      <c r="Q359" s="6">
        <f>HYPERLINK("https://fin.land.naver.com/articles/2646051398", "매물Link")</f>
        <v/>
      </c>
      <c r="R359" s="6">
        <f>HYPERLINK("https://map.naver.com/p/search/세종특별자치시 나성동 829", "지도Link")</f>
        <v/>
      </c>
      <c r="S359" s="6">
        <f>HYPERLINK("http://www.eum.go.kr/web/ar/lu/luLandDet.jsp?pnu=3611010700108290000&amp;isNoScr=script&amp;mode=search", "토지이음")</f>
        <v/>
      </c>
      <c r="T359" s="3" t="inlineStr">
        <is>
          <t>LBA리치아노합동사무소</t>
        </is>
      </c>
      <c r="U359" s="3" t="n">
        <v>1</v>
      </c>
      <c r="V359" s="3" t="inlineStr">
        <is>
          <t>803</t>
        </is>
      </c>
      <c r="W359" s="4" t="n">
        <v>660</v>
      </c>
      <c r="X359" s="3" t="inlineStr">
        <is>
          <t>철근콘크리트구조</t>
        </is>
      </c>
      <c r="Y359" s="3" t="inlineStr">
        <is>
          <t>제2종근린생활시설</t>
        </is>
      </c>
      <c r="Z359" s="3" t="inlineStr">
        <is>
          <t>-m</t>
        </is>
      </c>
      <c r="AA359" s="3" t="inlineStr">
        <is>
          <t>2021-08-20</t>
        </is>
      </c>
    </row>
    <row r="360">
      <c r="A360" s="3" t="inlineStr">
        <is>
          <t>세종특별자치시 나성동 829</t>
        </is>
      </c>
      <c r="B360" s="3" t="inlineStr">
        <is>
          <t>중심상업지역</t>
        </is>
      </c>
      <c r="C360" s="3" t="inlineStr">
        <is>
          <t>대</t>
        </is>
      </c>
      <c r="D360" s="3" t="inlineStr">
        <is>
          <t>공장</t>
        </is>
      </c>
      <c r="E360" s="3" t="inlineStr">
        <is>
          <t>월세</t>
        </is>
      </c>
      <c r="F360" s="4" t="n">
        <v>3500</v>
      </c>
      <c r="G360" s="4" t="n">
        <v>350</v>
      </c>
      <c r="H360" s="4" t="n">
        <v>2494</v>
      </c>
      <c r="I360" s="4" t="n">
        <v>754</v>
      </c>
      <c r="J360" s="5" t="n">
        <v>0.5</v>
      </c>
      <c r="K360" s="4" t="n">
        <v>550</v>
      </c>
      <c r="L360" s="4" t="n">
        <v>166</v>
      </c>
      <c r="M360" s="5" t="n">
        <v>2.1</v>
      </c>
      <c r="N360" s="3" t="inlineStr">
        <is>
          <t>1</t>
        </is>
      </c>
      <c r="O360" s="3" t="inlineStr">
        <is>
          <t>-</t>
        </is>
      </c>
      <c r="P360" s="3" t="inlineStr">
        <is>
          <t>오창인근,공장및창고,별도천막동500㎡</t>
        </is>
      </c>
      <c r="Q360" s="6">
        <f>HYPERLINK("https://fin.land.naver.com/articles/2646061391", "매물Link")</f>
        <v/>
      </c>
      <c r="R360" s="6">
        <f>HYPERLINK("https://map.naver.com/p/search/세종특별자치시 나성동 829", "지도Link")</f>
        <v/>
      </c>
      <c r="S360" s="6">
        <f>HYPERLINK("http://www.eum.go.kr/web/ar/lu/luLandDet.jsp?pnu=3611010700108290000&amp;isNoScr=script&amp;mode=search", "토지이음")</f>
        <v/>
      </c>
      <c r="T360" s="3" t="inlineStr">
        <is>
          <t>LBA리치아노합동사무소</t>
        </is>
      </c>
      <c r="U360" s="3" t="n">
        <v>1</v>
      </c>
      <c r="V360" s="3" t="inlineStr">
        <is>
          <t>전망공간 기계실</t>
        </is>
      </c>
      <c r="W360" s="4" t="n">
        <v>550</v>
      </c>
      <c r="X360" s="3" t="inlineStr">
        <is>
          <t>철근콘크리트구조</t>
        </is>
      </c>
      <c r="Y360" s="3" t="inlineStr">
        <is>
          <t>제2종근린생활시설</t>
        </is>
      </c>
      <c r="Z360" s="3" t="inlineStr">
        <is>
          <t>-m</t>
        </is>
      </c>
      <c r="AA360" s="3" t="inlineStr">
        <is>
          <t>2021-08-20</t>
        </is>
      </c>
    </row>
    <row r="361">
      <c r="A361" s="3" t="inlineStr">
        <is>
          <t>세종특별자치시 나성동 829</t>
        </is>
      </c>
      <c r="B361" s="3" t="inlineStr">
        <is>
          <t>중심상업지역</t>
        </is>
      </c>
      <c r="C361" s="3" t="inlineStr">
        <is>
          <t>대</t>
        </is>
      </c>
      <c r="D361" s="3" t="inlineStr">
        <is>
          <t>창고</t>
        </is>
      </c>
      <c r="E361" s="3" t="inlineStr">
        <is>
          <t>매매</t>
        </is>
      </c>
      <c r="F361" s="4" t="n">
        <v>75000</v>
      </c>
      <c r="G361" s="4" t="n">
        <v>0</v>
      </c>
      <c r="H361" s="4" t="n">
        <v>1075</v>
      </c>
      <c r="I361" s="4" t="n">
        <v>325</v>
      </c>
      <c r="J361" s="5" t="n">
        <v>230.8</v>
      </c>
      <c r="K361" s="4" t="n">
        <v>196</v>
      </c>
      <c r="L361" s="4" t="n">
        <v>59</v>
      </c>
      <c r="M361" s="5" t="n">
        <v>1271.2</v>
      </c>
      <c r="N361" s="3" t="inlineStr">
        <is>
          <t>1</t>
        </is>
      </c>
      <c r="O361" s="3" t="inlineStr">
        <is>
          <t>-</t>
        </is>
      </c>
      <c r="P361" s="3" t="inlineStr">
        <is>
          <t>청주 내수읍 묵방리 2종근생 건물 
매매 7억5,000만원</t>
        </is>
      </c>
      <c r="Q361" s="6">
        <f>HYPERLINK("https://fin.land.naver.com/articles/2647066025", "매물Link")</f>
        <v/>
      </c>
      <c r="R361" s="6">
        <f>HYPERLINK("https://map.naver.com/p/search/세종특별자치시 나성동 829", "지도Link")</f>
        <v/>
      </c>
      <c r="S361" s="6">
        <f>HYPERLINK("http://www.eum.go.kr/web/ar/lu/luLandDet.jsp?pnu=3611010700108290000&amp;isNoScr=script&amp;mode=search", "토지이음")</f>
        <v/>
      </c>
      <c r="T361" s="3" t="inlineStr">
        <is>
          <t>가경</t>
        </is>
      </c>
      <c r="U361" s="3" t="n">
        <v>1</v>
      </c>
      <c r="V361" s="3" t="inlineStr">
        <is>
          <t>공동주택 주민공동시설</t>
        </is>
      </c>
      <c r="W361" s="4" t="n">
        <v>196</v>
      </c>
      <c r="X361" s="3" t="inlineStr">
        <is>
          <t>철근콘크리트구조</t>
        </is>
      </c>
      <c r="Y361" s="3" t="inlineStr">
        <is>
          <t>공동주택</t>
        </is>
      </c>
      <c r="Z361" s="3" t="inlineStr">
        <is>
          <t>-m</t>
        </is>
      </c>
      <c r="AA361" s="3" t="inlineStr">
        <is>
          <t>2021-08-20</t>
        </is>
      </c>
    </row>
    <row r="362">
      <c r="A362" s="3" t="inlineStr">
        <is>
          <t>세종특별자치시 나성동 829</t>
        </is>
      </c>
      <c r="B362" s="3" t="inlineStr">
        <is>
          <t>중심상업지역</t>
        </is>
      </c>
      <c r="C362" s="3" t="inlineStr">
        <is>
          <t>대</t>
        </is>
      </c>
      <c r="D362" s="3" t="inlineStr">
        <is>
          <t>공장</t>
        </is>
      </c>
      <c r="E362" s="3" t="inlineStr">
        <is>
          <t>매매</t>
        </is>
      </c>
      <c r="F362" s="4" t="n">
        <v>170000</v>
      </c>
      <c r="G362" s="4" t="n">
        <v>0</v>
      </c>
      <c r="H362" s="4" t="n">
        <v>2900</v>
      </c>
      <c r="I362" s="4" t="n">
        <v>877</v>
      </c>
      <c r="J362" s="5" t="n">
        <v>193.8</v>
      </c>
      <c r="K362" s="4" t="n">
        <v>999</v>
      </c>
      <c r="L362" s="4" t="n">
        <v>302</v>
      </c>
      <c r="M362" s="5" t="n">
        <v>562.9</v>
      </c>
      <c r="N362" s="3" t="inlineStr">
        <is>
          <t>2</t>
        </is>
      </c>
      <c r="O362" s="3" t="inlineStr">
        <is>
          <t>-</t>
        </is>
      </c>
      <c r="P362" s="3" t="inlineStr">
        <is>
          <t>도원교차로 인근 .청주.증평 .오창 접근성이 좋음 .반도체업체 적극추천</t>
        </is>
      </c>
      <c r="Q362" s="6">
        <f>HYPERLINK("https://fin.land.naver.com/articles/2647119328", "매물Link")</f>
        <v/>
      </c>
      <c r="R362" s="6">
        <f>HYPERLINK("https://map.naver.com/p/search/세종특별자치시 나성동 829", "지도Link")</f>
        <v/>
      </c>
      <c r="S362" s="6">
        <f>HYPERLINK("http://www.eum.go.kr/web/ar/lu/luLandDet.jsp?pnu=3611010700108290000&amp;isNoScr=script&amp;mode=search", "토지이음")</f>
        <v/>
      </c>
      <c r="T362" s="3" t="inlineStr">
        <is>
          <t>도원</t>
        </is>
      </c>
      <c r="U362" s="3" t="n">
        <v>1</v>
      </c>
      <c r="V362" s="3" t="inlineStr">
        <is>
          <t>604</t>
        </is>
      </c>
      <c r="W362" s="4" t="n">
        <v>999</v>
      </c>
      <c r="X362" s="3" t="inlineStr">
        <is>
          <t>철근콘크리트구조</t>
        </is>
      </c>
      <c r="Y362" s="3" t="inlineStr">
        <is>
          <t>공동주택</t>
        </is>
      </c>
      <c r="Z362" s="3" t="inlineStr">
        <is>
          <t>38.30m</t>
        </is>
      </c>
      <c r="AA362" s="3" t="inlineStr">
        <is>
          <t>2021-08-20</t>
        </is>
      </c>
    </row>
    <row r="363">
      <c r="A363" s="3" t="inlineStr">
        <is>
          <t>세종특별자치시 나성동 829</t>
        </is>
      </c>
      <c r="B363" s="3" t="inlineStr">
        <is>
          <t>중심상업지역</t>
        </is>
      </c>
      <c r="C363" s="3" t="inlineStr">
        <is>
          <t>대</t>
        </is>
      </c>
      <c r="D363" s="3" t="inlineStr">
        <is>
          <t>창고</t>
        </is>
      </c>
      <c r="E363" s="3" t="inlineStr">
        <is>
          <t>매매</t>
        </is>
      </c>
      <c r="F363" s="4" t="n">
        <v>55000</v>
      </c>
      <c r="G363" s="4" t="n">
        <v>0</v>
      </c>
      <c r="H363" s="4" t="n">
        <v>1017</v>
      </c>
      <c r="I363" s="4" t="n">
        <v>308</v>
      </c>
      <c r="J363" s="5" t="n">
        <v>178.6</v>
      </c>
      <c r="K363" s="4" t="n">
        <v>464</v>
      </c>
      <c r="L363" s="4" t="n">
        <v>140</v>
      </c>
      <c r="M363" s="5" t="n">
        <v>392.9</v>
      </c>
      <c r="N363" s="3" t="inlineStr">
        <is>
          <t>1</t>
        </is>
      </c>
      <c r="O363" s="3" t="inlineStr">
        <is>
          <t>-</t>
        </is>
      </c>
      <c r="P363" s="3" t="inlineStr">
        <is>
          <t>내수읍 학평리 소재 제조업소 2종근린생활시설 2동중 1동입니다</t>
        </is>
      </c>
      <c r="Q363" s="6">
        <f>HYPERLINK("https://fin.land.naver.com/articles/2647687136", "매물Link")</f>
        <v/>
      </c>
      <c r="R363" s="6">
        <f>HYPERLINK("https://map.naver.com/p/search/세종특별자치시 나성동 829", "지도Link")</f>
        <v/>
      </c>
      <c r="S363" s="6">
        <f>HYPERLINK("http://www.eum.go.kr/web/ar/lu/luLandDet.jsp?pnu=3611010700108290000&amp;isNoScr=script&amp;mode=search", "토지이음")</f>
        <v/>
      </c>
      <c r="T363" s="3" t="inlineStr">
        <is>
          <t>중앙</t>
        </is>
      </c>
      <c r="U363" s="3" t="n">
        <v>1</v>
      </c>
      <c r="V363" s="3" t="inlineStr">
        <is>
          <t>전망공간 기계실</t>
        </is>
      </c>
      <c r="W363" s="4" t="n">
        <v>464</v>
      </c>
      <c r="X363" s="3" t="inlineStr">
        <is>
          <t>철근콘크리트구조</t>
        </is>
      </c>
      <c r="Y363" s="3" t="inlineStr">
        <is>
          <t>제2종근린생활시설</t>
        </is>
      </c>
      <c r="Z363" s="3" t="inlineStr">
        <is>
          <t>-m</t>
        </is>
      </c>
      <c r="AA363" s="3" t="inlineStr">
        <is>
          <t>2021-08-20</t>
        </is>
      </c>
    </row>
    <row r="364">
      <c r="A364" s="3" t="inlineStr">
        <is>
          <t>세종특별자치시 나성동 829</t>
        </is>
      </c>
      <c r="B364" s="3" t="inlineStr">
        <is>
          <t>중심상업지역</t>
        </is>
      </c>
      <c r="C364" s="3" t="inlineStr">
        <is>
          <t>대</t>
        </is>
      </c>
      <c r="D364" s="3" t="inlineStr">
        <is>
          <t>공장</t>
        </is>
      </c>
      <c r="E364" s="3" t="inlineStr">
        <is>
          <t>월세</t>
        </is>
      </c>
      <c r="F364" s="4" t="n">
        <v>5000</v>
      </c>
      <c r="G364" s="4" t="n">
        <v>350</v>
      </c>
      <c r="H364" s="4" t="n">
        <v>1253</v>
      </c>
      <c r="I364" s="4" t="n">
        <v>379</v>
      </c>
      <c r="J364" s="5" t="n">
        <v>0.9</v>
      </c>
      <c r="K364" s="4" t="n">
        <v>496</v>
      </c>
      <c r="L364" s="4" t="n">
        <v>150</v>
      </c>
      <c r="M364" s="5" t="n">
        <v>2.3</v>
      </c>
      <c r="N364" s="3" t="inlineStr">
        <is>
          <t>1</t>
        </is>
      </c>
      <c r="O364" s="3" t="inlineStr">
        <is>
          <t>-</t>
        </is>
      </c>
      <c r="P364" s="3" t="inlineStr">
        <is>
          <t>2종근생 제조 공장 마당넓고 2차선</t>
        </is>
      </c>
      <c r="Q364" s="6">
        <f>HYPERLINK("https://fin.land.naver.com/articles/2647976477", "매물Link")</f>
        <v/>
      </c>
      <c r="R364" s="6">
        <f>HYPERLINK("https://map.naver.com/p/search/세종특별자치시 나성동 829", "지도Link")</f>
        <v/>
      </c>
      <c r="S364" s="6">
        <f>HYPERLINK("http://www.eum.go.kr/web/ar/lu/luLandDet.jsp?pnu=3611010700108290000&amp;isNoScr=script&amp;mode=search", "토지이음")</f>
        <v/>
      </c>
      <c r="T364" s="3" t="inlineStr">
        <is>
          <t>다음사무소</t>
        </is>
      </c>
      <c r="U364" s="3" t="n">
        <v>1</v>
      </c>
      <c r="V364" s="3" t="inlineStr">
        <is>
          <t>전망공간 기계실</t>
        </is>
      </c>
      <c r="W364" s="4" t="n">
        <v>496</v>
      </c>
      <c r="X364" s="3" t="inlineStr">
        <is>
          <t>철근콘크리트구조</t>
        </is>
      </c>
      <c r="Y364" s="3" t="inlineStr">
        <is>
          <t>제2종근린생활시설</t>
        </is>
      </c>
      <c r="Z364" s="3" t="inlineStr">
        <is>
          <t>-m</t>
        </is>
      </c>
      <c r="AA364" s="3" t="inlineStr">
        <is>
          <t>2021-08-20</t>
        </is>
      </c>
    </row>
    <row r="365">
      <c r="A365" s="3" t="inlineStr">
        <is>
          <t>세종특별자치시 나성동 829</t>
        </is>
      </c>
      <c r="B365" s="3" t="inlineStr">
        <is>
          <t>중심상업지역</t>
        </is>
      </c>
      <c r="C365" s="3" t="inlineStr">
        <is>
          <t>대</t>
        </is>
      </c>
      <c r="D365" s="3" t="inlineStr">
        <is>
          <t>공장</t>
        </is>
      </c>
      <c r="E365" s="3" t="inlineStr">
        <is>
          <t>매매</t>
        </is>
      </c>
      <c r="F365" s="4" t="n">
        <v>63000</v>
      </c>
      <c r="G365" s="4" t="n">
        <v>0</v>
      </c>
      <c r="H365" s="4" t="n">
        <v>335</v>
      </c>
      <c r="I365" s="4" t="n">
        <v>101</v>
      </c>
      <c r="J365" s="5" t="n">
        <v>623.8</v>
      </c>
      <c r="K365" s="4" t="n">
        <v>335</v>
      </c>
      <c r="L365" s="4" t="n">
        <v>101</v>
      </c>
      <c r="M365" s="5" t="n">
        <v>623.8</v>
      </c>
      <c r="N365" s="3" t="inlineStr">
        <is>
          <t>1</t>
        </is>
      </c>
      <c r="O365" s="3" t="inlineStr">
        <is>
          <t>-</t>
        </is>
      </c>
      <c r="P365" s="3" t="inlineStr">
        <is>
          <t>nan</t>
        </is>
      </c>
      <c r="Q365" s="6">
        <f>HYPERLINK("https://fin.land.naver.com/articles/2648271499", "매물Link")</f>
        <v/>
      </c>
      <c r="R365" s="6">
        <f>HYPERLINK("https://map.naver.com/p/search/세종특별자치시 나성동 829", "지도Link")</f>
        <v/>
      </c>
      <c r="S365" s="6">
        <f>HYPERLINK("http://www.eum.go.kr/web/ar/lu/luLandDet.jsp?pnu=3611010700108290000&amp;isNoScr=script&amp;mode=search", "토지이음")</f>
        <v/>
      </c>
      <c r="T365" s="3" t="inlineStr">
        <is>
          <t>신영</t>
        </is>
      </c>
      <c r="U365" s="3" t="n">
        <v>1</v>
      </c>
      <c r="V365" s="3" t="inlineStr">
        <is>
          <t>801</t>
        </is>
      </c>
      <c r="W365" s="4" t="n">
        <v>335</v>
      </c>
      <c r="X365" s="3" t="inlineStr">
        <is>
          <t>철근콘크리트구조</t>
        </is>
      </c>
      <c r="Y365" s="3" t="inlineStr">
        <is>
          <t>제2종근린생활시설</t>
        </is>
      </c>
      <c r="Z365" s="3" t="inlineStr">
        <is>
          <t>-m</t>
        </is>
      </c>
      <c r="AA365" s="3" t="inlineStr">
        <is>
          <t>2021-08-20</t>
        </is>
      </c>
    </row>
    <row r="366">
      <c r="A366" s="3" t="inlineStr">
        <is>
          <t>세종특별자치시 나성동 829</t>
        </is>
      </c>
      <c r="B366" s="3" t="inlineStr">
        <is>
          <t>중심상업지역</t>
        </is>
      </c>
      <c r="C366" s="3" t="inlineStr">
        <is>
          <t>대</t>
        </is>
      </c>
      <c r="D366" s="3" t="inlineStr">
        <is>
          <t>공장</t>
        </is>
      </c>
      <c r="E366" s="3" t="inlineStr">
        <is>
          <t>매매</t>
        </is>
      </c>
      <c r="F366" s="4" t="n">
        <v>75000</v>
      </c>
      <c r="G366" s="4" t="n">
        <v>0</v>
      </c>
      <c r="H366" s="4" t="n">
        <v>1223</v>
      </c>
      <c r="I366" s="4" t="n">
        <v>370</v>
      </c>
      <c r="J366" s="5" t="n">
        <v>202.7</v>
      </c>
      <c r="K366" s="4" t="n">
        <v>384</v>
      </c>
      <c r="L366" s="4" t="n">
        <v>116</v>
      </c>
      <c r="M366" s="5" t="n">
        <v>646.6</v>
      </c>
      <c r="N366" s="3" t="inlineStr">
        <is>
          <t>1</t>
        </is>
      </c>
      <c r="O366" s="3" t="inlineStr">
        <is>
          <t>-</t>
        </is>
      </c>
      <c r="P366" s="3" t="inlineStr">
        <is>
          <t>학평리 풍정교차로인접 접근성좋음 소형공장 식품공장가능</t>
        </is>
      </c>
      <c r="Q366" s="6">
        <f>HYPERLINK("https://fin.land.naver.com/articles/2646668607", "매물Link")</f>
        <v/>
      </c>
      <c r="R366" s="6">
        <f>HYPERLINK("https://map.naver.com/p/search/세종특별자치시 나성동 829", "지도Link")</f>
        <v/>
      </c>
      <c r="S366" s="6">
        <f>HYPERLINK("http://www.eum.go.kr/web/ar/lu/luLandDet.jsp?pnu=3611010700108290000&amp;isNoScr=script&amp;mode=search", "토지이음")</f>
        <v/>
      </c>
      <c r="T366" s="3" t="inlineStr">
        <is>
          <t>더원</t>
        </is>
      </c>
      <c r="U366" s="3" t="n">
        <v>1</v>
      </c>
      <c r="V366" s="3" t="inlineStr">
        <is>
          <t>전망공간 기계실</t>
        </is>
      </c>
      <c r="W366" s="4" t="n">
        <v>384</v>
      </c>
      <c r="X366" s="3" t="inlineStr">
        <is>
          <t>철근콘크리트구조</t>
        </is>
      </c>
      <c r="Y366" s="3" t="inlineStr">
        <is>
          <t>제2종근린생활시설</t>
        </is>
      </c>
      <c r="Z366" s="3" t="inlineStr">
        <is>
          <t>-m</t>
        </is>
      </c>
      <c r="AA366" s="3" t="inlineStr">
        <is>
          <t>2021-08-20</t>
        </is>
      </c>
    </row>
    <row r="367">
      <c r="A367" s="3" t="inlineStr">
        <is>
          <t>세종특별자치시 나성동 829</t>
        </is>
      </c>
      <c r="B367" s="3" t="inlineStr">
        <is>
          <t>중심상업지역</t>
        </is>
      </c>
      <c r="C367" s="3" t="inlineStr">
        <is>
          <t>대</t>
        </is>
      </c>
      <c r="D367" s="3" t="inlineStr">
        <is>
          <t>공장</t>
        </is>
      </c>
      <c r="E367" s="3" t="inlineStr">
        <is>
          <t>매매</t>
        </is>
      </c>
      <c r="F367" s="4" t="n">
        <v>180000</v>
      </c>
      <c r="G367" s="4" t="n">
        <v>0</v>
      </c>
      <c r="H367" s="4" t="n">
        <v>3305</v>
      </c>
      <c r="I367" s="4" t="n">
        <v>1000</v>
      </c>
      <c r="J367" s="5" t="n">
        <v>180</v>
      </c>
      <c r="K367" s="4" t="n">
        <v>738</v>
      </c>
      <c r="L367" s="4" t="n">
        <v>223</v>
      </c>
      <c r="M367" s="5" t="n">
        <v>807.2</v>
      </c>
      <c r="N367" s="3" t="inlineStr">
        <is>
          <t>1</t>
        </is>
      </c>
      <c r="O367" s="3" t="inlineStr">
        <is>
          <t>-</t>
        </is>
      </c>
      <c r="P367" s="3" t="inlineStr">
        <is>
          <t>신축마당넓어 야적장사용가능 호이스트2기 전력40kw 처마고10m현임대중</t>
        </is>
      </c>
      <c r="Q367" s="6">
        <f>HYPERLINK("https://fin.land.naver.com/articles/2646668736", "매물Link")</f>
        <v/>
      </c>
      <c r="R367" s="6">
        <f>HYPERLINK("https://map.naver.com/p/search/세종특별자치시 나성동 829", "지도Link")</f>
        <v/>
      </c>
      <c r="S367" s="6">
        <f>HYPERLINK("http://www.eum.go.kr/web/ar/lu/luLandDet.jsp?pnu=3611010700108290000&amp;isNoScr=script&amp;mode=search", "토지이음")</f>
        <v/>
      </c>
      <c r="T367" s="3" t="inlineStr">
        <is>
          <t>더원</t>
        </is>
      </c>
      <c r="U367" s="3" t="n">
        <v>1</v>
      </c>
      <c r="V367" s="3" t="inlineStr">
        <is>
          <t>803</t>
        </is>
      </c>
      <c r="W367" s="4" t="n">
        <v>738</v>
      </c>
      <c r="X367" s="3" t="inlineStr">
        <is>
          <t>철근콘크리트구조</t>
        </is>
      </c>
      <c r="Y367" s="3" t="inlineStr">
        <is>
          <t>제2종근린생활시설</t>
        </is>
      </c>
      <c r="Z367" s="3" t="inlineStr">
        <is>
          <t>-m</t>
        </is>
      </c>
      <c r="AA367" s="3" t="inlineStr">
        <is>
          <t>2021-08-20</t>
        </is>
      </c>
    </row>
    <row r="368">
      <c r="A368" s="3" t="inlineStr">
        <is>
          <t>세종특별자치시 나성동 829</t>
        </is>
      </c>
      <c r="B368" s="3" t="inlineStr">
        <is>
          <t>중심상업지역</t>
        </is>
      </c>
      <c r="C368" s="3" t="inlineStr">
        <is>
          <t>대</t>
        </is>
      </c>
      <c r="D368" s="3" t="inlineStr">
        <is>
          <t>공장</t>
        </is>
      </c>
      <c r="E368" s="3" t="inlineStr">
        <is>
          <t>월세</t>
        </is>
      </c>
      <c r="F368" s="4" t="n">
        <v>3000</v>
      </c>
      <c r="G368" s="4" t="n">
        <v>300</v>
      </c>
      <c r="H368" s="4" t="n">
        <v>1619</v>
      </c>
      <c r="I368" s="4" t="n">
        <v>490</v>
      </c>
      <c r="J368" s="5" t="n">
        <v>0.6</v>
      </c>
      <c r="K368" s="4" t="n">
        <v>316</v>
      </c>
      <c r="L368" s="4" t="n">
        <v>96</v>
      </c>
      <c r="M368" s="5" t="n">
        <v>3.1</v>
      </c>
      <c r="N368" s="3" t="inlineStr">
        <is>
          <t>1</t>
        </is>
      </c>
      <c r="O368" s="3" t="inlineStr">
        <is>
          <t>-</t>
        </is>
      </c>
      <c r="P368" s="3" t="inlineStr">
        <is>
          <t>신축 단독공장임대 2차선도로제조업소 및 창고식품공장협의 오폐수직관</t>
        </is>
      </c>
      <c r="Q368" s="6">
        <f>HYPERLINK("https://fin.land.naver.com/articles/2646668987", "매물Link")</f>
        <v/>
      </c>
      <c r="R368" s="6">
        <f>HYPERLINK("https://map.naver.com/p/search/세종특별자치시 나성동 829", "지도Link")</f>
        <v/>
      </c>
      <c r="S368" s="6">
        <f>HYPERLINK("http://www.eum.go.kr/web/ar/lu/luLandDet.jsp?pnu=3611010700108290000&amp;isNoScr=script&amp;mode=search", "토지이음")</f>
        <v/>
      </c>
      <c r="T368" s="3" t="inlineStr">
        <is>
          <t>더원</t>
        </is>
      </c>
      <c r="U368" s="3" t="n">
        <v>1</v>
      </c>
      <c r="V368" s="3" t="inlineStr">
        <is>
          <t>801</t>
        </is>
      </c>
      <c r="W368" s="4" t="n">
        <v>316</v>
      </c>
      <c r="X368" s="3" t="inlineStr">
        <is>
          <t>철근콘크리트구조</t>
        </is>
      </c>
      <c r="Y368" s="3" t="inlineStr">
        <is>
          <t>제2종근린생활시설</t>
        </is>
      </c>
      <c r="Z368" s="3" t="inlineStr">
        <is>
          <t>-m</t>
        </is>
      </c>
      <c r="AA368" s="3" t="inlineStr">
        <is>
          <t>2021-08-20</t>
        </is>
      </c>
    </row>
    <row r="369">
      <c r="A369" s="3" t="inlineStr">
        <is>
          <t>세종특별자치시 나성동 829</t>
        </is>
      </c>
      <c r="B369" s="3" t="inlineStr">
        <is>
          <t>중심상업지역</t>
        </is>
      </c>
      <c r="C369" s="3" t="inlineStr">
        <is>
          <t>대</t>
        </is>
      </c>
      <c r="D369" s="3" t="inlineStr">
        <is>
          <t>창고</t>
        </is>
      </c>
      <c r="E369" s="3" t="inlineStr">
        <is>
          <t>월세</t>
        </is>
      </c>
      <c r="F369" s="4" t="n">
        <v>1000</v>
      </c>
      <c r="G369" s="4" t="n">
        <v>150</v>
      </c>
      <c r="H369" s="4" t="n">
        <v>2268</v>
      </c>
      <c r="I369" s="4" t="n">
        <v>686</v>
      </c>
      <c r="J369" s="5" t="n">
        <v>0.2</v>
      </c>
      <c r="K369" s="4" t="n">
        <v>330</v>
      </c>
      <c r="L369" s="4" t="n">
        <v>100</v>
      </c>
      <c r="M369" s="5" t="n">
        <v>1.5</v>
      </c>
      <c r="N369" s="3" t="inlineStr">
        <is>
          <t>1</t>
        </is>
      </c>
      <c r="O369" s="3" t="inlineStr">
        <is>
          <t>-</t>
        </is>
      </c>
      <c r="P369" s="3" t="inlineStr">
        <is>
          <t>창고</t>
        </is>
      </c>
      <c r="Q369" s="6">
        <f>HYPERLINK("https://fin.land.naver.com/articles/2646698349", "매물Link")</f>
        <v/>
      </c>
      <c r="R369" s="6">
        <f>HYPERLINK("https://map.naver.com/p/search/세종특별자치시 나성동 829", "지도Link")</f>
        <v/>
      </c>
      <c r="S369" s="6">
        <f>HYPERLINK("http://www.eum.go.kr/web/ar/lu/luLandDet.jsp?pnu=3611010700108290000&amp;isNoScr=script&amp;mode=search", "토지이음")</f>
        <v/>
      </c>
      <c r="T369" s="3" t="inlineStr">
        <is>
          <t>LBA리치아노합동사무소</t>
        </is>
      </c>
      <c r="U369" s="3" t="n">
        <v>1</v>
      </c>
      <c r="V369" s="3" t="inlineStr">
        <is>
          <t>801</t>
        </is>
      </c>
      <c r="W369" s="4" t="n">
        <v>330</v>
      </c>
      <c r="X369" s="3" t="inlineStr">
        <is>
          <t>철근콘크리트구조</t>
        </is>
      </c>
      <c r="Y369" s="3" t="inlineStr">
        <is>
          <t>제2종근린생활시설</t>
        </is>
      </c>
      <c r="Z369" s="3" t="inlineStr">
        <is>
          <t>-m</t>
        </is>
      </c>
      <c r="AA369" s="3" t="inlineStr">
        <is>
          <t>2021-08-20</t>
        </is>
      </c>
    </row>
    <row r="370">
      <c r="A370" s="3" t="inlineStr">
        <is>
          <t>세종특별자치시 나성동 829</t>
        </is>
      </c>
      <c r="B370" s="3" t="inlineStr">
        <is>
          <t>중심상업지역</t>
        </is>
      </c>
      <c r="C370" s="3" t="inlineStr">
        <is>
          <t>대</t>
        </is>
      </c>
      <c r="D370" s="3" t="inlineStr">
        <is>
          <t>공장</t>
        </is>
      </c>
      <c r="E370" s="3" t="inlineStr">
        <is>
          <t>매매</t>
        </is>
      </c>
      <c r="F370" s="4" t="n">
        <v>150000</v>
      </c>
      <c r="G370" s="4" t="n">
        <v>0</v>
      </c>
      <c r="H370" s="4" t="n">
        <v>1614</v>
      </c>
      <c r="I370" s="4" t="n">
        <v>488</v>
      </c>
      <c r="J370" s="5" t="n">
        <v>307.4</v>
      </c>
      <c r="K370" s="4" t="n">
        <v>658</v>
      </c>
      <c r="L370" s="4" t="n">
        <v>199</v>
      </c>
      <c r="M370" s="5" t="n">
        <v>753.8</v>
      </c>
      <c r="N370" s="3" t="inlineStr">
        <is>
          <t>1</t>
        </is>
      </c>
      <c r="O370" s="3" t="inlineStr">
        <is>
          <t>-</t>
        </is>
      </c>
      <c r="P370" s="3" t="inlineStr">
        <is>
          <t>2차선도로변 대형차 진출입원활 전력 170kw</t>
        </is>
      </c>
      <c r="Q370" s="6">
        <f>HYPERLINK("https://fin.land.naver.com/articles/2646991351", "매물Link")</f>
        <v/>
      </c>
      <c r="R370" s="6">
        <f>HYPERLINK("https://map.naver.com/p/search/세종특별자치시 나성동 829", "지도Link")</f>
        <v/>
      </c>
      <c r="S370" s="6">
        <f>HYPERLINK("http://www.eum.go.kr/web/ar/lu/luLandDet.jsp?pnu=3611010700108290000&amp;isNoScr=script&amp;mode=search", "토지이음")</f>
        <v/>
      </c>
      <c r="T370" s="3" t="inlineStr">
        <is>
          <t>더원</t>
        </is>
      </c>
      <c r="U370" s="3" t="n">
        <v>1</v>
      </c>
      <c r="V370" s="3" t="inlineStr">
        <is>
          <t>803</t>
        </is>
      </c>
      <c r="W370" s="4" t="n">
        <v>658</v>
      </c>
      <c r="X370" s="3" t="inlineStr">
        <is>
          <t>철근콘크리트구조</t>
        </is>
      </c>
      <c r="Y370" s="3" t="inlineStr">
        <is>
          <t>제2종근린생활시설</t>
        </is>
      </c>
      <c r="Z370" s="3" t="inlineStr">
        <is>
          <t>-m</t>
        </is>
      </c>
      <c r="AA370" s="3" t="inlineStr">
        <is>
          <t>2021-08-20</t>
        </is>
      </c>
    </row>
    <row r="371">
      <c r="A371" s="3" t="inlineStr">
        <is>
          <t>세종특별자치시 나성동 829</t>
        </is>
      </c>
      <c r="B371" s="3" t="inlineStr">
        <is>
          <t>중심상업지역</t>
        </is>
      </c>
      <c r="C371" s="3" t="inlineStr">
        <is>
          <t>대</t>
        </is>
      </c>
      <c r="D371" s="3" t="inlineStr">
        <is>
          <t>창고</t>
        </is>
      </c>
      <c r="E371" s="3" t="inlineStr">
        <is>
          <t>월세</t>
        </is>
      </c>
      <c r="F371" s="4" t="n">
        <v>8000</v>
      </c>
      <c r="G371" s="4" t="n">
        <v>700</v>
      </c>
      <c r="H371" s="4" t="n">
        <v>2775</v>
      </c>
      <c r="I371" s="4" t="n">
        <v>839</v>
      </c>
      <c r="J371" s="5" t="n">
        <v>0.8</v>
      </c>
      <c r="K371" s="4" t="n">
        <v>993</v>
      </c>
      <c r="L371" s="4" t="n">
        <v>300</v>
      </c>
      <c r="M371" s="5" t="n">
        <v>2.3</v>
      </c>
      <c r="N371" s="3" t="inlineStr">
        <is>
          <t>1</t>
        </is>
      </c>
      <c r="O371" s="3" t="inlineStr">
        <is>
          <t>-</t>
        </is>
      </c>
      <c r="P371" s="3" t="inlineStr">
        <is>
          <t>내수,창고</t>
        </is>
      </c>
      <c r="Q371" s="6">
        <f>HYPERLINK("https://fin.land.naver.com/articles/2649532587", "매물Link")</f>
        <v/>
      </c>
      <c r="R371" s="6">
        <f>HYPERLINK("https://map.naver.com/p/search/세종특별자치시 나성동 829", "지도Link")</f>
        <v/>
      </c>
      <c r="S371" s="6">
        <f>HYPERLINK("http://www.eum.go.kr/web/ar/lu/luLandDet.jsp?pnu=3611010700108290000&amp;isNoScr=script&amp;mode=search", "토지이음")</f>
        <v/>
      </c>
      <c r="T371" s="3" t="inlineStr">
        <is>
          <t>LBA리치아노합동사무소</t>
        </is>
      </c>
      <c r="U371" s="3" t="n">
        <v>1</v>
      </c>
      <c r="V371" s="3" t="inlineStr">
        <is>
          <t>604</t>
        </is>
      </c>
      <c r="W371" s="4" t="n">
        <v>993</v>
      </c>
      <c r="X371" s="3" t="inlineStr">
        <is>
          <t>철근콘크리트구조</t>
        </is>
      </c>
      <c r="Y371" s="3" t="inlineStr">
        <is>
          <t>공동주택</t>
        </is>
      </c>
      <c r="Z371" s="3" t="inlineStr">
        <is>
          <t>38.30m</t>
        </is>
      </c>
      <c r="AA371" s="3" t="inlineStr">
        <is>
          <t>2021-08-20</t>
        </is>
      </c>
    </row>
    <row r="372">
      <c r="A372" s="3" t="inlineStr">
        <is>
          <t>세종특별자치시 나성동 829</t>
        </is>
      </c>
      <c r="B372" s="3" t="inlineStr">
        <is>
          <t>중심상업지역</t>
        </is>
      </c>
      <c r="C372" s="3" t="inlineStr">
        <is>
          <t>대</t>
        </is>
      </c>
      <c r="D372" s="3" t="inlineStr">
        <is>
          <t>창고</t>
        </is>
      </c>
      <c r="E372" s="3" t="inlineStr">
        <is>
          <t>월세</t>
        </is>
      </c>
      <c r="F372" s="4" t="n">
        <v>1000</v>
      </c>
      <c r="G372" s="4" t="n">
        <v>70</v>
      </c>
      <c r="H372" s="4" t="n">
        <v>397</v>
      </c>
      <c r="I372" s="4" t="n">
        <v>120</v>
      </c>
      <c r="J372" s="5" t="n">
        <v>0.6</v>
      </c>
      <c r="K372" s="4" t="n">
        <v>130</v>
      </c>
      <c r="L372" s="4" t="n">
        <v>39</v>
      </c>
      <c r="M372" s="5" t="n">
        <v>1.8</v>
      </c>
      <c r="N372" s="3" t="inlineStr">
        <is>
          <t>1</t>
        </is>
      </c>
      <c r="O372" s="3" t="inlineStr">
        <is>
          <t>-</t>
        </is>
      </c>
      <c r="P372" s="3" t="inlineStr">
        <is>
          <t>내수,창고,임대</t>
        </is>
      </c>
      <c r="Q372" s="6">
        <f>HYPERLINK("https://fin.land.naver.com/articles/2649534345", "매물Link")</f>
        <v/>
      </c>
      <c r="R372" s="6">
        <f>HYPERLINK("https://map.naver.com/p/search/세종특별자치시 나성동 829", "지도Link")</f>
        <v/>
      </c>
      <c r="S372" s="6">
        <f>HYPERLINK("http://www.eum.go.kr/web/ar/lu/luLandDet.jsp?pnu=3611010700108290000&amp;isNoScr=script&amp;mode=search", "토지이음")</f>
        <v/>
      </c>
      <c r="T372" s="3" t="inlineStr">
        <is>
          <t>LBA리치아노합동사무소</t>
        </is>
      </c>
      <c r="U372" s="3" t="n">
        <v>1</v>
      </c>
      <c r="V372" s="3" t="inlineStr">
        <is>
          <t>판매시설 지하주차장</t>
        </is>
      </c>
      <c r="W372" s="4" t="n">
        <v>130</v>
      </c>
      <c r="X372" s="3" t="inlineStr">
        <is>
          <t>철근콘크리트구조</t>
        </is>
      </c>
      <c r="Y372" s="3" t="inlineStr">
        <is>
          <t>판매시설</t>
        </is>
      </c>
      <c r="Z372" s="3" t="inlineStr">
        <is>
          <t>-m</t>
        </is>
      </c>
      <c r="AA372" s="3" t="inlineStr">
        <is>
          <t>2021-08-20</t>
        </is>
      </c>
    </row>
    <row r="373">
      <c r="A373" s="3" t="inlineStr">
        <is>
          <t>세종특별자치시 나성동 829</t>
        </is>
      </c>
      <c r="B373" s="3" t="inlineStr">
        <is>
          <t>중심상업지역</t>
        </is>
      </c>
      <c r="C373" s="3" t="inlineStr">
        <is>
          <t>대</t>
        </is>
      </c>
      <c r="D373" s="3" t="inlineStr">
        <is>
          <t>창고</t>
        </is>
      </c>
      <c r="E373" s="3" t="inlineStr">
        <is>
          <t>월세</t>
        </is>
      </c>
      <c r="F373" s="4" t="n">
        <v>500</v>
      </c>
      <c r="G373" s="4" t="n">
        <v>70</v>
      </c>
      <c r="H373" s="4" t="n">
        <v>1710</v>
      </c>
      <c r="I373" s="4" t="n">
        <v>517</v>
      </c>
      <c r="J373" s="5" t="n">
        <v>0.1</v>
      </c>
      <c r="K373" s="4" t="n">
        <v>104</v>
      </c>
      <c r="L373" s="4" t="n">
        <v>31</v>
      </c>
      <c r="M373" s="5" t="n">
        <v>2.3</v>
      </c>
      <c r="N373" s="3" t="inlineStr">
        <is>
          <t>1</t>
        </is>
      </c>
      <c r="O373" s="3" t="inlineStr">
        <is>
          <t>-</t>
        </is>
      </c>
      <c r="P373" s="3" t="inlineStr">
        <is>
          <t>3순환로인근,창고및사무실,2층</t>
        </is>
      </c>
      <c r="Q373" s="6">
        <f>HYPERLINK("https://fin.land.naver.com/articles/2649536716", "매물Link")</f>
        <v/>
      </c>
      <c r="R373" s="6">
        <f>HYPERLINK("https://map.naver.com/p/search/세종특별자치시 나성동 829", "지도Link")</f>
        <v/>
      </c>
      <c r="S373" s="6">
        <f>HYPERLINK("http://www.eum.go.kr/web/ar/lu/luLandDet.jsp?pnu=3611010700108290000&amp;isNoScr=script&amp;mode=search", "토지이음")</f>
        <v/>
      </c>
      <c r="T373" s="3" t="inlineStr">
        <is>
          <t>LBA리치아노합동사무소</t>
        </is>
      </c>
      <c r="U373" s="3" t="n">
        <v>1</v>
      </c>
      <c r="V373" s="3" t="inlineStr">
        <is>
          <t>공동주택 연결통로</t>
        </is>
      </c>
      <c r="W373" s="4" t="n">
        <v>104</v>
      </c>
      <c r="X373" s="3" t="inlineStr">
        <is>
          <t>철근콘크리트구조</t>
        </is>
      </c>
      <c r="Y373" s="3" t="inlineStr">
        <is>
          <t>공동주택</t>
        </is>
      </c>
      <c r="Z373" s="3" t="inlineStr">
        <is>
          <t>-m</t>
        </is>
      </c>
      <c r="AA373" s="3" t="inlineStr">
        <is>
          <t>2021-08-20</t>
        </is>
      </c>
    </row>
    <row r="374">
      <c r="A374" s="3" t="inlineStr">
        <is>
          <t>세종특별자치시 나성동 829</t>
        </is>
      </c>
      <c r="B374" s="3" t="inlineStr">
        <is>
          <t>중심상업지역</t>
        </is>
      </c>
      <c r="C374" s="3" t="inlineStr">
        <is>
          <t>대</t>
        </is>
      </c>
      <c r="D374" s="3" t="inlineStr">
        <is>
          <t>창고</t>
        </is>
      </c>
      <c r="E374" s="3" t="inlineStr">
        <is>
          <t>월세</t>
        </is>
      </c>
      <c r="F374" s="4" t="n">
        <v>5000</v>
      </c>
      <c r="G374" s="4" t="n">
        <v>450</v>
      </c>
      <c r="H374" s="4" t="n">
        <v>2736</v>
      </c>
      <c r="I374" s="4" t="n">
        <v>828</v>
      </c>
      <c r="J374" s="5" t="n">
        <v>0.5</v>
      </c>
      <c r="K374" s="4" t="n">
        <v>97</v>
      </c>
      <c r="L374" s="4" t="n">
        <v>29</v>
      </c>
      <c r="M374" s="5" t="n">
        <v>15.5</v>
      </c>
      <c r="N374" s="3" t="inlineStr">
        <is>
          <t>1</t>
        </is>
      </c>
      <c r="O374" s="3" t="inlineStr">
        <is>
          <t>-</t>
        </is>
      </c>
      <c r="P374" s="3" t="inlineStr">
        <is>
          <t>소형창고,3순환로인근,마당넓음,신축</t>
        </is>
      </c>
      <c r="Q374" s="6">
        <f>HYPERLINK("https://fin.land.naver.com/articles/2649537342", "매물Link")</f>
        <v/>
      </c>
      <c r="R374" s="6">
        <f>HYPERLINK("https://map.naver.com/p/search/세종특별자치시 나성동 829", "지도Link")</f>
        <v/>
      </c>
      <c r="S374" s="6">
        <f>HYPERLINK("http://www.eum.go.kr/web/ar/lu/luLandDet.jsp?pnu=3611010700108290000&amp;isNoScr=script&amp;mode=search", "토지이음")</f>
        <v/>
      </c>
      <c r="T374" s="3" t="inlineStr">
        <is>
          <t>LBA리치아노합동사무소</t>
        </is>
      </c>
      <c r="U374" s="3" t="n">
        <v>1</v>
      </c>
      <c r="V374" s="3" t="inlineStr">
        <is>
          <t>공동주택 연결통로</t>
        </is>
      </c>
      <c r="W374" s="4" t="n">
        <v>97</v>
      </c>
      <c r="X374" s="3" t="inlineStr">
        <is>
          <t>철근콘크리트구조</t>
        </is>
      </c>
      <c r="Y374" s="3" t="inlineStr">
        <is>
          <t>공동주택</t>
        </is>
      </c>
      <c r="Z374" s="3" t="inlineStr">
        <is>
          <t>-m</t>
        </is>
      </c>
      <c r="AA374" s="3" t="inlineStr">
        <is>
          <t>2021-08-20</t>
        </is>
      </c>
    </row>
    <row r="375">
      <c r="A375" s="3" t="inlineStr">
        <is>
          <t>세종특별자치시 나성동 829</t>
        </is>
      </c>
      <c r="B375" s="3" t="inlineStr">
        <is>
          <t>중심상업지역</t>
        </is>
      </c>
      <c r="C375" s="3" t="inlineStr">
        <is>
          <t>대</t>
        </is>
      </c>
      <c r="D375" s="3" t="inlineStr">
        <is>
          <t>공장</t>
        </is>
      </c>
      <c r="E375" s="3" t="inlineStr">
        <is>
          <t>월세</t>
        </is>
      </c>
      <c r="F375" s="4" t="n">
        <v>2500</v>
      </c>
      <c r="G375" s="4" t="n">
        <v>250</v>
      </c>
      <c r="H375" s="4" t="n">
        <v>1223</v>
      </c>
      <c r="I375" s="4" t="n">
        <v>370</v>
      </c>
      <c r="J375" s="5" t="n">
        <v>0.7</v>
      </c>
      <c r="K375" s="4" t="n">
        <v>384</v>
      </c>
      <c r="L375" s="4" t="n">
        <v>116</v>
      </c>
      <c r="M375" s="5" t="n">
        <v>2.2</v>
      </c>
      <c r="N375" s="3" t="inlineStr">
        <is>
          <t>1</t>
        </is>
      </c>
      <c r="O375" s="3" t="inlineStr">
        <is>
          <t>-</t>
        </is>
      </c>
      <c r="P375" s="3" t="inlineStr">
        <is>
          <t>내수 소형식품공장가능 상수도 오폐수직관 입주협의가능</t>
        </is>
      </c>
      <c r="Q375" s="6">
        <f>HYPERLINK("https://fin.land.naver.com/articles/2649657650", "매물Link")</f>
        <v/>
      </c>
      <c r="R375" s="6">
        <f>HYPERLINK("https://map.naver.com/p/search/세종특별자치시 나성동 829", "지도Link")</f>
        <v/>
      </c>
      <c r="S375" s="6">
        <f>HYPERLINK("http://www.eum.go.kr/web/ar/lu/luLandDet.jsp?pnu=3611010700108290000&amp;isNoScr=script&amp;mode=search", "토지이음")</f>
        <v/>
      </c>
      <c r="T375" s="3" t="inlineStr">
        <is>
          <t>더원</t>
        </is>
      </c>
      <c r="U375" s="3" t="n">
        <v>1</v>
      </c>
      <c r="V375" s="3" t="inlineStr">
        <is>
          <t>전망공간 기계실</t>
        </is>
      </c>
      <c r="W375" s="4" t="n">
        <v>384</v>
      </c>
      <c r="X375" s="3" t="inlineStr">
        <is>
          <t>철근콘크리트구조</t>
        </is>
      </c>
      <c r="Y375" s="3" t="inlineStr">
        <is>
          <t>제2종근린생활시설</t>
        </is>
      </c>
      <c r="Z375" s="3" t="inlineStr">
        <is>
          <t>-m</t>
        </is>
      </c>
      <c r="AA375" s="3" t="inlineStr">
        <is>
          <t>2021-08-20</t>
        </is>
      </c>
    </row>
    <row r="376">
      <c r="A376" s="3" t="inlineStr">
        <is>
          <t>세종특별자치시 나성동 829</t>
        </is>
      </c>
      <c r="B376" s="3" t="inlineStr">
        <is>
          <t>중심상업지역</t>
        </is>
      </c>
      <c r="C376" s="3" t="inlineStr">
        <is>
          <t>대</t>
        </is>
      </c>
      <c r="D376" s="3" t="inlineStr">
        <is>
          <t>공장</t>
        </is>
      </c>
      <c r="E376" s="3" t="inlineStr">
        <is>
          <t>월세</t>
        </is>
      </c>
      <c r="F376" s="4" t="n">
        <v>2000</v>
      </c>
      <c r="G376" s="4" t="n">
        <v>150</v>
      </c>
      <c r="H376" s="4" t="n">
        <v>570</v>
      </c>
      <c r="I376" s="4" t="n">
        <v>172</v>
      </c>
      <c r="J376" s="5" t="n">
        <v>0.9</v>
      </c>
      <c r="K376" s="4" t="n">
        <v>192</v>
      </c>
      <c r="L376" s="4" t="n">
        <v>58</v>
      </c>
      <c r="M376" s="5" t="n">
        <v>2.6</v>
      </c>
      <c r="N376" s="3" t="inlineStr">
        <is>
          <t>1</t>
        </is>
      </c>
      <c r="O376" s="3" t="inlineStr">
        <is>
          <t>-</t>
        </is>
      </c>
      <c r="P376" s="3" t="inlineStr">
        <is>
          <t>소형 식품공장 가능 상수도 오폐수직관 공장등록가능</t>
        </is>
      </c>
      <c r="Q376" s="6">
        <f>HYPERLINK("https://fin.land.naver.com/articles/2649661360", "매물Link")</f>
        <v/>
      </c>
      <c r="R376" s="6">
        <f>HYPERLINK("https://map.naver.com/p/search/세종특별자치시 나성동 829", "지도Link")</f>
        <v/>
      </c>
      <c r="S376" s="6">
        <f>HYPERLINK("http://www.eum.go.kr/web/ar/lu/luLandDet.jsp?pnu=3611010700108290000&amp;isNoScr=script&amp;mode=search", "토지이음")</f>
        <v/>
      </c>
      <c r="T376" s="3" t="inlineStr">
        <is>
          <t>더원</t>
        </is>
      </c>
      <c r="U376" s="3" t="n">
        <v>1</v>
      </c>
      <c r="V376" s="3" t="inlineStr">
        <is>
          <t>공동주택 주민공동시설</t>
        </is>
      </c>
      <c r="W376" s="4" t="n">
        <v>192</v>
      </c>
      <c r="X376" s="3" t="inlineStr">
        <is>
          <t>철근콘크리트구조</t>
        </is>
      </c>
      <c r="Y376" s="3" t="inlineStr">
        <is>
          <t>공동주택</t>
        </is>
      </c>
      <c r="Z376" s="3" t="inlineStr">
        <is>
          <t>-m</t>
        </is>
      </c>
      <c r="AA376" s="3" t="inlineStr">
        <is>
          <t>2021-08-20</t>
        </is>
      </c>
    </row>
    <row r="377">
      <c r="A377" s="3" t="inlineStr">
        <is>
          <t>세종특별자치시 나성동 829</t>
        </is>
      </c>
      <c r="B377" s="3" t="inlineStr">
        <is>
          <t>중심상업지역</t>
        </is>
      </c>
      <c r="C377" s="3" t="inlineStr">
        <is>
          <t>대</t>
        </is>
      </c>
      <c r="D377" s="3" t="inlineStr">
        <is>
          <t>공장</t>
        </is>
      </c>
      <c r="E377" s="3" t="inlineStr">
        <is>
          <t>매매</t>
        </is>
      </c>
      <c r="F377" s="4" t="n">
        <v>140000</v>
      </c>
      <c r="G377" s="4" t="n">
        <v>0</v>
      </c>
      <c r="H377" s="4" t="n">
        <v>2395</v>
      </c>
      <c r="I377" s="4" t="n">
        <v>724</v>
      </c>
      <c r="J377" s="5" t="n">
        <v>193.4</v>
      </c>
      <c r="K377" s="4" t="n">
        <v>623</v>
      </c>
      <c r="L377" s="4" t="n">
        <v>188</v>
      </c>
      <c r="M377" s="5" t="n">
        <v>744.7</v>
      </c>
      <c r="N377" s="3" t="inlineStr">
        <is>
          <t>1</t>
        </is>
      </c>
      <c r="O377" s="3" t="inlineStr">
        <is>
          <t>-</t>
        </is>
      </c>
      <c r="P377" s="3" t="inlineStr">
        <is>
          <t>3순환로 수반교차로5분 청주전지역 이동편리 소형 사옥형 공장</t>
        </is>
      </c>
      <c r="Q377" s="6">
        <f>HYPERLINK("https://fin.land.naver.com/articles/2649672398", "매물Link")</f>
        <v/>
      </c>
      <c r="R377" s="6">
        <f>HYPERLINK("https://map.naver.com/p/search/세종특별자치시 나성동 829", "지도Link")</f>
        <v/>
      </c>
      <c r="S377" s="6">
        <f>HYPERLINK("http://www.eum.go.kr/web/ar/lu/luLandDet.jsp?pnu=3611010700108290000&amp;isNoScr=script&amp;mode=search", "토지이음")</f>
        <v/>
      </c>
      <c r="T377" s="3" t="inlineStr">
        <is>
          <t>더원</t>
        </is>
      </c>
      <c r="U377" s="3" t="n">
        <v>1</v>
      </c>
      <c r="V377" s="3" t="inlineStr">
        <is>
          <t>803</t>
        </is>
      </c>
      <c r="W377" s="4" t="n">
        <v>623</v>
      </c>
      <c r="X377" s="3" t="inlineStr">
        <is>
          <t>철근콘크리트구조</t>
        </is>
      </c>
      <c r="Y377" s="3" t="inlineStr">
        <is>
          <t>제2종근린생활시설</t>
        </is>
      </c>
      <c r="Z377" s="3" t="inlineStr">
        <is>
          <t>-m</t>
        </is>
      </c>
      <c r="AA377" s="3" t="inlineStr">
        <is>
          <t>2021-08-20</t>
        </is>
      </c>
    </row>
    <row r="378">
      <c r="A378" s="3" t="inlineStr">
        <is>
          <t>세종특별자치시 나성동 829</t>
        </is>
      </c>
      <c r="B378" s="3" t="inlineStr">
        <is>
          <t>중심상업지역</t>
        </is>
      </c>
      <c r="C378" s="3" t="inlineStr">
        <is>
          <t>대</t>
        </is>
      </c>
      <c r="D378" s="3" t="inlineStr">
        <is>
          <t>공장</t>
        </is>
      </c>
      <c r="E378" s="3" t="inlineStr">
        <is>
          <t>월세</t>
        </is>
      </c>
      <c r="F378" s="4" t="n">
        <v>6000</v>
      </c>
      <c r="G378" s="4" t="n">
        <v>510</v>
      </c>
      <c r="H378" s="4" t="n">
        <v>2263</v>
      </c>
      <c r="I378" s="4" t="n">
        <v>685</v>
      </c>
      <c r="J378" s="5" t="n">
        <v>0.7</v>
      </c>
      <c r="K378" s="4" t="n">
        <v>623</v>
      </c>
      <c r="L378" s="4" t="n">
        <v>188</v>
      </c>
      <c r="M378" s="5" t="n">
        <v>2.7</v>
      </c>
      <c r="N378" s="3" t="inlineStr">
        <is>
          <t>1</t>
        </is>
      </c>
      <c r="O378" s="3" t="inlineStr">
        <is>
          <t>-</t>
        </is>
      </c>
      <c r="P378" s="3" t="inlineStr">
        <is>
          <t>청주도심 10분이내 대형차 진출입가능 단독 공장 임대</t>
        </is>
      </c>
      <c r="Q378" s="6">
        <f>HYPERLINK("https://fin.land.naver.com/articles/2649676909", "매물Link")</f>
        <v/>
      </c>
      <c r="R378" s="6">
        <f>HYPERLINK("https://map.naver.com/p/search/세종특별자치시 나성동 829", "지도Link")</f>
        <v/>
      </c>
      <c r="S378" s="6">
        <f>HYPERLINK("http://www.eum.go.kr/web/ar/lu/luLandDet.jsp?pnu=3611010700108290000&amp;isNoScr=script&amp;mode=search", "토지이음")</f>
        <v/>
      </c>
      <c r="T378" s="3" t="inlineStr">
        <is>
          <t>더원</t>
        </is>
      </c>
      <c r="U378" s="3" t="n">
        <v>1</v>
      </c>
      <c r="V378" s="3" t="inlineStr">
        <is>
          <t>803</t>
        </is>
      </c>
      <c r="W378" s="4" t="n">
        <v>623</v>
      </c>
      <c r="X378" s="3" t="inlineStr">
        <is>
          <t>철근콘크리트구조</t>
        </is>
      </c>
      <c r="Y378" s="3" t="inlineStr">
        <is>
          <t>제2종근린생활시설</t>
        </is>
      </c>
      <c r="Z378" s="3" t="inlineStr">
        <is>
          <t>-m</t>
        </is>
      </c>
      <c r="AA378" s="3" t="inlineStr">
        <is>
          <t>2021-08-20</t>
        </is>
      </c>
    </row>
    <row r="379">
      <c r="A379" s="3" t="inlineStr">
        <is>
          <t>세종특별자치시 나성동 829</t>
        </is>
      </c>
      <c r="B379" s="3" t="inlineStr">
        <is>
          <t>중심상업지역</t>
        </is>
      </c>
      <c r="C379" s="3" t="inlineStr">
        <is>
          <t>대</t>
        </is>
      </c>
      <c r="D379" s="3" t="inlineStr">
        <is>
          <t>공장</t>
        </is>
      </c>
      <c r="E379" s="3" t="inlineStr">
        <is>
          <t>매매</t>
        </is>
      </c>
      <c r="F379" s="4" t="n">
        <v>115000</v>
      </c>
      <c r="G379" s="4" t="n">
        <v>0</v>
      </c>
      <c r="H379" s="4" t="n">
        <v>1017</v>
      </c>
      <c r="I379" s="4" t="n">
        <v>308</v>
      </c>
      <c r="J379" s="5" t="n">
        <v>373.4</v>
      </c>
      <c r="K379" s="4" t="n">
        <v>464</v>
      </c>
      <c r="L379" s="4" t="n">
        <v>140</v>
      </c>
      <c r="M379" s="5" t="n">
        <v>821.4</v>
      </c>
      <c r="N379" s="3" t="inlineStr">
        <is>
          <t>1</t>
        </is>
      </c>
      <c r="O379" s="3" t="inlineStr">
        <is>
          <t>-</t>
        </is>
      </c>
      <c r="P379" s="3" t="inlineStr">
        <is>
          <t>내수교차로 ,풍정교차로 접근성 좋은 위치의 소형공장 식품공장가능</t>
        </is>
      </c>
      <c r="Q379" s="6">
        <f>HYPERLINK("https://fin.land.naver.com/articles/2649678492", "매물Link")</f>
        <v/>
      </c>
      <c r="R379" s="6">
        <f>HYPERLINK("https://map.naver.com/p/search/세종특별자치시 나성동 829", "지도Link")</f>
        <v/>
      </c>
      <c r="S379" s="6">
        <f>HYPERLINK("http://www.eum.go.kr/web/ar/lu/luLandDet.jsp?pnu=3611010700108290000&amp;isNoScr=script&amp;mode=search", "토지이음")</f>
        <v/>
      </c>
      <c r="T379" s="3" t="inlineStr">
        <is>
          <t>더원</t>
        </is>
      </c>
      <c r="U379" s="3" t="n">
        <v>1</v>
      </c>
      <c r="V379" s="3" t="inlineStr">
        <is>
          <t>전망공간 기계실</t>
        </is>
      </c>
      <c r="W379" s="4" t="n">
        <v>464</v>
      </c>
      <c r="X379" s="3" t="inlineStr">
        <is>
          <t>철근콘크리트구조</t>
        </is>
      </c>
      <c r="Y379" s="3" t="inlineStr">
        <is>
          <t>제2종근린생활시설</t>
        </is>
      </c>
      <c r="Z379" s="3" t="inlineStr">
        <is>
          <t>-m</t>
        </is>
      </c>
      <c r="AA379" s="3" t="inlineStr">
        <is>
          <t>2021-08-20</t>
        </is>
      </c>
    </row>
    <row r="380">
      <c r="A380" s="3" t="inlineStr">
        <is>
          <t>세종특별자치시 나성동 829</t>
        </is>
      </c>
      <c r="B380" s="3" t="inlineStr">
        <is>
          <t>중심상업지역</t>
        </is>
      </c>
      <c r="C380" s="3" t="inlineStr">
        <is>
          <t>대</t>
        </is>
      </c>
      <c r="D380" s="3" t="inlineStr">
        <is>
          <t>공장</t>
        </is>
      </c>
      <c r="E380" s="3" t="inlineStr">
        <is>
          <t>매매</t>
        </is>
      </c>
      <c r="F380" s="4" t="n">
        <v>75000</v>
      </c>
      <c r="G380" s="4" t="n">
        <v>0</v>
      </c>
      <c r="H380" s="4" t="n">
        <v>1327</v>
      </c>
      <c r="I380" s="4" t="n">
        <v>401</v>
      </c>
      <c r="J380" s="5" t="n">
        <v>187</v>
      </c>
      <c r="K380" s="4" t="n">
        <v>380</v>
      </c>
      <c r="L380" s="4" t="n">
        <v>115</v>
      </c>
      <c r="M380" s="5" t="n">
        <v>652.2</v>
      </c>
      <c r="N380" s="3" t="inlineStr">
        <is>
          <t>1</t>
        </is>
      </c>
      <c r="O380" s="3" t="inlineStr">
        <is>
          <t>-</t>
        </is>
      </c>
      <c r="P380" s="3" t="inlineStr">
        <is>
          <t>학평리 소형공장 식품공장가능 2종근린생활 제조업 입주협의</t>
        </is>
      </c>
      <c r="Q380" s="6">
        <f>HYPERLINK("https://fin.land.naver.com/articles/2648230835", "매물Link")</f>
        <v/>
      </c>
      <c r="R380" s="6">
        <f>HYPERLINK("https://map.naver.com/p/search/세종특별자치시 나성동 829", "지도Link")</f>
        <v/>
      </c>
      <c r="S380" s="6">
        <f>HYPERLINK("http://www.eum.go.kr/web/ar/lu/luLandDet.jsp?pnu=3611010700108290000&amp;isNoScr=script&amp;mode=search", "토지이음")</f>
        <v/>
      </c>
      <c r="T380" s="3" t="inlineStr">
        <is>
          <t>더원</t>
        </is>
      </c>
      <c r="U380" s="3" t="n">
        <v>1</v>
      </c>
      <c r="V380" s="3" t="inlineStr">
        <is>
          <t>전망공간 기계실</t>
        </is>
      </c>
      <c r="W380" s="4" t="n">
        <v>380</v>
      </c>
      <c r="X380" s="3" t="inlineStr">
        <is>
          <t>철근콘크리트구조</t>
        </is>
      </c>
      <c r="Y380" s="3" t="inlineStr">
        <is>
          <t>제2종근린생활시설</t>
        </is>
      </c>
      <c r="Z380" s="3" t="inlineStr">
        <is>
          <t>-m</t>
        </is>
      </c>
      <c r="AA380" s="3" t="inlineStr">
        <is>
          <t>2021-08-20</t>
        </is>
      </c>
    </row>
    <row r="381">
      <c r="A381" s="3" t="inlineStr">
        <is>
          <t>세종특별자치시 나성동 829</t>
        </is>
      </c>
      <c r="B381" s="3" t="inlineStr">
        <is>
          <t>중심상업지역</t>
        </is>
      </c>
      <c r="C381" s="3" t="inlineStr">
        <is>
          <t>대</t>
        </is>
      </c>
      <c r="D381" s="3" t="inlineStr">
        <is>
          <t>공장</t>
        </is>
      </c>
      <c r="E381" s="3" t="inlineStr">
        <is>
          <t>매매</t>
        </is>
      </c>
      <c r="F381" s="4" t="n">
        <v>200000</v>
      </c>
      <c r="G381" s="4" t="n">
        <v>0</v>
      </c>
      <c r="H381" s="4" t="n">
        <v>4856</v>
      </c>
      <c r="I381" s="4" t="n">
        <v>1469</v>
      </c>
      <c r="J381" s="5" t="n">
        <v>136.1</v>
      </c>
      <c r="K381" s="4" t="n">
        <v>942</v>
      </c>
      <c r="L381" s="4" t="n">
        <v>285</v>
      </c>
      <c r="M381" s="5" t="n">
        <v>701.8</v>
      </c>
      <c r="N381" s="3" t="inlineStr">
        <is>
          <t>1</t>
        </is>
      </c>
      <c r="O381" s="3" t="inlineStr">
        <is>
          <t>-</t>
        </is>
      </c>
      <c r="P381" s="3" t="inlineStr">
        <is>
          <t>청주 외곽 3순환로 인근 외평동 공장 매매(가격조정가능)</t>
        </is>
      </c>
      <c r="Q381" s="6">
        <f>HYPERLINK("https://fin.land.naver.com/articles/2647122351", "매물Link")</f>
        <v/>
      </c>
      <c r="R381" s="6">
        <f>HYPERLINK("https://map.naver.com/p/search/세종특별자치시 나성동 829", "지도Link")</f>
        <v/>
      </c>
      <c r="S381" s="6">
        <f>HYPERLINK("http://www.eum.go.kr/web/ar/lu/luLandDet.jsp?pnu=3611010700108290000&amp;isNoScr=script&amp;mode=search", "토지이음")</f>
        <v/>
      </c>
      <c r="T381" s="3" t="inlineStr">
        <is>
          <t>삼성사무소</t>
        </is>
      </c>
      <c r="U381" s="3" t="n">
        <v>1</v>
      </c>
      <c r="V381" s="3" t="inlineStr">
        <is>
          <t>전망공간 지하주차장</t>
        </is>
      </c>
      <c r="W381" s="4" t="n">
        <v>942</v>
      </c>
      <c r="X381" s="3" t="inlineStr">
        <is>
          <t>철근콘크리트구조</t>
        </is>
      </c>
      <c r="Y381" s="3" t="inlineStr">
        <is>
          <t>제2종근린생활시설</t>
        </is>
      </c>
      <c r="Z381" s="3" t="inlineStr">
        <is>
          <t>4.50m</t>
        </is>
      </c>
      <c r="AA381" s="3" t="inlineStr">
        <is>
          <t>2021-08-20</t>
        </is>
      </c>
    </row>
    <row r="382">
      <c r="A382" s="3" t="inlineStr">
        <is>
          <t>세종특별자치시 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HYPERLINK("https://map.naver.com/p/search/세종특별자치시 나성동 829", "지도Link")</f>
        <v/>
      </c>
      <c r="S382" s="6">
        <f>HYPERLINK("http://www.eum.go.kr/web/ar/lu/luLandDet.jsp?pnu=3611010700108290000&amp;isNoScr=script&amp;mode=search", "토지이음")</f>
        <v/>
      </c>
      <c r="T382" s="3" t="inlineStr">
        <is>
          <t>LBA리치아노합동사무소</t>
        </is>
      </c>
      <c r="U382" s="3" t="n">
        <v>1</v>
      </c>
      <c r="V382" s="3" t="inlineStr">
        <is>
          <t>801</t>
        </is>
      </c>
      <c r="W382" s="4" t="n">
        <v>304</v>
      </c>
      <c r="X382" s="3" t="inlineStr">
        <is>
          <t>철근콘크리트구조</t>
        </is>
      </c>
      <c r="Y382" s="3" t="inlineStr">
        <is>
          <t>제2종근린생활시설</t>
        </is>
      </c>
      <c r="Z382" s="3" t="inlineStr">
        <is>
          <t>-m</t>
        </is>
      </c>
      <c r="AA382" s="3" t="inlineStr">
        <is>
          <t>2021-08-20</t>
        </is>
      </c>
    </row>
    <row r="383">
      <c r="A383" s="3" t="inlineStr">
        <is>
          <t>세종특별자치시 나성동 829</t>
        </is>
      </c>
      <c r="B383" s="3" t="inlineStr">
        <is>
          <t>중심상업지역</t>
        </is>
      </c>
      <c r="C383" s="3" t="inlineStr">
        <is>
          <t>대</t>
        </is>
      </c>
      <c r="D383" s="3" t="inlineStr">
        <is>
          <t>창고</t>
        </is>
      </c>
      <c r="E383" s="3" t="inlineStr">
        <is>
          <t>월세</t>
        </is>
      </c>
      <c r="F383" s="4" t="n">
        <v>5000</v>
      </c>
      <c r="G383" s="4" t="n">
        <v>200</v>
      </c>
      <c r="H383" s="4" t="n">
        <v>1702</v>
      </c>
      <c r="I383" s="4" t="n">
        <v>515</v>
      </c>
      <c r="J383" s="5" t="n">
        <v>0.4</v>
      </c>
      <c r="K383" s="4" t="n">
        <v>304</v>
      </c>
      <c r="L383" s="4" t="n">
        <v>92</v>
      </c>
      <c r="M383" s="5" t="n">
        <v>2.2</v>
      </c>
      <c r="N383" s="3" t="inlineStr">
        <is>
          <t>1</t>
        </is>
      </c>
      <c r="O383" s="3" t="inlineStr">
        <is>
          <t>-</t>
        </is>
      </c>
      <c r="P383" s="3" t="inlineStr">
        <is>
          <t>SK하이닉스인근,창고,임대</t>
        </is>
      </c>
      <c r="Q383" s="6">
        <f>HYPERLINK("https://fin.land.naver.com/articles/2648881362", "매물Link")</f>
        <v/>
      </c>
      <c r="R383" s="6">
        <f>HYPERLINK("https://map.naver.com/p/search/세종특별자치시 나성동 829", "지도Link")</f>
        <v/>
      </c>
      <c r="S383" s="6">
        <f>HYPERLINK("http://www.eum.go.kr/web/ar/lu/luLandDet.jsp?pnu=3611010700108290000&amp;isNoScr=script&amp;mode=search", "토지이음")</f>
        <v/>
      </c>
      <c r="T383" s="3" t="inlineStr">
        <is>
          <t>LBA리치아노합동사무소</t>
        </is>
      </c>
      <c r="U383" s="3" t="n">
        <v>1</v>
      </c>
      <c r="V383" s="3" t="inlineStr">
        <is>
          <t>801</t>
        </is>
      </c>
      <c r="W383" s="4" t="n">
        <v>304</v>
      </c>
      <c r="X383" s="3" t="inlineStr">
        <is>
          <t>철근콘크리트구조</t>
        </is>
      </c>
      <c r="Y383" s="3" t="inlineStr">
        <is>
          <t>제2종근린생활시설</t>
        </is>
      </c>
      <c r="Z383" s="3" t="inlineStr">
        <is>
          <t>-m</t>
        </is>
      </c>
      <c r="AA383" s="3" t="inlineStr">
        <is>
          <t>2021-08-20</t>
        </is>
      </c>
    </row>
    <row r="384">
      <c r="A384" s="3" t="inlineStr">
        <is>
          <t>세종특별자치시 나성동 829</t>
        </is>
      </c>
      <c r="B384" s="3" t="inlineStr">
        <is>
          <t>중심상업지역</t>
        </is>
      </c>
      <c r="C384" s="3" t="inlineStr">
        <is>
          <t>대</t>
        </is>
      </c>
      <c r="D384" s="3" t="inlineStr">
        <is>
          <t>공장</t>
        </is>
      </c>
      <c r="E384" s="3" t="inlineStr">
        <is>
          <t>월세</t>
        </is>
      </c>
      <c r="F384" s="4" t="n">
        <v>2000</v>
      </c>
      <c r="G384" s="4" t="n">
        <v>140</v>
      </c>
      <c r="H384" s="4" t="n">
        <v>1200</v>
      </c>
      <c r="I384" s="4" t="n">
        <v>363</v>
      </c>
      <c r="J384" s="5" t="n">
        <v>0.4</v>
      </c>
      <c r="K384" s="4" t="n">
        <v>192</v>
      </c>
      <c r="L384" s="4" t="n">
        <v>58</v>
      </c>
      <c r="M384" s="5" t="n">
        <v>2.4</v>
      </c>
      <c r="N384" s="3" t="inlineStr">
        <is>
          <t>1</t>
        </is>
      </c>
      <c r="O384" s="3" t="inlineStr">
        <is>
          <t>-</t>
        </is>
      </c>
      <c r="P384" s="3" t="inlineStr">
        <is>
          <t>청주,식품공장가능,제조업소및창고</t>
        </is>
      </c>
      <c r="Q384" s="6">
        <f>HYPERLINK("https://fin.land.naver.com/articles/2648127111", "매물Link")</f>
        <v/>
      </c>
      <c r="R384" s="6">
        <f>HYPERLINK("https://map.naver.com/p/search/세종특별자치시 나성동 829", "지도Link")</f>
        <v/>
      </c>
      <c r="S384" s="6">
        <f>HYPERLINK("http://www.eum.go.kr/web/ar/lu/luLandDet.jsp?pnu=3611010700108290000&amp;isNoScr=script&amp;mode=search", "토지이음")</f>
        <v/>
      </c>
      <c r="T384" s="3" t="inlineStr">
        <is>
          <t>LBA리치아노합동사무소</t>
        </is>
      </c>
      <c r="U384" s="3" t="n">
        <v>2</v>
      </c>
      <c r="V384" s="3" t="inlineStr">
        <is>
          <t>공동주택 주민공동시설</t>
        </is>
      </c>
      <c r="W384" s="4" t="n">
        <v>192</v>
      </c>
      <c r="X384" s="3" t="inlineStr">
        <is>
          <t>철근콘크리트구조</t>
        </is>
      </c>
      <c r="Y384" s="3" t="inlineStr">
        <is>
          <t>공동주택</t>
        </is>
      </c>
      <c r="Z384" s="3" t="inlineStr">
        <is>
          <t>-m</t>
        </is>
      </c>
      <c r="AA384" s="3" t="inlineStr">
        <is>
          <t>2021-08-20</t>
        </is>
      </c>
    </row>
    <row r="385">
      <c r="A385" s="3" t="inlineStr">
        <is>
          <t>세종특별자치시 나성동 829</t>
        </is>
      </c>
      <c r="B385" s="3" t="inlineStr">
        <is>
          <t>중심상업지역</t>
        </is>
      </c>
      <c r="C385" s="3" t="inlineStr">
        <is>
          <t>대</t>
        </is>
      </c>
      <c r="D385" s="3" t="inlineStr">
        <is>
          <t>공장</t>
        </is>
      </c>
      <c r="E385" s="3" t="inlineStr">
        <is>
          <t>월세</t>
        </is>
      </c>
      <c r="F385" s="4" t="n">
        <v>1000</v>
      </c>
      <c r="G385" s="4" t="n">
        <v>130</v>
      </c>
      <c r="H385" s="4" t="n">
        <v>4048</v>
      </c>
      <c r="I385" s="4" t="n">
        <v>1225</v>
      </c>
      <c r="J385" s="5" t="n">
        <v>0.1</v>
      </c>
      <c r="K385" s="4" t="n">
        <v>280</v>
      </c>
      <c r="L385" s="4" t="n">
        <v>85</v>
      </c>
      <c r="M385" s="5" t="n">
        <v>1.5</v>
      </c>
      <c r="N385" s="3" t="inlineStr">
        <is>
          <t>1</t>
        </is>
      </c>
      <c r="O385" s="3" t="inlineStr">
        <is>
          <t>-</t>
        </is>
      </c>
      <c r="P385" s="3" t="inlineStr">
        <is>
          <t>내수,공장및창고</t>
        </is>
      </c>
      <c r="Q385" s="6">
        <f>HYPERLINK("https://fin.land.naver.com/articles/2646763572", "매물Link")</f>
        <v/>
      </c>
      <c r="R385" s="6">
        <f>HYPERLINK("https://map.naver.com/p/search/세종특별자치시 나성동 829", "지도Link")</f>
        <v/>
      </c>
      <c r="S385" s="6">
        <f>HYPERLINK("http://www.eum.go.kr/web/ar/lu/luLandDet.jsp?pnu=3611010700108290000&amp;isNoScr=script&amp;mode=search", "토지이음")</f>
        <v/>
      </c>
      <c r="T385" s="3" t="inlineStr">
        <is>
          <t>LBA리치아노합동사무소</t>
        </is>
      </c>
      <c r="U385" s="3" t="n">
        <v>1</v>
      </c>
      <c r="V385" s="3" t="inlineStr">
        <is>
          <t>공동주택 기계실/열교환기실/펌프실</t>
        </is>
      </c>
      <c r="W385" s="4" t="n">
        <v>280</v>
      </c>
      <c r="X385" s="3" t="inlineStr">
        <is>
          <t>철근콘크리트구조</t>
        </is>
      </c>
      <c r="Y385" s="3" t="inlineStr">
        <is>
          <t>공동주택</t>
        </is>
      </c>
      <c r="Z385" s="3" t="inlineStr">
        <is>
          <t>-m</t>
        </is>
      </c>
      <c r="AA385" s="3" t="inlineStr">
        <is>
          <t>2021-08-20</t>
        </is>
      </c>
    </row>
    <row r="386">
      <c r="A386" s="3" t="inlineStr">
        <is>
          <t>세종특별자치시 나성동 829</t>
        </is>
      </c>
      <c r="B386" s="3" t="inlineStr">
        <is>
          <t>중심상업지역</t>
        </is>
      </c>
      <c r="C386" s="3" t="inlineStr">
        <is>
          <t>대</t>
        </is>
      </c>
      <c r="D386" s="3" t="inlineStr">
        <is>
          <t>창고</t>
        </is>
      </c>
      <c r="E386" s="3" t="inlineStr">
        <is>
          <t>월세</t>
        </is>
      </c>
      <c r="F386" s="4" t="n">
        <v>3000</v>
      </c>
      <c r="G386" s="4" t="n">
        <v>230</v>
      </c>
      <c r="H386" s="4" t="n">
        <v>909</v>
      </c>
      <c r="I386" s="4" t="n">
        <v>275</v>
      </c>
      <c r="J386" s="5" t="n">
        <v>0.8</v>
      </c>
      <c r="K386" s="4" t="n">
        <v>267</v>
      </c>
      <c r="L386" s="4" t="n">
        <v>81</v>
      </c>
      <c r="M386" s="5" t="n">
        <v>2.8</v>
      </c>
      <c r="N386" s="3" t="inlineStr">
        <is>
          <t>1</t>
        </is>
      </c>
      <c r="O386" s="3" t="inlineStr">
        <is>
          <t>-</t>
        </is>
      </c>
      <c r="P386" s="3" t="inlineStr">
        <is>
          <t>1층창고,2층사무실,단독</t>
        </is>
      </c>
      <c r="Q386" s="6">
        <f>HYPERLINK("https://fin.land.naver.com/articles/2646776473", "매물Link")</f>
        <v/>
      </c>
      <c r="R386" s="6">
        <f>HYPERLINK("https://map.naver.com/p/search/세종특별자치시 나성동 829", "지도Link")</f>
        <v/>
      </c>
      <c r="S386" s="6">
        <f>HYPERLINK("http://www.eum.go.kr/web/ar/lu/luLandDet.jsp?pnu=3611010700108290000&amp;isNoScr=script&amp;mode=search", "토지이음")</f>
        <v/>
      </c>
      <c r="T386" s="3" t="inlineStr">
        <is>
          <t>LBA리치아노합동사무소</t>
        </is>
      </c>
      <c r="U386" s="3" t="n">
        <v>1</v>
      </c>
      <c r="V386" s="3" t="inlineStr">
        <is>
          <t>근린생활시설 기계실</t>
        </is>
      </c>
      <c r="W386" s="4" t="n">
        <v>267</v>
      </c>
      <c r="X386" s="3" t="inlineStr">
        <is>
          <t>철근콘크리트구조</t>
        </is>
      </c>
      <c r="Y386" s="3" t="inlineStr">
        <is>
          <t>제2종근린생활시설</t>
        </is>
      </c>
      <c r="Z386" s="3" t="inlineStr">
        <is>
          <t>-m</t>
        </is>
      </c>
      <c r="AA386" s="3" t="inlineStr">
        <is>
          <t>2021-08-20</t>
        </is>
      </c>
    </row>
    <row r="387">
      <c r="A387" s="3" t="inlineStr">
        <is>
          <t>세종특별자치시 나성동 829</t>
        </is>
      </c>
      <c r="B387" s="3" t="inlineStr">
        <is>
          <t>중심상업지역</t>
        </is>
      </c>
      <c r="C387" s="3" t="inlineStr">
        <is>
          <t>대</t>
        </is>
      </c>
      <c r="D387" s="3" t="inlineStr">
        <is>
          <t>창고</t>
        </is>
      </c>
      <c r="E387" s="3" t="inlineStr">
        <is>
          <t>월세</t>
        </is>
      </c>
      <c r="F387" s="4" t="n">
        <v>3000</v>
      </c>
      <c r="G387" s="4" t="n">
        <v>230</v>
      </c>
      <c r="H387" s="4" t="n">
        <v>909</v>
      </c>
      <c r="I387" s="4" t="n">
        <v>275</v>
      </c>
      <c r="J387" s="5" t="n">
        <v>0.8</v>
      </c>
      <c r="K387" s="4" t="n">
        <v>267</v>
      </c>
      <c r="L387" s="4" t="n">
        <v>81</v>
      </c>
      <c r="M387" s="5" t="n">
        <v>2.8</v>
      </c>
      <c r="N387" s="3" t="inlineStr">
        <is>
          <t>1</t>
        </is>
      </c>
      <c r="O387" s="3" t="inlineStr">
        <is>
          <t>-</t>
        </is>
      </c>
      <c r="P387" s="3" t="inlineStr">
        <is>
          <t>청주,1층창고,2층사무실</t>
        </is>
      </c>
      <c r="Q387" s="6">
        <f>HYPERLINK("https://fin.land.naver.com/articles/2646779840", "매물Link")</f>
        <v/>
      </c>
      <c r="R387" s="6">
        <f>HYPERLINK("https://map.naver.com/p/search/세종특별자치시 나성동 829", "지도Link")</f>
        <v/>
      </c>
      <c r="S387" s="6">
        <f>HYPERLINK("http://www.eum.go.kr/web/ar/lu/luLandDet.jsp?pnu=3611010700108290000&amp;isNoScr=script&amp;mode=search", "토지이음")</f>
        <v/>
      </c>
      <c r="T387" s="3" t="inlineStr">
        <is>
          <t>LBA리치아노합동사무소</t>
        </is>
      </c>
      <c r="U387" s="3" t="n">
        <v>1</v>
      </c>
      <c r="V387" s="3" t="inlineStr">
        <is>
          <t>근린생활시설 기계실</t>
        </is>
      </c>
      <c r="W387" s="4" t="n">
        <v>267</v>
      </c>
      <c r="X387" s="3" t="inlineStr">
        <is>
          <t>철근콘크리트구조</t>
        </is>
      </c>
      <c r="Y387" s="3" t="inlineStr">
        <is>
          <t>제2종근린생활시설</t>
        </is>
      </c>
      <c r="Z387" s="3" t="inlineStr">
        <is>
          <t>-m</t>
        </is>
      </c>
      <c r="AA387" s="3" t="inlineStr">
        <is>
          <t>2021-08-20</t>
        </is>
      </c>
    </row>
    <row r="388">
      <c r="A388" s="3" t="inlineStr">
        <is>
          <t>세종특별자치시 나성동 829</t>
        </is>
      </c>
      <c r="B388" s="3" t="inlineStr">
        <is>
          <t>중심상업지역</t>
        </is>
      </c>
      <c r="C388" s="3" t="inlineStr">
        <is>
          <t>대</t>
        </is>
      </c>
      <c r="D388" s="3" t="inlineStr">
        <is>
          <t>공장</t>
        </is>
      </c>
      <c r="E388" s="3" t="inlineStr">
        <is>
          <t>월세</t>
        </is>
      </c>
      <c r="F388" s="4" t="n">
        <v>4000</v>
      </c>
      <c r="G388" s="4" t="n">
        <v>400</v>
      </c>
      <c r="H388" s="4" t="n">
        <v>2644</v>
      </c>
      <c r="I388" s="4" t="n">
        <v>800</v>
      </c>
      <c r="J388" s="5" t="n">
        <v>0.5</v>
      </c>
      <c r="K388" s="4" t="n">
        <v>495</v>
      </c>
      <c r="L388" s="4" t="n">
        <v>150</v>
      </c>
      <c r="M388" s="5" t="n">
        <v>2.7</v>
      </c>
      <c r="N388" s="3" t="inlineStr">
        <is>
          <t>1</t>
        </is>
      </c>
      <c r="O388" s="3" t="inlineStr">
        <is>
          <t>-</t>
        </is>
      </c>
      <c r="P388" s="3" t="inlineStr">
        <is>
          <t>호이스트3톤2기 마당야적가능 현,철강공장 공실 바로입주</t>
        </is>
      </c>
      <c r="Q388" s="6">
        <f>HYPERLINK("https://fin.land.naver.com/articles/2647014189", "매물Link")</f>
        <v/>
      </c>
      <c r="R388" s="6">
        <f>HYPERLINK("https://map.naver.com/p/search/세종특별자치시 나성동 829", "지도Link")</f>
        <v/>
      </c>
      <c r="S388" s="6">
        <f>HYPERLINK("http://www.eum.go.kr/web/ar/lu/luLandDet.jsp?pnu=3611010700108290000&amp;isNoScr=script&amp;mode=search", "토지이음")</f>
        <v/>
      </c>
      <c r="T388" s="3" t="inlineStr">
        <is>
          <t>공장365</t>
        </is>
      </c>
      <c r="U388" s="3" t="n">
        <v>1</v>
      </c>
      <c r="V388" s="3" t="inlineStr">
        <is>
          <t>전망공간 기계실</t>
        </is>
      </c>
      <c r="W388" s="4" t="n">
        <v>495</v>
      </c>
      <c r="X388" s="3" t="inlineStr">
        <is>
          <t>철근콘크리트구조</t>
        </is>
      </c>
      <c r="Y388" s="3" t="inlineStr">
        <is>
          <t>제2종근린생활시설</t>
        </is>
      </c>
      <c r="Z388" s="3" t="inlineStr">
        <is>
          <t>-m</t>
        </is>
      </c>
      <c r="AA388" s="3" t="inlineStr">
        <is>
          <t>2021-08-20</t>
        </is>
      </c>
    </row>
    <row r="389">
      <c r="A389" s="3" t="inlineStr">
        <is>
          <t>세종특별자치시 나성동 829</t>
        </is>
      </c>
      <c r="B389" s="3" t="inlineStr">
        <is>
          <t>중심상업지역</t>
        </is>
      </c>
      <c r="C389" s="3" t="inlineStr">
        <is>
          <t>대</t>
        </is>
      </c>
      <c r="D389" s="3" t="inlineStr">
        <is>
          <t>공장</t>
        </is>
      </c>
      <c r="E389" s="3" t="inlineStr">
        <is>
          <t>매매</t>
        </is>
      </c>
      <c r="F389" s="4" t="n">
        <v>280000</v>
      </c>
      <c r="G389" s="4" t="n">
        <v>0</v>
      </c>
      <c r="H389" s="4" t="n">
        <v>2726</v>
      </c>
      <c r="I389" s="4" t="n">
        <v>825</v>
      </c>
      <c r="J389" s="5" t="n">
        <v>339.4</v>
      </c>
      <c r="K389" s="4" t="n">
        <v>1068</v>
      </c>
      <c r="L389" s="4" t="n">
        <v>323</v>
      </c>
      <c r="M389" s="5" t="n">
        <v>866.9</v>
      </c>
      <c r="N389" s="3" t="inlineStr">
        <is>
          <t>2</t>
        </is>
      </c>
      <c r="O389" s="3" t="inlineStr">
        <is>
          <t>-</t>
        </is>
      </c>
      <c r="P389" s="3" t="inlineStr">
        <is>
          <t>2층형 반도체 제조 공장, 시설 최상급</t>
        </is>
      </c>
      <c r="Q389" s="6">
        <f>HYPERLINK("https://fin.land.naver.com/articles/2647577821", "매물Link")</f>
        <v/>
      </c>
      <c r="R389" s="6">
        <f>HYPERLINK("https://map.naver.com/p/search/세종특별자치시 나성동 829", "지도Link")</f>
        <v/>
      </c>
      <c r="S389" s="6">
        <f>HYPERLINK("http://www.eum.go.kr/web/ar/lu/luLandDet.jsp?pnu=3611010700108290000&amp;isNoScr=script&amp;mode=search", "토지이음")</f>
        <v/>
      </c>
      <c r="T389" s="3" t="inlineStr">
        <is>
          <t>태경합동</t>
        </is>
      </c>
      <c r="U389" s="3" t="n">
        <v>1</v>
      </c>
      <c r="V389" s="3" t="inlineStr">
        <is>
          <t>604</t>
        </is>
      </c>
      <c r="W389" s="4" t="n">
        <v>1068</v>
      </c>
      <c r="X389" s="3" t="inlineStr">
        <is>
          <t>철근콘크리트구조</t>
        </is>
      </c>
      <c r="Y389" s="3" t="inlineStr">
        <is>
          <t>공동주택</t>
        </is>
      </c>
      <c r="Z389" s="3" t="inlineStr">
        <is>
          <t>38.30m</t>
        </is>
      </c>
      <c r="AA389" s="3" t="inlineStr">
        <is>
          <t>2021-08-20</t>
        </is>
      </c>
    </row>
    <row r="390">
      <c r="A390" s="3" t="inlineStr">
        <is>
          <t>세종특별자치시 나성동 829</t>
        </is>
      </c>
      <c r="B390" s="3" t="inlineStr">
        <is>
          <t>중심상업지역</t>
        </is>
      </c>
      <c r="C390" s="3" t="inlineStr">
        <is>
          <t>대</t>
        </is>
      </c>
      <c r="D390" s="3" t="inlineStr">
        <is>
          <t>공장</t>
        </is>
      </c>
      <c r="E390" s="3" t="inlineStr">
        <is>
          <t>월세</t>
        </is>
      </c>
      <c r="F390" s="4" t="n">
        <v>3000</v>
      </c>
      <c r="G390" s="4" t="n">
        <v>220</v>
      </c>
      <c r="H390" s="4" t="n">
        <v>1811</v>
      </c>
      <c r="I390" s="4" t="n">
        <v>548</v>
      </c>
      <c r="J390" s="5" t="n">
        <v>0.4</v>
      </c>
      <c r="K390" s="4" t="n">
        <v>196</v>
      </c>
      <c r="L390" s="4" t="n">
        <v>59</v>
      </c>
      <c r="M390" s="5" t="n">
        <v>3.7</v>
      </c>
      <c r="N390" s="3" t="inlineStr">
        <is>
          <t>1</t>
        </is>
      </c>
      <c r="O390" s="3" t="inlineStr">
        <is>
          <t>-</t>
        </is>
      </c>
      <c r="P390" s="3" t="inlineStr">
        <is>
          <t>신축  마당넓은 공장, 진출입 용이함,</t>
        </is>
      </c>
      <c r="Q390" s="6">
        <f>HYPERLINK("https://fin.land.naver.com/articles/2646126202", "매물Link")</f>
        <v/>
      </c>
      <c r="R390" s="6">
        <f>HYPERLINK("https://map.naver.com/p/search/세종특별자치시 나성동 829", "지도Link")</f>
        <v/>
      </c>
      <c r="S390" s="6">
        <f>HYPERLINK("http://www.eum.go.kr/web/ar/lu/luLandDet.jsp?pnu=3611010700108290000&amp;isNoScr=script&amp;mode=search", "토지이음")</f>
        <v/>
      </c>
      <c r="T390" s="3" t="inlineStr">
        <is>
          <t>용암</t>
        </is>
      </c>
      <c r="U390" s="3" t="n">
        <v>1</v>
      </c>
      <c r="V390" s="3" t="inlineStr">
        <is>
          <t>공동주택 주민공동시설</t>
        </is>
      </c>
      <c r="W390" s="4" t="n">
        <v>196</v>
      </c>
      <c r="X390" s="3" t="inlineStr">
        <is>
          <t>철근콘크리트구조</t>
        </is>
      </c>
      <c r="Y390" s="3" t="inlineStr">
        <is>
          <t>공동주택</t>
        </is>
      </c>
      <c r="Z390" s="3" t="inlineStr">
        <is>
          <t>-m</t>
        </is>
      </c>
      <c r="AA390" s="3" t="inlineStr">
        <is>
          <t>2021-08-20</t>
        </is>
      </c>
    </row>
    <row r="391">
      <c r="A391" s="3" t="inlineStr">
        <is>
          <t>세종특별자치시 나성동 829</t>
        </is>
      </c>
      <c r="B391" s="3" t="inlineStr">
        <is>
          <t>중심상업지역</t>
        </is>
      </c>
      <c r="C391" s="3" t="inlineStr">
        <is>
          <t>대</t>
        </is>
      </c>
      <c r="D391" s="3" t="inlineStr">
        <is>
          <t>공장</t>
        </is>
      </c>
      <c r="E391" s="3" t="inlineStr">
        <is>
          <t>매매</t>
        </is>
      </c>
      <c r="F391" s="4" t="n">
        <v>57000</v>
      </c>
      <c r="G391" s="4" t="n">
        <v>0</v>
      </c>
      <c r="H391" s="4" t="n">
        <v>1006</v>
      </c>
      <c r="I391" s="4" t="n">
        <v>304</v>
      </c>
      <c r="J391" s="5" t="n">
        <v>187.5</v>
      </c>
      <c r="K391" s="4" t="n">
        <v>198</v>
      </c>
      <c r="L391" s="4" t="n">
        <v>60</v>
      </c>
      <c r="M391" s="5" t="n">
        <v>950</v>
      </c>
      <c r="N391" s="3" t="inlineStr">
        <is>
          <t>1</t>
        </is>
      </c>
      <c r="O391" s="3" t="inlineStr">
        <is>
          <t>-</t>
        </is>
      </c>
      <c r="P391" s="3" t="inlineStr">
        <is>
          <t>충청대로 4차선대로 광고효과 좋고 차량 진입좋은 소형공장매매</t>
        </is>
      </c>
      <c r="Q391" s="6">
        <f>HYPERLINK("https://fin.land.naver.com/articles/2648089825", "매물Link")</f>
        <v/>
      </c>
      <c r="R391" s="6">
        <f>HYPERLINK("https://map.naver.com/p/search/세종특별자치시 나성동 829", "지도Link")</f>
        <v/>
      </c>
      <c r="S391" s="6">
        <f>HYPERLINK("http://www.eum.go.kr/web/ar/lu/luLandDet.jsp?pnu=3611010700108290000&amp;isNoScr=script&amp;mode=search", "토지이음")</f>
        <v/>
      </c>
      <c r="T391" s="3" t="inlineStr">
        <is>
          <t>더원</t>
        </is>
      </c>
      <c r="U391" s="3" t="n">
        <v>1</v>
      </c>
      <c r="V391" s="3" t="inlineStr">
        <is>
          <t>공동주택 주민공동시설</t>
        </is>
      </c>
      <c r="W391" s="4" t="n">
        <v>198</v>
      </c>
      <c r="X391" s="3" t="inlineStr">
        <is>
          <t>철근콘크리트구조</t>
        </is>
      </c>
      <c r="Y391" s="3" t="inlineStr">
        <is>
          <t>공동주택</t>
        </is>
      </c>
      <c r="Z391" s="3" t="inlineStr">
        <is>
          <t>-m</t>
        </is>
      </c>
      <c r="AA391" s="3" t="inlineStr">
        <is>
          <t>2021-08-20</t>
        </is>
      </c>
    </row>
    <row r="392">
      <c r="A392" s="3" t="inlineStr">
        <is>
          <t>세종특별자치시 나성동 829</t>
        </is>
      </c>
      <c r="B392" s="3" t="inlineStr">
        <is>
          <t>중심상업지역</t>
        </is>
      </c>
      <c r="C392" s="3" t="inlineStr">
        <is>
          <t>대</t>
        </is>
      </c>
      <c r="D392" s="3" t="inlineStr">
        <is>
          <t>공장</t>
        </is>
      </c>
      <c r="E392" s="3" t="inlineStr">
        <is>
          <t>매매</t>
        </is>
      </c>
      <c r="F392" s="4" t="n">
        <v>75000</v>
      </c>
      <c r="G392" s="4" t="n">
        <v>0</v>
      </c>
      <c r="H392" s="4" t="n">
        <v>1223</v>
      </c>
      <c r="I392" s="4" t="n">
        <v>370</v>
      </c>
      <c r="J392" s="5" t="n">
        <v>202.7</v>
      </c>
      <c r="K392" s="4" t="n">
        <v>384</v>
      </c>
      <c r="L392" s="4" t="n">
        <v>116</v>
      </c>
      <c r="M392" s="5" t="n">
        <v>646.6</v>
      </c>
      <c r="N392" s="3" t="inlineStr">
        <is>
          <t>1</t>
        </is>
      </c>
      <c r="O392" s="3" t="inlineStr">
        <is>
          <t>-</t>
        </is>
      </c>
      <c r="P392" s="3" t="inlineStr">
        <is>
          <t>학평리 풍정교차로인접  소형공장 식품공장가능 2종근린생활 제조업</t>
        </is>
      </c>
      <c r="Q392" s="6">
        <f>HYPERLINK("https://fin.land.naver.com/articles/2648089830", "매물Link")</f>
        <v/>
      </c>
      <c r="R392" s="6">
        <f>HYPERLINK("https://map.naver.com/p/search/세종특별자치시 나성동 829", "지도Link")</f>
        <v/>
      </c>
      <c r="S392" s="6">
        <f>HYPERLINK("http://www.eum.go.kr/web/ar/lu/luLandDet.jsp?pnu=3611010700108290000&amp;isNoScr=script&amp;mode=search", "토지이음")</f>
        <v/>
      </c>
      <c r="T392" s="3" t="inlineStr">
        <is>
          <t>더원</t>
        </is>
      </c>
      <c r="U392" s="3" t="n">
        <v>1</v>
      </c>
      <c r="V392" s="3" t="inlineStr">
        <is>
          <t>전망공간 기계실</t>
        </is>
      </c>
      <c r="W392" s="4" t="n">
        <v>384</v>
      </c>
      <c r="X392" s="3" t="inlineStr">
        <is>
          <t>철근콘크리트구조</t>
        </is>
      </c>
      <c r="Y392" s="3" t="inlineStr">
        <is>
          <t>제2종근린생활시설</t>
        </is>
      </c>
      <c r="Z392" s="3" t="inlineStr">
        <is>
          <t>-m</t>
        </is>
      </c>
      <c r="AA392" s="3" t="inlineStr">
        <is>
          <t>2021-08-20</t>
        </is>
      </c>
    </row>
    <row r="393">
      <c r="A393" s="3" t="inlineStr">
        <is>
          <t>세종특별자치시 나성동 829</t>
        </is>
      </c>
      <c r="B393" s="3" t="inlineStr">
        <is>
          <t>중심상업지역</t>
        </is>
      </c>
      <c r="C393" s="3" t="inlineStr">
        <is>
          <t>대</t>
        </is>
      </c>
      <c r="D393" s="3" t="inlineStr">
        <is>
          <t>공장</t>
        </is>
      </c>
      <c r="E393" s="3" t="inlineStr">
        <is>
          <t>매매</t>
        </is>
      </c>
      <c r="F393" s="4" t="n">
        <v>75000</v>
      </c>
      <c r="G393" s="4" t="n">
        <v>0</v>
      </c>
      <c r="H393" s="4" t="n">
        <v>1000</v>
      </c>
      <c r="I393" s="4" t="n">
        <v>302</v>
      </c>
      <c r="J393" s="5" t="n">
        <v>248.3</v>
      </c>
      <c r="K393" s="4" t="n">
        <v>380</v>
      </c>
      <c r="L393" s="4" t="n">
        <v>115</v>
      </c>
      <c r="M393" s="5" t="n">
        <v>652.2</v>
      </c>
      <c r="N393" s="3" t="inlineStr">
        <is>
          <t>1</t>
        </is>
      </c>
      <c r="O393" s="3" t="inlineStr">
        <is>
          <t>-</t>
        </is>
      </c>
      <c r="P393" s="3" t="inlineStr">
        <is>
          <t>학평리 소형공장 식품공장가능 2종근린생활 제조업</t>
        </is>
      </c>
      <c r="Q393" s="6">
        <f>HYPERLINK("https://fin.land.naver.com/articles/2648089862", "매물Link")</f>
        <v/>
      </c>
      <c r="R393" s="6">
        <f>HYPERLINK("https://map.naver.com/p/search/세종특별자치시 나성동 829", "지도Link")</f>
        <v/>
      </c>
      <c r="S393" s="6">
        <f>HYPERLINK("http://www.eum.go.kr/web/ar/lu/luLandDet.jsp?pnu=3611010700108290000&amp;isNoScr=script&amp;mode=search", "토지이음")</f>
        <v/>
      </c>
      <c r="T393" s="3" t="inlineStr">
        <is>
          <t>더원</t>
        </is>
      </c>
      <c r="U393" s="3" t="n">
        <v>1</v>
      </c>
      <c r="V393" s="3" t="inlineStr">
        <is>
          <t>전망공간 기계실</t>
        </is>
      </c>
      <c r="W393" s="4" t="n">
        <v>380</v>
      </c>
      <c r="X393" s="3" t="inlineStr">
        <is>
          <t>철근콘크리트구조</t>
        </is>
      </c>
      <c r="Y393" s="3" t="inlineStr">
        <is>
          <t>제2종근린생활시설</t>
        </is>
      </c>
      <c r="Z393" s="3" t="inlineStr">
        <is>
          <t>-m</t>
        </is>
      </c>
      <c r="AA393" s="3" t="inlineStr">
        <is>
          <t>2021-08-20</t>
        </is>
      </c>
    </row>
    <row r="394">
      <c r="A394" s="3" t="inlineStr">
        <is>
          <t>세종특별자치시 나성동 829</t>
        </is>
      </c>
      <c r="B394" s="3" t="inlineStr">
        <is>
          <t>중심상업지역</t>
        </is>
      </c>
      <c r="C394" s="3" t="inlineStr">
        <is>
          <t>대</t>
        </is>
      </c>
      <c r="D394" s="3" t="inlineStr">
        <is>
          <t>창고</t>
        </is>
      </c>
      <c r="E394" s="3" t="inlineStr">
        <is>
          <t>월세</t>
        </is>
      </c>
      <c r="F394" s="4" t="n">
        <v>10000</v>
      </c>
      <c r="G394" s="4" t="n">
        <v>0</v>
      </c>
      <c r="H394" s="4" t="n">
        <v>4431</v>
      </c>
      <c r="I394" s="4" t="n">
        <v>1340</v>
      </c>
      <c r="J394" s="5" t="n">
        <v>0</v>
      </c>
      <c r="K394" s="4" t="n">
        <v>1693</v>
      </c>
      <c r="L394" s="4" t="n">
        <v>512</v>
      </c>
      <c r="M394" s="5" t="n">
        <v>0</v>
      </c>
      <c r="N394" s="3" t="inlineStr">
        <is>
          <t>1</t>
        </is>
      </c>
      <c r="O394" s="3" t="inlineStr">
        <is>
          <t>-</t>
        </is>
      </c>
      <c r="P394" s="3" t="inlineStr">
        <is>
          <t>청주,창고,단독</t>
        </is>
      </c>
      <c r="Q394" s="6">
        <f>HYPERLINK("https://fin.land.naver.com/articles/2648118172", "매물Link")</f>
        <v/>
      </c>
      <c r="R394" s="6">
        <f>HYPERLINK("https://map.naver.com/p/search/세종특별자치시 나성동 829", "지도Link")</f>
        <v/>
      </c>
      <c r="S394" s="6">
        <f>HYPERLINK("http://www.eum.go.kr/web/ar/lu/luLandDet.jsp?pnu=3611010700108290000&amp;isNoScr=script&amp;mode=search", "토지이음")</f>
        <v/>
      </c>
      <c r="T394" s="3" t="inlineStr">
        <is>
          <t>LBA리치아노합동사무소</t>
        </is>
      </c>
      <c r="U394" s="3" t="n">
        <v>1</v>
      </c>
      <c r="V394" s="3" t="inlineStr">
        <is>
          <t>901(전망공간)</t>
        </is>
      </c>
      <c r="W394" s="4" t="n">
        <v>1693</v>
      </c>
      <c r="X394" s="3" t="inlineStr">
        <is>
          <t>철근콘크리트구조</t>
        </is>
      </c>
      <c r="Y394" s="3" t="inlineStr">
        <is>
          <t>제2종근린생활시설</t>
        </is>
      </c>
      <c r="Z394" s="3" t="inlineStr">
        <is>
          <t>-m</t>
        </is>
      </c>
      <c r="AA394" s="3" t="inlineStr">
        <is>
          <t>2021-08-20</t>
        </is>
      </c>
    </row>
    <row r="395">
      <c r="A395" s="3" t="inlineStr">
        <is>
          <t>세종특별자치시 나성동 829</t>
        </is>
      </c>
      <c r="B395" s="3" t="inlineStr">
        <is>
          <t>중심상업지역</t>
        </is>
      </c>
      <c r="C395" s="3" t="inlineStr">
        <is>
          <t>대</t>
        </is>
      </c>
      <c r="D395" s="3" t="inlineStr">
        <is>
          <t>공장</t>
        </is>
      </c>
      <c r="E395" s="3" t="inlineStr">
        <is>
          <t>매매</t>
        </is>
      </c>
      <c r="F395" s="4" t="n">
        <v>180000</v>
      </c>
      <c r="G395" s="4" t="n">
        <v>0</v>
      </c>
      <c r="H395" s="4" t="n">
        <v>3876</v>
      </c>
      <c r="I395" s="4" t="n">
        <v>1172</v>
      </c>
      <c r="J395" s="5" t="n">
        <v>153.6</v>
      </c>
      <c r="K395" s="4" t="n">
        <v>722</v>
      </c>
      <c r="L395" s="4" t="n">
        <v>218</v>
      </c>
      <c r="M395" s="5" t="n">
        <v>825.7</v>
      </c>
      <c r="N395" s="3" t="inlineStr">
        <is>
          <t>1</t>
        </is>
      </c>
      <c r="O395" s="3" t="inlineStr">
        <is>
          <t>-</t>
        </is>
      </c>
      <c r="P395" s="3" t="inlineStr">
        <is>
          <t>2차선접.공장2동.접근성교통좋고 주변가까이에산업단지등</t>
        </is>
      </c>
      <c r="Q395" s="6">
        <f>HYPERLINK("https://fin.land.naver.com/articles/2649900711", "매물Link")</f>
        <v/>
      </c>
      <c r="R395" s="6">
        <f>HYPERLINK("https://map.naver.com/p/search/세종특별자치시 나성동 829", "지도Link")</f>
        <v/>
      </c>
      <c r="S395" s="6">
        <f>HYPERLINK("http://www.eum.go.kr/web/ar/lu/luLandDet.jsp?pnu=3611010700108290000&amp;isNoScr=script&amp;mode=search", "토지이음")</f>
        <v/>
      </c>
      <c r="T395" s="3" t="inlineStr">
        <is>
          <t>정세영</t>
        </is>
      </c>
      <c r="U395" s="3" t="n">
        <v>1</v>
      </c>
      <c r="V395" s="3" t="inlineStr">
        <is>
          <t>803</t>
        </is>
      </c>
      <c r="W395" s="4" t="n">
        <v>722</v>
      </c>
      <c r="X395" s="3" t="inlineStr">
        <is>
          <t>철근콘크리트구조</t>
        </is>
      </c>
      <c r="Y395" s="3" t="inlineStr">
        <is>
          <t>제2종근린생활시설</t>
        </is>
      </c>
      <c r="Z395" s="3" t="inlineStr">
        <is>
          <t>-m</t>
        </is>
      </c>
      <c r="AA395" s="3" t="inlineStr">
        <is>
          <t>2021-08-20</t>
        </is>
      </c>
    </row>
    <row r="396">
      <c r="A396" s="3" t="inlineStr">
        <is>
          <t>세종특별자치시 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HYPERLINK("https://map.naver.com/p/search/세종특별자치시 나성동 829", "지도Link")</f>
        <v/>
      </c>
      <c r="S396" s="6">
        <f>HYPERLINK("http://www.eum.go.kr/web/ar/lu/luLandDet.jsp?pnu=3611010700108290000&amp;isNoScr=script&amp;mode=search", "토지이음")</f>
        <v/>
      </c>
      <c r="T396" s="3" t="inlineStr">
        <is>
          <t>더원</t>
        </is>
      </c>
      <c r="U396" s="3" t="n">
        <v>1</v>
      </c>
      <c r="V396" s="3" t="inlineStr">
        <is>
          <t>전망공간 기계실</t>
        </is>
      </c>
      <c r="W396" s="4" t="n">
        <v>519</v>
      </c>
      <c r="X396" s="3" t="inlineStr">
        <is>
          <t>철근콘크리트구조</t>
        </is>
      </c>
      <c r="Y396" s="3" t="inlineStr">
        <is>
          <t>제2종근린생활시설</t>
        </is>
      </c>
      <c r="Z396" s="3" t="inlineStr">
        <is>
          <t>-m</t>
        </is>
      </c>
      <c r="AA396" s="3" t="inlineStr">
        <is>
          <t>2021-08-20</t>
        </is>
      </c>
    </row>
    <row r="397">
      <c r="A397" s="3" t="inlineStr">
        <is>
          <t>세종특별자치시 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HYPERLINK("https://map.naver.com/p/search/세종특별자치시 나성동 829", "지도Link")</f>
        <v/>
      </c>
      <c r="S397" s="6">
        <f>HYPERLINK("http://www.eum.go.kr/web/ar/lu/luLandDet.jsp?pnu=3611010700108290000&amp;isNoScr=script&amp;mode=search", "토지이음")</f>
        <v/>
      </c>
      <c r="T397" s="3" t="inlineStr">
        <is>
          <t>더원</t>
        </is>
      </c>
      <c r="U397" s="3" t="n">
        <v>1</v>
      </c>
      <c r="V397" s="3" t="inlineStr">
        <is>
          <t>전망공간 기계실</t>
        </is>
      </c>
      <c r="W397" s="4" t="n">
        <v>492</v>
      </c>
      <c r="X397" s="3" t="inlineStr">
        <is>
          <t>철근콘크리트구조</t>
        </is>
      </c>
      <c r="Y397" s="3" t="inlineStr">
        <is>
          <t>제2종근린생활시설</t>
        </is>
      </c>
      <c r="Z397" s="3" t="inlineStr">
        <is>
          <t>-m</t>
        </is>
      </c>
      <c r="AA397" s="3" t="inlineStr">
        <is>
          <t>2021-08-20</t>
        </is>
      </c>
    </row>
    <row r="398">
      <c r="A398" s="3" t="inlineStr">
        <is>
          <t>세종특별자치시 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HYPERLINK("https://map.naver.com/p/search/세종특별자치시 나성동 829", "지도Link")</f>
        <v/>
      </c>
      <c r="S398" s="6">
        <f>HYPERLINK("http://www.eum.go.kr/web/ar/lu/luLandDet.jsp?pnu=3611010700108290000&amp;isNoScr=script&amp;mode=search", "토지이음")</f>
        <v/>
      </c>
      <c r="T398" s="3" t="inlineStr">
        <is>
          <t>더원</t>
        </is>
      </c>
      <c r="U398" s="3" t="n">
        <v>1</v>
      </c>
      <c r="V398" s="3" t="inlineStr">
        <is>
          <t>공동주택 휘트니스</t>
        </is>
      </c>
      <c r="W398" s="4" t="n">
        <v>817</v>
      </c>
      <c r="X398" s="3" t="inlineStr">
        <is>
          <t>철근콘크리트구조</t>
        </is>
      </c>
      <c r="Y398" s="3" t="inlineStr">
        <is>
          <t>공동주택</t>
        </is>
      </c>
      <c r="Z398" s="3" t="inlineStr">
        <is>
          <t>-m</t>
        </is>
      </c>
      <c r="AA398" s="3" t="inlineStr">
        <is>
          <t>2021-08-20</t>
        </is>
      </c>
    </row>
    <row r="399">
      <c r="A399" s="3" t="inlineStr">
        <is>
          <t>세종특별자치시 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HYPERLINK("https://map.naver.com/p/search/세종특별자치시 나성동 829", "지도Link")</f>
        <v/>
      </c>
      <c r="S399" s="6">
        <f>HYPERLINK("http://www.eum.go.kr/web/ar/lu/luLandDet.jsp?pnu=3611010700108290000&amp;isNoScr=script&amp;mode=search", "토지이음")</f>
        <v/>
      </c>
      <c r="T399" s="3" t="inlineStr">
        <is>
          <t>더원</t>
        </is>
      </c>
      <c r="U399" s="3" t="n">
        <v>1</v>
      </c>
      <c r="V399" s="3" t="inlineStr">
        <is>
          <t>604</t>
        </is>
      </c>
      <c r="W399" s="4" t="n">
        <v>997</v>
      </c>
      <c r="X399" s="3" t="inlineStr">
        <is>
          <t>철근콘크리트구조</t>
        </is>
      </c>
      <c r="Y399" s="3" t="inlineStr">
        <is>
          <t>공동주택</t>
        </is>
      </c>
      <c r="Z399" s="3" t="inlineStr">
        <is>
          <t>38.30m</t>
        </is>
      </c>
      <c r="AA399" s="3" t="inlineStr">
        <is>
          <t>2021-08-20</t>
        </is>
      </c>
    </row>
    <row r="400">
      <c r="A400" s="3" t="inlineStr">
        <is>
          <t>세종특별자치시 나성동 829</t>
        </is>
      </c>
      <c r="B400" s="3" t="inlineStr">
        <is>
          <t>중심상업지역</t>
        </is>
      </c>
      <c r="C400" s="3" t="inlineStr">
        <is>
          <t>대</t>
        </is>
      </c>
      <c r="D400" s="3" t="inlineStr">
        <is>
          <t>공장</t>
        </is>
      </c>
      <c r="E400" s="3" t="inlineStr">
        <is>
          <t>월세</t>
        </is>
      </c>
      <c r="F400" s="4" t="n">
        <v>35000</v>
      </c>
      <c r="G400" s="4" t="n">
        <v>0</v>
      </c>
      <c r="H400" s="4" t="n">
        <v>4533</v>
      </c>
      <c r="I400" s="4" t="n">
        <v>1371</v>
      </c>
      <c r="J400" s="5" t="n">
        <v>0</v>
      </c>
      <c r="K400" s="4" t="n">
        <v>2864</v>
      </c>
      <c r="L400" s="4" t="n">
        <v>866</v>
      </c>
      <c r="M400" s="5" t="n">
        <v>0</v>
      </c>
      <c r="N400" s="3" t="inlineStr">
        <is>
          <t>2</t>
        </is>
      </c>
      <c r="O400" s="3" t="inlineStr">
        <is>
          <t>-</t>
        </is>
      </c>
      <c r="P400" s="3" t="inlineStr">
        <is>
          <t>태성리공장 2차선 도로접함 청주 오송 세종 교통편리한곳</t>
        </is>
      </c>
      <c r="Q400" s="6">
        <f>HYPERLINK("https://fin.land.naver.com/articles/2645240694", "매물Link")</f>
        <v/>
      </c>
      <c r="R400" s="6">
        <f>HYPERLINK("https://map.naver.com/p/search/세종특별자치시 나성동 829", "지도Link")</f>
        <v/>
      </c>
      <c r="S400" s="6">
        <f>HYPERLINK("http://www.eum.go.kr/web/ar/lu/luLandDet.jsp?pnu=3611010700108290000&amp;isNoScr=script&amp;mode=search", "토지이음")</f>
        <v/>
      </c>
      <c r="T400" s="3" t="inlineStr">
        <is>
          <t>자이원</t>
        </is>
      </c>
      <c r="U400" s="3" t="n">
        <v>1</v>
      </c>
      <c r="V400" s="3" t="inlineStr">
        <is>
          <t>802</t>
        </is>
      </c>
      <c r="W400" s="4" t="n">
        <v>2864</v>
      </c>
      <c r="X400" s="3" t="inlineStr">
        <is>
          <t>철근콘크리트구조</t>
        </is>
      </c>
      <c r="Y400" s="3" t="inlineStr">
        <is>
          <t>제2종근린생활시설</t>
        </is>
      </c>
      <c r="Z400" s="3" t="inlineStr">
        <is>
          <t>-m</t>
        </is>
      </c>
      <c r="AA400" s="3" t="inlineStr">
        <is>
          <t>2021-08-20</t>
        </is>
      </c>
    </row>
    <row r="401">
      <c r="A401" s="3" t="inlineStr">
        <is>
          <t>세종특별자치시 나성동 829</t>
        </is>
      </c>
      <c r="B401" s="3" t="inlineStr">
        <is>
          <t>중심상업지역</t>
        </is>
      </c>
      <c r="C401" s="3" t="inlineStr">
        <is>
          <t>대</t>
        </is>
      </c>
      <c r="D401" s="3" t="inlineStr">
        <is>
          <t>공장</t>
        </is>
      </c>
      <c r="E401" s="3" t="inlineStr">
        <is>
          <t>매매</t>
        </is>
      </c>
      <c r="F401" s="4" t="n">
        <v>580000</v>
      </c>
      <c r="G401" s="4" t="n">
        <v>0</v>
      </c>
      <c r="H401" s="4" t="n">
        <v>8027</v>
      </c>
      <c r="I401" s="4" t="n">
        <v>2428</v>
      </c>
      <c r="J401" s="5" t="n">
        <v>238.9</v>
      </c>
      <c r="K401" s="4" t="n">
        <v>3206</v>
      </c>
      <c r="L401" s="4" t="n">
        <v>970</v>
      </c>
      <c r="M401" s="5" t="n">
        <v>597.9</v>
      </c>
      <c r="N401" s="3" t="inlineStr">
        <is>
          <t>1</t>
        </is>
      </c>
      <c r="O401" s="3" t="inlineStr">
        <is>
          <t>-</t>
        </is>
      </c>
      <c r="P401" s="3" t="inlineStr">
        <is>
          <t>2차선도로접 야드넓은 중대형 공장 청주ic 10분</t>
        </is>
      </c>
      <c r="Q401" s="6">
        <f>HYPERLINK("https://fin.land.naver.com/articles/2646022334", "매물Link")</f>
        <v/>
      </c>
      <c r="R401" s="6">
        <f>HYPERLINK("https://map.naver.com/p/search/세종특별자치시 나성동 829", "지도Link")</f>
        <v/>
      </c>
      <c r="S401" s="6">
        <f>HYPERLINK("http://www.eum.go.kr/web/ar/lu/luLandDet.jsp?pnu=3611010700108290000&amp;isNoScr=script&amp;mode=search", "토지이음")</f>
        <v/>
      </c>
      <c r="T401" s="3" t="inlineStr">
        <is>
          <t>더원</t>
        </is>
      </c>
      <c r="U401" s="3" t="n">
        <v>1</v>
      </c>
      <c r="V401" s="3" t="inlineStr">
        <is>
          <t>802</t>
        </is>
      </c>
      <c r="W401" s="4" t="n">
        <v>3206</v>
      </c>
      <c r="X401" s="3" t="inlineStr">
        <is>
          <t>철근콘크리트구조</t>
        </is>
      </c>
      <c r="Y401" s="3" t="inlineStr">
        <is>
          <t>제2종근린생활시설</t>
        </is>
      </c>
      <c r="Z401" s="3" t="inlineStr">
        <is>
          <t>-m</t>
        </is>
      </c>
      <c r="AA401" s="3" t="inlineStr">
        <is>
          <t>2021-08-20</t>
        </is>
      </c>
    </row>
    <row r="402">
      <c r="A402" s="3" t="inlineStr">
        <is>
          <t>세종특별자치시 나성동 829</t>
        </is>
      </c>
      <c r="B402" s="3" t="inlineStr">
        <is>
          <t>중심상업지역</t>
        </is>
      </c>
      <c r="C402" s="3" t="inlineStr">
        <is>
          <t>대</t>
        </is>
      </c>
      <c r="D402" s="3" t="inlineStr">
        <is>
          <t>공장</t>
        </is>
      </c>
      <c r="E402" s="3" t="inlineStr">
        <is>
          <t>매매</t>
        </is>
      </c>
      <c r="F402" s="4" t="n">
        <v>596000</v>
      </c>
      <c r="G402" s="4" t="n">
        <v>0</v>
      </c>
      <c r="H402" s="4" t="n">
        <v>8383</v>
      </c>
      <c r="I402" s="4" t="n">
        <v>2536</v>
      </c>
      <c r="J402" s="5" t="n">
        <v>235</v>
      </c>
      <c r="K402" s="4" t="n">
        <v>3333</v>
      </c>
      <c r="L402" s="4" t="n">
        <v>1008</v>
      </c>
      <c r="M402" s="5" t="n">
        <v>591.3</v>
      </c>
      <c r="N402" s="3" t="inlineStr">
        <is>
          <t>1</t>
        </is>
      </c>
      <c r="O402" s="3" t="inlineStr">
        <is>
          <t>-</t>
        </is>
      </c>
      <c r="P402" s="3" t="inlineStr">
        <is>
          <t>2차선도로 접  마당 넓고 층고 높은 신축급 공장.창고매매</t>
        </is>
      </c>
      <c r="Q402" s="6">
        <f>HYPERLINK("https://fin.land.naver.com/articles/2646022436", "매물Link")</f>
        <v/>
      </c>
      <c r="R402" s="6">
        <f>HYPERLINK("https://map.naver.com/p/search/세종특별자치시 나성동 829", "지도Link")</f>
        <v/>
      </c>
      <c r="S402" s="6">
        <f>HYPERLINK("http://www.eum.go.kr/web/ar/lu/luLandDet.jsp?pnu=3611010700108290000&amp;isNoScr=script&amp;mode=search", "토지이음")</f>
        <v/>
      </c>
      <c r="T402" s="3" t="inlineStr">
        <is>
          <t>더원</t>
        </is>
      </c>
      <c r="U402" s="3" t="n">
        <v>1</v>
      </c>
      <c r="V402" s="3" t="inlineStr">
        <is>
          <t>802</t>
        </is>
      </c>
      <c r="W402" s="4" t="n">
        <v>3333</v>
      </c>
      <c r="X402" s="3" t="inlineStr">
        <is>
          <t>철근콘크리트구조</t>
        </is>
      </c>
      <c r="Y402" s="3" t="inlineStr">
        <is>
          <t>제2종근린생활시설</t>
        </is>
      </c>
      <c r="Z402" s="3" t="inlineStr">
        <is>
          <t>-m</t>
        </is>
      </c>
      <c r="AA402" s="3" t="inlineStr">
        <is>
          <t>2021-08-20</t>
        </is>
      </c>
    </row>
    <row r="403">
      <c r="A403" s="3" t="inlineStr">
        <is>
          <t>세종특별자치시 나성동 829</t>
        </is>
      </c>
      <c r="B403" s="3" t="inlineStr">
        <is>
          <t>중심상업지역</t>
        </is>
      </c>
      <c r="C403" s="3" t="inlineStr">
        <is>
          <t>대</t>
        </is>
      </c>
      <c r="D403" s="3" t="inlineStr">
        <is>
          <t>공장</t>
        </is>
      </c>
      <c r="E403" s="3" t="inlineStr">
        <is>
          <t>매매</t>
        </is>
      </c>
      <c r="F403" s="4" t="n">
        <v>55000</v>
      </c>
      <c r="G403" s="4" t="n">
        <v>0</v>
      </c>
      <c r="H403" s="4" t="n">
        <v>672</v>
      </c>
      <c r="I403" s="4" t="n">
        <v>203</v>
      </c>
      <c r="J403" s="5" t="n">
        <v>270.9</v>
      </c>
      <c r="K403" s="4" t="n">
        <v>202</v>
      </c>
      <c r="L403" s="4" t="n">
        <v>61</v>
      </c>
      <c r="M403" s="5" t="n">
        <v>901.6</v>
      </c>
      <c r="N403" s="3" t="inlineStr">
        <is>
          <t>1</t>
        </is>
      </c>
      <c r="O403" s="3" t="inlineStr">
        <is>
          <t>-</t>
        </is>
      </c>
      <c r="P403" s="3" t="inlineStr">
        <is>
          <t>2차선도로 약간 들어간 위치 소형공장제조업소</t>
        </is>
      </c>
      <c r="Q403" s="6">
        <f>HYPERLINK("https://fin.land.naver.com/articles/2644500552", "매물Link")</f>
        <v/>
      </c>
      <c r="R403" s="6">
        <f>HYPERLINK("https://map.naver.com/p/search/세종특별자치시 나성동 829", "지도Link")</f>
        <v/>
      </c>
      <c r="S403" s="6">
        <f>HYPERLINK("http://www.eum.go.kr/web/ar/lu/luLandDet.jsp?pnu=3611010700108290000&amp;isNoScr=script&amp;mode=search", "토지이음")</f>
        <v/>
      </c>
      <c r="T403" s="3" t="inlineStr">
        <is>
          <t>더원</t>
        </is>
      </c>
      <c r="U403" s="3" t="n">
        <v>1</v>
      </c>
      <c r="V403" s="3" t="inlineStr">
        <is>
          <t>공동주택 주민공동시설</t>
        </is>
      </c>
      <c r="W403" s="4" t="n">
        <v>202</v>
      </c>
      <c r="X403" s="3" t="inlineStr">
        <is>
          <t>철근콘크리트구조</t>
        </is>
      </c>
      <c r="Y403" s="3" t="inlineStr">
        <is>
          <t>공동주택</t>
        </is>
      </c>
      <c r="Z403" s="3" t="inlineStr">
        <is>
          <t>-m</t>
        </is>
      </c>
      <c r="AA403" s="3" t="inlineStr">
        <is>
          <t>2021-08-20</t>
        </is>
      </c>
    </row>
    <row r="404">
      <c r="A404" s="3" t="inlineStr">
        <is>
          <t>세종특별자치시 나성동 829</t>
        </is>
      </c>
      <c r="B404" s="3" t="inlineStr">
        <is>
          <t>중심상업지역</t>
        </is>
      </c>
      <c r="C404" s="3" t="inlineStr">
        <is>
          <t>대</t>
        </is>
      </c>
      <c r="D404" s="3" t="inlineStr">
        <is>
          <t>공장</t>
        </is>
      </c>
      <c r="E404" s="3" t="inlineStr">
        <is>
          <t>매매</t>
        </is>
      </c>
      <c r="F404" s="4" t="n">
        <v>175000</v>
      </c>
      <c r="G404" s="4" t="n">
        <v>0</v>
      </c>
      <c r="H404" s="4" t="n">
        <v>3394</v>
      </c>
      <c r="I404" s="4" t="n">
        <v>1027</v>
      </c>
      <c r="J404" s="5" t="n">
        <v>170.4</v>
      </c>
      <c r="K404" s="4" t="n">
        <v>482</v>
      </c>
      <c r="L404" s="4" t="n">
        <v>146</v>
      </c>
      <c r="M404" s="5" t="n">
        <v>1198.6</v>
      </c>
      <c r="N404" s="3" t="inlineStr">
        <is>
          <t>2</t>
        </is>
      </c>
      <c r="O404" s="3" t="inlineStr">
        <is>
          <t>-</t>
        </is>
      </c>
      <c r="P404" s="3" t="inlineStr">
        <is>
          <t>세종청주로 인근 마당넓은 신축급 사옥형 공장 매매</t>
        </is>
      </c>
      <c r="Q404" s="6">
        <f>HYPERLINK("https://fin.land.naver.com/articles/2646667962", "매물Link")</f>
        <v/>
      </c>
      <c r="R404" s="6">
        <f>HYPERLINK("https://map.naver.com/p/search/세종특별자치시 나성동 829", "지도Link")</f>
        <v/>
      </c>
      <c r="S404" s="6">
        <f>HYPERLINK("http://www.eum.go.kr/web/ar/lu/luLandDet.jsp?pnu=3611010700108290000&amp;isNoScr=script&amp;mode=search", "토지이음")</f>
        <v/>
      </c>
      <c r="T404" s="3" t="inlineStr">
        <is>
          <t>더원</t>
        </is>
      </c>
      <c r="U404" s="3" t="n">
        <v>1</v>
      </c>
      <c r="V404" s="3" t="inlineStr">
        <is>
          <t>전망공간 기계실</t>
        </is>
      </c>
      <c r="W404" s="4" t="n">
        <v>482</v>
      </c>
      <c r="X404" s="3" t="inlineStr">
        <is>
          <t>철근콘크리트구조</t>
        </is>
      </c>
      <c r="Y404" s="3" t="inlineStr">
        <is>
          <t>제2종근린생활시설</t>
        </is>
      </c>
      <c r="Z404" s="3" t="inlineStr">
        <is>
          <t>-m</t>
        </is>
      </c>
      <c r="AA404" s="3" t="inlineStr">
        <is>
          <t>2021-08-20</t>
        </is>
      </c>
    </row>
    <row r="405">
      <c r="A405" s="3" t="inlineStr">
        <is>
          <t>세종특별자치시 나성동 829</t>
        </is>
      </c>
      <c r="B405" s="3" t="inlineStr">
        <is>
          <t>중심상업지역</t>
        </is>
      </c>
      <c r="C405" s="3" t="inlineStr">
        <is>
          <t>대</t>
        </is>
      </c>
      <c r="D405" s="3" t="inlineStr">
        <is>
          <t>공장</t>
        </is>
      </c>
      <c r="E405" s="3" t="inlineStr">
        <is>
          <t>매매</t>
        </is>
      </c>
      <c r="F405" s="4" t="n">
        <v>800000</v>
      </c>
      <c r="G405" s="4" t="n">
        <v>0</v>
      </c>
      <c r="H405" s="4" t="n">
        <v>16933</v>
      </c>
      <c r="I405" s="4" t="n">
        <v>5122</v>
      </c>
      <c r="J405" s="5" t="n">
        <v>156.2</v>
      </c>
      <c r="K405" s="4" t="n">
        <v>5728</v>
      </c>
      <c r="L405" s="4" t="n">
        <v>1733</v>
      </c>
      <c r="M405" s="5" t="n">
        <v>461.6</v>
      </c>
      <c r="N405" s="3" t="inlineStr">
        <is>
          <t>1</t>
        </is>
      </c>
      <c r="O405" s="3" t="inlineStr">
        <is>
          <t>-</t>
        </is>
      </c>
      <c r="P405" s="3" t="inlineStr">
        <is>
          <t>급매 주변시세대비 저렴한 매물 하이테크밸리 인접한 공장</t>
        </is>
      </c>
      <c r="Q405" s="6">
        <f>HYPERLINK("https://fin.land.naver.com/articles/2646022373", "매물Link")</f>
        <v/>
      </c>
      <c r="R405" s="6">
        <f>HYPERLINK("https://map.naver.com/p/search/세종특별자치시 나성동 829", "지도Link")</f>
        <v/>
      </c>
      <c r="S405" s="6">
        <f>HYPERLINK("http://www.eum.go.kr/web/ar/lu/luLandDet.jsp?pnu=3611010700108290000&amp;isNoScr=script&amp;mode=search", "토지이음")</f>
        <v/>
      </c>
      <c r="T405" s="3" t="inlineStr">
        <is>
          <t>더원</t>
        </is>
      </c>
      <c r="U405" s="3" t="n">
        <v>1</v>
      </c>
      <c r="V405" s="3" t="inlineStr">
        <is>
          <t>802</t>
        </is>
      </c>
      <c r="W405" s="4" t="n">
        <v>5728</v>
      </c>
      <c r="X405" s="3" t="inlineStr">
        <is>
          <t>철근콘크리트구조</t>
        </is>
      </c>
      <c r="Y405" s="3" t="inlineStr">
        <is>
          <t>제2종근린생활시설</t>
        </is>
      </c>
      <c r="Z405" s="3" t="inlineStr">
        <is>
          <t>-m</t>
        </is>
      </c>
      <c r="AA405" s="3" t="inlineStr">
        <is>
          <t>2021-08-20</t>
        </is>
      </c>
    </row>
    <row r="406">
      <c r="A406" s="3" t="inlineStr">
        <is>
          <t>세종특별자치시 나성동 829</t>
        </is>
      </c>
      <c r="B406" s="3" t="inlineStr">
        <is>
          <t>중심상업지역</t>
        </is>
      </c>
      <c r="C406" s="3" t="inlineStr">
        <is>
          <t>대</t>
        </is>
      </c>
      <c r="D406" s="3" t="inlineStr">
        <is>
          <t>공장</t>
        </is>
      </c>
      <c r="E406" s="3" t="inlineStr">
        <is>
          <t>월세</t>
        </is>
      </c>
      <c r="F406" s="4" t="n">
        <v>23000</v>
      </c>
      <c r="G406" s="4" t="n">
        <v>0</v>
      </c>
      <c r="H406" s="4" t="n">
        <v>8383</v>
      </c>
      <c r="I406" s="4" t="n">
        <v>2536</v>
      </c>
      <c r="J406" s="5" t="n">
        <v>0</v>
      </c>
      <c r="K406" s="4" t="n">
        <v>3333</v>
      </c>
      <c r="L406" s="4" t="n">
        <v>1008</v>
      </c>
      <c r="M406" s="5" t="n">
        <v>0</v>
      </c>
      <c r="N406" s="3" t="inlineStr">
        <is>
          <t>1</t>
        </is>
      </c>
      <c r="O406" s="3" t="inlineStr">
        <is>
          <t>-</t>
        </is>
      </c>
      <c r="P406" s="3" t="inlineStr">
        <is>
          <t>마당넓고 진출입 편리한 2차선 접한 공장입니다</t>
        </is>
      </c>
      <c r="Q406" s="6">
        <f>HYPERLINK("https://fin.land.naver.com/articles/2649722756", "매물Link")</f>
        <v/>
      </c>
      <c r="R406" s="6">
        <f>HYPERLINK("https://map.naver.com/p/search/세종특별자치시 나성동 829", "지도Link")</f>
        <v/>
      </c>
      <c r="S406" s="6">
        <f>HYPERLINK("http://www.eum.go.kr/web/ar/lu/luLandDet.jsp?pnu=3611010700108290000&amp;isNoScr=script&amp;mode=search", "토지이음")</f>
        <v/>
      </c>
      <c r="T406" s="3" t="inlineStr">
        <is>
          <t>복댕이무소</t>
        </is>
      </c>
      <c r="U406" s="3" t="n">
        <v>1</v>
      </c>
      <c r="V406" s="3" t="inlineStr">
        <is>
          <t>802</t>
        </is>
      </c>
      <c r="W406" s="4" t="n">
        <v>3333</v>
      </c>
      <c r="X406" s="3" t="inlineStr">
        <is>
          <t>철근콘크리트구조</t>
        </is>
      </c>
      <c r="Y406" s="3" t="inlineStr">
        <is>
          <t>제2종근린생활시설</t>
        </is>
      </c>
      <c r="Z406" s="3" t="inlineStr">
        <is>
          <t>-m</t>
        </is>
      </c>
      <c r="AA406" s="3" t="inlineStr">
        <is>
          <t>2021-08-20</t>
        </is>
      </c>
    </row>
    <row r="407">
      <c r="A407" s="3" t="inlineStr">
        <is>
          <t>세종특별자치시 나성동 829</t>
        </is>
      </c>
      <c r="B407" s="3" t="inlineStr">
        <is>
          <t>중심상업지역</t>
        </is>
      </c>
      <c r="C407" s="3" t="inlineStr">
        <is>
          <t>대</t>
        </is>
      </c>
      <c r="D407" s="3" t="inlineStr">
        <is>
          <t>창고</t>
        </is>
      </c>
      <c r="E407" s="3" t="inlineStr">
        <is>
          <t>월세</t>
        </is>
      </c>
      <c r="F407" s="4" t="n">
        <v>2000</v>
      </c>
      <c r="G407" s="4" t="n">
        <v>130</v>
      </c>
      <c r="H407" s="4" t="n">
        <v>1435</v>
      </c>
      <c r="I407" s="4" t="n">
        <v>434</v>
      </c>
      <c r="J407" s="5" t="n">
        <v>0.3</v>
      </c>
      <c r="K407" s="4" t="n">
        <v>500</v>
      </c>
      <c r="L407" s="4" t="n">
        <v>151</v>
      </c>
      <c r="M407" s="5" t="n">
        <v>0.9</v>
      </c>
      <c r="N407" s="3" t="inlineStr">
        <is>
          <t>1</t>
        </is>
      </c>
      <c r="O407" s="3" t="inlineStr">
        <is>
          <t>-</t>
        </is>
      </c>
      <c r="P407" s="3" t="inlineStr">
        <is>
          <t>nan</t>
        </is>
      </c>
      <c r="Q407" s="6">
        <f>HYPERLINK("https://fin.land.naver.com/articles/2649783398", "매물Link")</f>
        <v/>
      </c>
      <c r="R407" s="6">
        <f>HYPERLINK("https://map.naver.com/p/search/세종특별자치시 나성동 829", "지도Link")</f>
        <v/>
      </c>
      <c r="S407" s="6">
        <f>HYPERLINK("http://www.eum.go.kr/web/ar/lu/luLandDet.jsp?pnu=3611010700108290000&amp;isNoScr=script&amp;mode=search", "토지이음")</f>
        <v/>
      </c>
      <c r="T407" s="3" t="inlineStr">
        <is>
          <t>방서비타민</t>
        </is>
      </c>
      <c r="U407" s="3" t="n">
        <v>1</v>
      </c>
      <c r="V407" s="3" t="inlineStr">
        <is>
          <t>전망공간 기계실</t>
        </is>
      </c>
      <c r="W407" s="4" t="n">
        <v>500</v>
      </c>
      <c r="X407" s="3" t="inlineStr">
        <is>
          <t>철근콘크리트구조</t>
        </is>
      </c>
      <c r="Y407" s="3" t="inlineStr">
        <is>
          <t>제2종근린생활시설</t>
        </is>
      </c>
      <c r="Z407" s="3" t="inlineStr">
        <is>
          <t>-m</t>
        </is>
      </c>
      <c r="AA407" s="3" t="inlineStr">
        <is>
          <t>2021-08-20</t>
        </is>
      </c>
    </row>
    <row r="408">
      <c r="A408" s="3" t="inlineStr">
        <is>
          <t>세종특별자치시 나성동 829</t>
        </is>
      </c>
      <c r="B408" s="3" t="inlineStr">
        <is>
          <t>중심상업지역</t>
        </is>
      </c>
      <c r="C408" s="3" t="inlineStr">
        <is>
          <t>대</t>
        </is>
      </c>
      <c r="D408" s="3" t="inlineStr">
        <is>
          <t>공장</t>
        </is>
      </c>
      <c r="E408" s="3" t="inlineStr">
        <is>
          <t>매매</t>
        </is>
      </c>
      <c r="F408" s="4" t="n">
        <v>570000</v>
      </c>
      <c r="G408" s="4" t="n">
        <v>0</v>
      </c>
      <c r="H408" s="4" t="n">
        <v>8027</v>
      </c>
      <c r="I408" s="4" t="n">
        <v>2428</v>
      </c>
      <c r="J408" s="5" t="n">
        <v>234.8</v>
      </c>
      <c r="K408" s="4" t="n">
        <v>3206</v>
      </c>
      <c r="L408" s="4" t="n">
        <v>970</v>
      </c>
      <c r="M408" s="5" t="n">
        <v>587.6</v>
      </c>
      <c r="N408" s="3" t="inlineStr">
        <is>
          <t>1</t>
        </is>
      </c>
      <c r="O408" s="3" t="inlineStr">
        <is>
          <t>-</t>
        </is>
      </c>
      <c r="P408" s="3" t="inlineStr">
        <is>
          <t>2차선 접한 컨디션 좋은 공장입니다</t>
        </is>
      </c>
      <c r="Q408" s="6">
        <f>HYPERLINK("https://fin.land.naver.com/articles/2649903449", "매물Link")</f>
        <v/>
      </c>
      <c r="R408" s="6">
        <f>HYPERLINK("https://map.naver.com/p/search/세종특별자치시 나성동 829", "지도Link")</f>
        <v/>
      </c>
      <c r="S408" s="6">
        <f>HYPERLINK("http://www.eum.go.kr/web/ar/lu/luLandDet.jsp?pnu=3611010700108290000&amp;isNoScr=script&amp;mode=search", "토지이음")</f>
        <v/>
      </c>
      <c r="T408" s="3" t="inlineStr">
        <is>
          <t>복댕이무소</t>
        </is>
      </c>
      <c r="U408" s="3" t="n">
        <v>1</v>
      </c>
      <c r="V408" s="3" t="inlineStr">
        <is>
          <t>802</t>
        </is>
      </c>
      <c r="W408" s="4" t="n">
        <v>3206</v>
      </c>
      <c r="X408" s="3" t="inlineStr">
        <is>
          <t>철근콘크리트구조</t>
        </is>
      </c>
      <c r="Y408" s="3" t="inlineStr">
        <is>
          <t>제2종근린생활시설</t>
        </is>
      </c>
      <c r="Z408" s="3" t="inlineStr">
        <is>
          <t>-m</t>
        </is>
      </c>
      <c r="AA408" s="3" t="inlineStr">
        <is>
          <t>2021-08-20</t>
        </is>
      </c>
    </row>
    <row r="409">
      <c r="A409" s="3" t="inlineStr">
        <is>
          <t>세종특별자치시 나성동 829</t>
        </is>
      </c>
      <c r="B409" s="3" t="inlineStr">
        <is>
          <t>중심상업지역</t>
        </is>
      </c>
      <c r="C409" s="3" t="inlineStr">
        <is>
          <t>대</t>
        </is>
      </c>
      <c r="D409" s="3" t="inlineStr">
        <is>
          <t>공장</t>
        </is>
      </c>
      <c r="E409" s="3" t="inlineStr">
        <is>
          <t>매매</t>
        </is>
      </c>
      <c r="F409" s="4" t="n">
        <v>382000</v>
      </c>
      <c r="G409" s="4" t="n">
        <v>0</v>
      </c>
      <c r="H409" s="4" t="n">
        <v>4680</v>
      </c>
      <c r="I409" s="4" t="n">
        <v>1416</v>
      </c>
      <c r="J409" s="5" t="n">
        <v>269.8</v>
      </c>
      <c r="K409" s="4" t="n">
        <v>1525</v>
      </c>
      <c r="L409" s="4" t="n">
        <v>461</v>
      </c>
      <c r="M409" s="5" t="n">
        <v>828.6</v>
      </c>
      <c r="N409" s="3" t="inlineStr">
        <is>
          <t>1</t>
        </is>
      </c>
      <c r="O409" s="3" t="inlineStr">
        <is>
          <t>-</t>
        </is>
      </c>
      <c r="P409" s="3" t="inlineStr">
        <is>
          <t>강내하이테크밸리산업단지 옆에 위치 세종 오송 접근성 좋은 공장</t>
        </is>
      </c>
      <c r="Q409" s="6">
        <f>HYPERLINK("https://fin.land.naver.com/articles/2644022618", "매물Link")</f>
        <v/>
      </c>
      <c r="R409" s="6">
        <f>HYPERLINK("https://map.naver.com/p/search/세종특별자치시 나성동 829", "지도Link")</f>
        <v/>
      </c>
      <c r="S409" s="6">
        <f>HYPERLINK("http://www.eum.go.kr/web/ar/lu/luLandDet.jsp?pnu=3611010700108290000&amp;isNoScr=script&amp;mode=search", "토지이음")</f>
        <v/>
      </c>
      <c r="T409" s="3" t="inlineStr">
        <is>
          <t>더원</t>
        </is>
      </c>
      <c r="U409" s="3" t="n">
        <v>1</v>
      </c>
      <c r="V409" s="3" t="inlineStr">
        <is>
          <t>605</t>
        </is>
      </c>
      <c r="W409" s="4" t="n">
        <v>1525</v>
      </c>
      <c r="X409" s="3" t="inlineStr">
        <is>
          <t>철근콘크리트구조</t>
        </is>
      </c>
      <c r="Y409" s="3" t="inlineStr">
        <is>
          <t>공동주택</t>
        </is>
      </c>
      <c r="Z409" s="3" t="inlineStr">
        <is>
          <t>45.30m</t>
        </is>
      </c>
      <c r="AA409" s="3" t="inlineStr">
        <is>
          <t>2021-08-20</t>
        </is>
      </c>
    </row>
    <row r="410">
      <c r="A410" s="3" t="inlineStr">
        <is>
          <t>세종특별자치시 나성동 829</t>
        </is>
      </c>
      <c r="B410" s="3" t="inlineStr">
        <is>
          <t>중심상업지역</t>
        </is>
      </c>
      <c r="C410" s="3" t="inlineStr">
        <is>
          <t>대</t>
        </is>
      </c>
      <c r="D410" s="3" t="inlineStr">
        <is>
          <t>공장</t>
        </is>
      </c>
      <c r="E410" s="3" t="inlineStr">
        <is>
          <t>매매</t>
        </is>
      </c>
      <c r="F410" s="4" t="n">
        <v>280000</v>
      </c>
      <c r="G410" s="4" t="n">
        <v>0</v>
      </c>
      <c r="H410" s="4" t="n">
        <v>5013</v>
      </c>
      <c r="I410" s="4" t="n">
        <v>1516</v>
      </c>
      <c r="J410" s="5" t="n">
        <v>184.7</v>
      </c>
      <c r="K410" s="4" t="n">
        <v>1535</v>
      </c>
      <c r="L410" s="4" t="n">
        <v>464</v>
      </c>
      <c r="M410" s="5" t="n">
        <v>603.4</v>
      </c>
      <c r="N410" s="3" t="inlineStr">
        <is>
          <t>2</t>
        </is>
      </c>
      <c r="O410" s="3" t="inlineStr">
        <is>
          <t>-</t>
        </is>
      </c>
      <c r="P410" s="3" t="inlineStr">
        <is>
          <t>청주ic 10 분 고속도로 접근성 좋고 마당넓은 공장 숙소있음</t>
        </is>
      </c>
      <c r="Q410" s="6">
        <f>HYPERLINK("https://fin.land.naver.com/articles/2644022622", "매물Link")</f>
        <v/>
      </c>
      <c r="R410" s="6">
        <f>HYPERLINK("https://map.naver.com/p/search/세종특별자치시 나성동 829", "지도Link")</f>
        <v/>
      </c>
      <c r="S410" s="6">
        <f>HYPERLINK("http://www.eum.go.kr/web/ar/lu/luLandDet.jsp?pnu=3611010700108290000&amp;isNoScr=script&amp;mode=search", "토지이음")</f>
        <v/>
      </c>
      <c r="T410" s="3" t="inlineStr">
        <is>
          <t>더원</t>
        </is>
      </c>
      <c r="U410" s="3" t="n">
        <v>1</v>
      </c>
      <c r="V410" s="3" t="inlineStr">
        <is>
          <t>605</t>
        </is>
      </c>
      <c r="W410" s="4" t="n">
        <v>1535</v>
      </c>
      <c r="X410" s="3" t="inlineStr">
        <is>
          <t>철근콘크리트구조</t>
        </is>
      </c>
      <c r="Y410" s="3" t="inlineStr">
        <is>
          <t>공동주택</t>
        </is>
      </c>
      <c r="Z410" s="3" t="inlineStr">
        <is>
          <t>45.30m</t>
        </is>
      </c>
      <c r="AA410" s="3" t="inlineStr">
        <is>
          <t>2021-08-20</t>
        </is>
      </c>
    </row>
    <row r="411">
      <c r="A411" s="3" t="inlineStr">
        <is>
          <t>세종특별자치시 나성동 829</t>
        </is>
      </c>
      <c r="B411" s="3" t="inlineStr">
        <is>
          <t>중심상업지역</t>
        </is>
      </c>
      <c r="C411" s="3" t="inlineStr">
        <is>
          <t>대</t>
        </is>
      </c>
      <c r="D411" s="3" t="inlineStr">
        <is>
          <t>공장</t>
        </is>
      </c>
      <c r="E411" s="3" t="inlineStr">
        <is>
          <t>월세</t>
        </is>
      </c>
      <c r="F411" s="4" t="n">
        <v>10000</v>
      </c>
      <c r="G411" s="4" t="n">
        <v>920</v>
      </c>
      <c r="H411" s="4" t="n">
        <v>4183</v>
      </c>
      <c r="I411" s="4" t="n">
        <v>1265</v>
      </c>
      <c r="J411" s="5" t="n">
        <v>0.7</v>
      </c>
      <c r="K411" s="4" t="n">
        <v>1337</v>
      </c>
      <c r="L411" s="4" t="n">
        <v>404</v>
      </c>
      <c r="M411" s="5" t="n">
        <v>2.3</v>
      </c>
      <c r="N411" s="3" t="inlineStr">
        <is>
          <t>1</t>
        </is>
      </c>
      <c r="O411" s="3" t="inlineStr">
        <is>
          <t>-</t>
        </is>
      </c>
      <c r="P411" s="3" t="inlineStr">
        <is>
          <t>청주ic 접근성 좋은 위치 준신축급 공장 및 창고임대</t>
        </is>
      </c>
      <c r="Q411" s="6">
        <f>HYPERLINK("https://fin.land.naver.com/articles/2644022632", "매물Link")</f>
        <v/>
      </c>
      <c r="R411" s="6">
        <f>HYPERLINK("https://map.naver.com/p/search/세종특별자치시 나성동 829", "지도Link")</f>
        <v/>
      </c>
      <c r="S411" s="6">
        <f>HYPERLINK("http://www.eum.go.kr/web/ar/lu/luLandDet.jsp?pnu=3611010700108290000&amp;isNoScr=script&amp;mode=search", "토지이음")</f>
        <v/>
      </c>
      <c r="T411" s="3" t="inlineStr">
        <is>
          <t>더원</t>
        </is>
      </c>
      <c r="U411" s="3" t="n">
        <v>1</v>
      </c>
      <c r="V411" s="3" t="inlineStr">
        <is>
          <t>605</t>
        </is>
      </c>
      <c r="W411" s="4" t="n">
        <v>1337</v>
      </c>
      <c r="X411" s="3" t="inlineStr">
        <is>
          <t>철근콘크리트구조</t>
        </is>
      </c>
      <c r="Y411" s="3" t="inlineStr">
        <is>
          <t>공동주택</t>
        </is>
      </c>
      <c r="Z411" s="3" t="inlineStr">
        <is>
          <t>45.30m</t>
        </is>
      </c>
      <c r="AA411" s="3" t="inlineStr">
        <is>
          <t>2021-08-20</t>
        </is>
      </c>
    </row>
    <row r="412">
      <c r="A412" s="3" t="inlineStr">
        <is>
          <t>세종특별자치시 나성동 829</t>
        </is>
      </c>
      <c r="B412" s="3" t="inlineStr">
        <is>
          <t>중심상업지역</t>
        </is>
      </c>
      <c r="C412" s="3" t="inlineStr">
        <is>
          <t>대</t>
        </is>
      </c>
      <c r="D412" s="3" t="inlineStr">
        <is>
          <t>공장</t>
        </is>
      </c>
      <c r="E412" s="3" t="inlineStr">
        <is>
          <t>매매</t>
        </is>
      </c>
      <c r="F412" s="4" t="n">
        <v>580000</v>
      </c>
      <c r="G412" s="4" t="n">
        <v>0</v>
      </c>
      <c r="H412" s="4" t="n">
        <v>8027</v>
      </c>
      <c r="I412" s="4" t="n">
        <v>2428</v>
      </c>
      <c r="J412" s="5" t="n">
        <v>238.9</v>
      </c>
      <c r="K412" s="4" t="n">
        <v>3206</v>
      </c>
      <c r="L412" s="4" t="n">
        <v>970</v>
      </c>
      <c r="M412" s="5" t="n">
        <v>597.9</v>
      </c>
      <c r="N412" s="3" t="inlineStr">
        <is>
          <t>1</t>
        </is>
      </c>
      <c r="O412" s="3" t="inlineStr">
        <is>
          <t>-</t>
        </is>
      </c>
      <c r="P412" s="3" t="inlineStr">
        <is>
          <t>청주 ic 인근 깨끗한 공장 매매</t>
        </is>
      </c>
      <c r="Q412" s="6">
        <f>HYPERLINK("https://fin.land.naver.com/articles/2644201399", "매물Link")</f>
        <v/>
      </c>
      <c r="R412" s="6">
        <f>HYPERLINK("https://map.naver.com/p/search/세종특별자치시 나성동 829", "지도Link")</f>
        <v/>
      </c>
      <c r="S412" s="6">
        <f>HYPERLINK("http://www.eum.go.kr/web/ar/lu/luLandDet.jsp?pnu=3611010700108290000&amp;isNoScr=script&amp;mode=search", "토지이음")</f>
        <v/>
      </c>
      <c r="T412" s="3" t="inlineStr">
        <is>
          <t>대복</t>
        </is>
      </c>
      <c r="U412" s="3" t="n">
        <v>1</v>
      </c>
      <c r="V412" s="3" t="inlineStr">
        <is>
          <t>802</t>
        </is>
      </c>
      <c r="W412" s="4" t="n">
        <v>3206</v>
      </c>
      <c r="X412" s="3" t="inlineStr">
        <is>
          <t>철근콘크리트구조</t>
        </is>
      </c>
      <c r="Y412" s="3" t="inlineStr">
        <is>
          <t>제2종근린생활시설</t>
        </is>
      </c>
      <c r="Z412" s="3" t="inlineStr">
        <is>
          <t>-m</t>
        </is>
      </c>
      <c r="AA412" s="3" t="inlineStr">
        <is>
          <t>2021-08-20</t>
        </is>
      </c>
    </row>
    <row r="413">
      <c r="A413" s="3" t="inlineStr">
        <is>
          <t>세종특별자치시 나성동 829</t>
        </is>
      </c>
      <c r="B413" s="3" t="inlineStr">
        <is>
          <t>중심상업지역</t>
        </is>
      </c>
      <c r="C413" s="3" t="inlineStr">
        <is>
          <t>대</t>
        </is>
      </c>
      <c r="D413" s="3" t="inlineStr">
        <is>
          <t>공장</t>
        </is>
      </c>
      <c r="E413" s="3" t="inlineStr">
        <is>
          <t>매매</t>
        </is>
      </c>
      <c r="F413" s="4" t="n">
        <v>600000</v>
      </c>
      <c r="G413" s="4" t="n">
        <v>0</v>
      </c>
      <c r="H413" s="4" t="n">
        <v>12350</v>
      </c>
      <c r="I413" s="4" t="n">
        <v>3736</v>
      </c>
      <c r="J413" s="5" t="n">
        <v>160.6</v>
      </c>
      <c r="K413" s="4" t="n">
        <v>4844</v>
      </c>
      <c r="L413" s="4" t="n">
        <v>1465</v>
      </c>
      <c r="M413" s="5" t="n">
        <v>409.6</v>
      </c>
      <c r="N413" s="3" t="inlineStr">
        <is>
          <t>1</t>
        </is>
      </c>
      <c r="O413" s="3" t="inlineStr">
        <is>
          <t>-</t>
        </is>
      </c>
      <c r="P413" s="3" t="inlineStr">
        <is>
          <t>nan</t>
        </is>
      </c>
      <c r="Q413" s="6">
        <f>HYPERLINK("https://fin.land.naver.com/articles/2644629553", "매물Link")</f>
        <v/>
      </c>
      <c r="R413" s="6">
        <f>HYPERLINK("https://map.naver.com/p/search/세종특별자치시 나성동 829", "지도Link")</f>
        <v/>
      </c>
      <c r="S413" s="6">
        <f>HYPERLINK("http://www.eum.go.kr/web/ar/lu/luLandDet.jsp?pnu=3611010700108290000&amp;isNoScr=script&amp;mode=search", "토지이음")</f>
        <v/>
      </c>
      <c r="T413" s="3" t="inlineStr">
        <is>
          <t>명당</t>
        </is>
      </c>
      <c r="U413" s="3" t="n">
        <v>1</v>
      </c>
      <c r="V413" s="3" t="inlineStr">
        <is>
          <t>802</t>
        </is>
      </c>
      <c r="W413" s="4" t="n">
        <v>4844</v>
      </c>
      <c r="X413" s="3" t="inlineStr">
        <is>
          <t>철근콘크리트구조</t>
        </is>
      </c>
      <c r="Y413" s="3" t="inlineStr">
        <is>
          <t>제2종근린생활시설</t>
        </is>
      </c>
      <c r="Z413" s="3" t="inlineStr">
        <is>
          <t>-m</t>
        </is>
      </c>
      <c r="AA413" s="3" t="inlineStr">
        <is>
          <t>2021-08-20</t>
        </is>
      </c>
    </row>
    <row r="414">
      <c r="A414" s="3" t="inlineStr">
        <is>
          <t>세종특별자치시 나성동 829</t>
        </is>
      </c>
      <c r="B414" s="3" t="inlineStr">
        <is>
          <t>중심상업지역</t>
        </is>
      </c>
      <c r="C414" s="3" t="inlineStr">
        <is>
          <t>대</t>
        </is>
      </c>
      <c r="D414" s="3" t="inlineStr">
        <is>
          <t>공장</t>
        </is>
      </c>
      <c r="E414" s="3" t="inlineStr">
        <is>
          <t>월세</t>
        </is>
      </c>
      <c r="F414" s="4" t="n">
        <v>60000</v>
      </c>
      <c r="G414" s="4" t="n">
        <v>0</v>
      </c>
      <c r="H414" s="4" t="n">
        <v>47000</v>
      </c>
      <c r="I414" s="4" t="n">
        <v>14218</v>
      </c>
      <c r="J414" s="5" t="n">
        <v>0</v>
      </c>
      <c r="K414" s="4" t="n">
        <v>7514</v>
      </c>
      <c r="L414" s="4" t="n">
        <v>2273</v>
      </c>
      <c r="M414" s="5" t="n">
        <v>0</v>
      </c>
      <c r="N414" s="3" t="inlineStr">
        <is>
          <t>1</t>
        </is>
      </c>
      <c r="O414" s="3" t="inlineStr">
        <is>
          <t>-</t>
        </is>
      </c>
      <c r="P414" s="3" t="inlineStr">
        <is>
          <t>강내 대형창고 공장 임대 즉시입주가 대형차진출입용이</t>
        </is>
      </c>
      <c r="Q414" s="6">
        <f>HYPERLINK("https://fin.land.naver.com/articles/2644663284", "매물Link")</f>
        <v/>
      </c>
      <c r="R414" s="6">
        <f>HYPERLINK("https://map.naver.com/p/search/세종특별자치시 나성동 829", "지도Link")</f>
        <v/>
      </c>
      <c r="S414" s="6">
        <f>HYPERLINK("http://www.eum.go.kr/web/ar/lu/luLandDet.jsp?pnu=3611010700108290000&amp;isNoScr=script&amp;mode=search", "토지이음")</f>
        <v/>
      </c>
      <c r="T414" s="3" t="inlineStr">
        <is>
          <t>더원</t>
        </is>
      </c>
      <c r="U414" s="3" t="n">
        <v>1</v>
      </c>
      <c r="V414" s="3" t="inlineStr">
        <is>
          <t>802</t>
        </is>
      </c>
      <c r="W414" s="4" t="n">
        <v>7514</v>
      </c>
      <c r="X414" s="3" t="inlineStr">
        <is>
          <t>철근콘크리트구조</t>
        </is>
      </c>
      <c r="Y414" s="3" t="inlineStr">
        <is>
          <t>제2종근린생활시설</t>
        </is>
      </c>
      <c r="Z414" s="3" t="inlineStr">
        <is>
          <t>-m</t>
        </is>
      </c>
      <c r="AA414" s="3" t="inlineStr">
        <is>
          <t>2021-08-20</t>
        </is>
      </c>
    </row>
    <row r="415">
      <c r="A415" s="3" t="inlineStr">
        <is>
          <t>세종특별자치시 나성동 829</t>
        </is>
      </c>
      <c r="B415" s="3" t="inlineStr">
        <is>
          <t>중심상업지역</t>
        </is>
      </c>
      <c r="C415" s="3" t="inlineStr">
        <is>
          <t>대</t>
        </is>
      </c>
      <c r="D415" s="3" t="inlineStr">
        <is>
          <t>공장</t>
        </is>
      </c>
      <c r="E415" s="3" t="inlineStr">
        <is>
          <t>월세</t>
        </is>
      </c>
      <c r="F415" s="4" t="n">
        <v>23000</v>
      </c>
      <c r="G415" s="4" t="n">
        <v>0</v>
      </c>
      <c r="H415" s="4" t="n">
        <v>8383</v>
      </c>
      <c r="I415" s="4" t="n">
        <v>2536</v>
      </c>
      <c r="J415" s="5" t="n">
        <v>0</v>
      </c>
      <c r="K415" s="4" t="n">
        <v>3333</v>
      </c>
      <c r="L415" s="4" t="n">
        <v>1008</v>
      </c>
      <c r="M415" s="5" t="n">
        <v>0</v>
      </c>
      <c r="N415" s="3" t="inlineStr">
        <is>
          <t>1</t>
        </is>
      </c>
      <c r="O415" s="3" t="inlineStr">
        <is>
          <t>-</t>
        </is>
      </c>
      <c r="P415" s="3" t="inlineStr">
        <is>
          <t>청주ic 접근성좋은 신축급 공장 물류창고로도 가능 야적장 넓음</t>
        </is>
      </c>
      <c r="Q415" s="6">
        <f>HYPERLINK("https://fin.land.naver.com/articles/2644663798", "매물Link")</f>
        <v/>
      </c>
      <c r="R415" s="6">
        <f>HYPERLINK("https://map.naver.com/p/search/세종특별자치시 나성동 829", "지도Link")</f>
        <v/>
      </c>
      <c r="S415" s="6">
        <f>HYPERLINK("http://www.eum.go.kr/web/ar/lu/luLandDet.jsp?pnu=3611010700108290000&amp;isNoScr=script&amp;mode=search", "토지이음")</f>
        <v/>
      </c>
      <c r="T415" s="3" t="inlineStr">
        <is>
          <t>더원</t>
        </is>
      </c>
      <c r="U415" s="3" t="n">
        <v>1</v>
      </c>
      <c r="V415" s="3" t="inlineStr">
        <is>
          <t>802</t>
        </is>
      </c>
      <c r="W415" s="4" t="n">
        <v>3333</v>
      </c>
      <c r="X415" s="3" t="inlineStr">
        <is>
          <t>철근콘크리트구조</t>
        </is>
      </c>
      <c r="Y415" s="3" t="inlineStr">
        <is>
          <t>제2종근린생활시설</t>
        </is>
      </c>
      <c r="Z415" s="3" t="inlineStr">
        <is>
          <t>-m</t>
        </is>
      </c>
      <c r="AA415" s="3" t="inlineStr">
        <is>
          <t>2021-08-20</t>
        </is>
      </c>
    </row>
    <row r="416">
      <c r="A416" s="3" t="inlineStr">
        <is>
          <t>세종특별자치시 나성동 829</t>
        </is>
      </c>
      <c r="B416" s="3" t="inlineStr">
        <is>
          <t>중심상업지역</t>
        </is>
      </c>
      <c r="C416" s="3" t="inlineStr">
        <is>
          <t>대</t>
        </is>
      </c>
      <c r="D416" s="3" t="inlineStr">
        <is>
          <t>공장</t>
        </is>
      </c>
      <c r="E416" s="3" t="inlineStr">
        <is>
          <t>매매</t>
        </is>
      </c>
      <c r="F416" s="4" t="n">
        <v>65000</v>
      </c>
      <c r="G416" s="4" t="n">
        <v>0</v>
      </c>
      <c r="H416" s="4" t="n">
        <v>946</v>
      </c>
      <c r="I416" s="4" t="n">
        <v>286</v>
      </c>
      <c r="J416" s="5" t="n">
        <v>227.3</v>
      </c>
      <c r="K416" s="4" t="n">
        <v>376</v>
      </c>
      <c r="L416" s="4" t="n">
        <v>114</v>
      </c>
      <c r="M416" s="5" t="n">
        <v>570.2</v>
      </c>
      <c r="N416" s="3" t="inlineStr">
        <is>
          <t>1</t>
        </is>
      </c>
      <c r="O416" s="3" t="inlineStr">
        <is>
          <t>-</t>
        </is>
      </c>
      <c r="P416" s="3" t="inlineStr">
        <is>
          <t>소형공장매매 층고 8m 내부사무실있음 현임대중</t>
        </is>
      </c>
      <c r="Q416" s="6">
        <f>HYPERLINK("https://fin.land.naver.com/articles/2646668230", "매물Link")</f>
        <v/>
      </c>
      <c r="R416" s="6">
        <f>HYPERLINK("https://map.naver.com/p/search/세종특별자치시 나성동 829", "지도Link")</f>
        <v/>
      </c>
      <c r="S416" s="6">
        <f>HYPERLINK("http://www.eum.go.kr/web/ar/lu/luLandDet.jsp?pnu=3611010700108290000&amp;isNoScr=script&amp;mode=search", "토지이음")</f>
        <v/>
      </c>
      <c r="T416" s="3" t="inlineStr">
        <is>
          <t>더원</t>
        </is>
      </c>
      <c r="U416" s="3" t="n">
        <v>1</v>
      </c>
      <c r="V416" s="3" t="inlineStr">
        <is>
          <t>전망공간 기계실</t>
        </is>
      </c>
      <c r="W416" s="4" t="n">
        <v>376</v>
      </c>
      <c r="X416" s="3" t="inlineStr">
        <is>
          <t>철근콘크리트구조</t>
        </is>
      </c>
      <c r="Y416" s="3" t="inlineStr">
        <is>
          <t>제2종근린생활시설</t>
        </is>
      </c>
      <c r="Z416" s="3" t="inlineStr">
        <is>
          <t>-m</t>
        </is>
      </c>
      <c r="AA416" s="3" t="inlineStr">
        <is>
          <t>2021-08-20</t>
        </is>
      </c>
    </row>
    <row r="417">
      <c r="A417" s="3" t="inlineStr">
        <is>
          <t>세종특별자치시 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HYPERLINK("https://map.naver.com/p/search/세종특별자치시 나성동 829", "지도Link")</f>
        <v/>
      </c>
      <c r="S417" s="6">
        <f>HYPERLINK("http://www.eum.go.kr/web/ar/lu/luLandDet.jsp?pnu=3611010700108290000&amp;isNoScr=script&amp;mode=search", "토지이음")</f>
        <v/>
      </c>
      <c r="T417" s="3" t="inlineStr">
        <is>
          <t>더원</t>
        </is>
      </c>
      <c r="U417" s="3" t="n">
        <v>1</v>
      </c>
      <c r="V417" s="3" t="inlineStr">
        <is>
          <t>전망공간 기계실</t>
        </is>
      </c>
      <c r="W417" s="4" t="n">
        <v>495</v>
      </c>
      <c r="X417" s="3" t="inlineStr">
        <is>
          <t>철근콘크리트구조</t>
        </is>
      </c>
      <c r="Y417" s="3" t="inlineStr">
        <is>
          <t>제2종근린생활시설</t>
        </is>
      </c>
      <c r="Z417" s="3" t="inlineStr">
        <is>
          <t>-m</t>
        </is>
      </c>
      <c r="AA417" s="3" t="inlineStr">
        <is>
          <t>2021-08-20</t>
        </is>
      </c>
    </row>
    <row r="418">
      <c r="A418" s="3" t="inlineStr">
        <is>
          <t>세종특별자치시 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HYPERLINK("https://map.naver.com/p/search/세종특별자치시 나성동 829", "지도Link")</f>
        <v/>
      </c>
      <c r="S418" s="6">
        <f>HYPERLINK("http://www.eum.go.kr/web/ar/lu/luLandDet.jsp?pnu=3611010700108290000&amp;isNoScr=script&amp;mode=search", "토지이음")</f>
        <v/>
      </c>
      <c r="T418" s="3" t="inlineStr">
        <is>
          <t>더원</t>
        </is>
      </c>
      <c r="U418" s="3" t="n">
        <v>1</v>
      </c>
      <c r="V418" s="3" t="inlineStr">
        <is>
          <t>공동주택 휘트니스</t>
        </is>
      </c>
      <c r="W418" s="4" t="n">
        <v>801</v>
      </c>
      <c r="X418" s="3" t="inlineStr">
        <is>
          <t>철근콘크리트구조</t>
        </is>
      </c>
      <c r="Y418" s="3" t="inlineStr">
        <is>
          <t>공동주택</t>
        </is>
      </c>
      <c r="Z418" s="3" t="inlineStr">
        <is>
          <t>-m</t>
        </is>
      </c>
      <c r="AA418" s="3" t="inlineStr">
        <is>
          <t>2021-08-20</t>
        </is>
      </c>
    </row>
    <row r="419">
      <c r="A419" s="3" t="inlineStr">
        <is>
          <t>세종특별자치시 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HYPERLINK("https://map.naver.com/p/search/세종특별자치시 나성동 829", "지도Link")</f>
        <v/>
      </c>
      <c r="S419" s="6">
        <f>HYPERLINK("http://www.eum.go.kr/web/ar/lu/luLandDet.jsp?pnu=3611010700108290000&amp;isNoScr=script&amp;mode=search", "토지이음")</f>
        <v/>
      </c>
      <c r="T419" s="3" t="inlineStr">
        <is>
          <t>공장365</t>
        </is>
      </c>
      <c r="U419" s="3" t="n">
        <v>1</v>
      </c>
      <c r="V419" s="3" t="inlineStr">
        <is>
          <t>605</t>
        </is>
      </c>
      <c r="W419" s="4" t="n">
        <v>1535</v>
      </c>
      <c r="X419" s="3" t="inlineStr">
        <is>
          <t>철근콘크리트구조</t>
        </is>
      </c>
      <c r="Y419" s="3" t="inlineStr">
        <is>
          <t>공동주택</t>
        </is>
      </c>
      <c r="Z419" s="3" t="inlineStr">
        <is>
          <t>45.30m</t>
        </is>
      </c>
      <c r="AA419" s="3" t="inlineStr">
        <is>
          <t>2021-08-20</t>
        </is>
      </c>
    </row>
    <row r="420">
      <c r="A420" s="3" t="inlineStr">
        <is>
          <t>세종특별자치시 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HYPERLINK("https://map.naver.com/p/search/세종특별자치시 나성동 829", "지도Link")</f>
        <v/>
      </c>
      <c r="S420" s="6">
        <f>HYPERLINK("http://www.eum.go.kr/web/ar/lu/luLandDet.jsp?pnu=3611010700108290000&amp;isNoScr=script&amp;mode=search", "토지이음")</f>
        <v/>
      </c>
      <c r="T420" s="3" t="inlineStr">
        <is>
          <t>더원</t>
        </is>
      </c>
      <c r="U420" s="3" t="n">
        <v>1</v>
      </c>
      <c r="V420" s="3" t="inlineStr">
        <is>
          <t>901(전망공간)</t>
        </is>
      </c>
      <c r="W420" s="4" t="n">
        <v>1996</v>
      </c>
      <c r="X420" s="3" t="inlineStr">
        <is>
          <t>철근콘크리트구조</t>
        </is>
      </c>
      <c r="Y420" s="3" t="inlineStr">
        <is>
          <t>제2종근린생활시설</t>
        </is>
      </c>
      <c r="Z420" s="3" t="inlineStr">
        <is>
          <t>-m</t>
        </is>
      </c>
      <c r="AA420" s="3" t="inlineStr">
        <is>
          <t>2021-08-20</t>
        </is>
      </c>
    </row>
    <row r="421">
      <c r="A421" s="3" t="inlineStr">
        <is>
          <t>세종특별자치시 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HYPERLINK("https://map.naver.com/p/search/세종특별자치시 나성동 829", "지도Link")</f>
        <v/>
      </c>
      <c r="S421" s="6">
        <f>HYPERLINK("http://www.eum.go.kr/web/ar/lu/luLandDet.jsp?pnu=3611010700108290000&amp;isNoScr=script&amp;mode=search", "토지이음")</f>
        <v/>
      </c>
      <c r="T421" s="3" t="inlineStr">
        <is>
          <t>더원</t>
        </is>
      </c>
      <c r="U421" s="3" t="n">
        <v>1</v>
      </c>
      <c r="V421" s="3" t="inlineStr">
        <is>
          <t>605</t>
        </is>
      </c>
      <c r="W421" s="4" t="n">
        <v>1392</v>
      </c>
      <c r="X421" s="3" t="inlineStr">
        <is>
          <t>철근콘크리트구조</t>
        </is>
      </c>
      <c r="Y421" s="3" t="inlineStr">
        <is>
          <t>공동주택</t>
        </is>
      </c>
      <c r="Z421" s="3" t="inlineStr">
        <is>
          <t>45.30m</t>
        </is>
      </c>
      <c r="AA421" s="3" t="inlineStr">
        <is>
          <t>2021-08-20</t>
        </is>
      </c>
    </row>
    <row r="422">
      <c r="A422" s="3" t="inlineStr">
        <is>
          <t>세종특별자치시 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HYPERLINK("https://map.naver.com/p/search/세종특별자치시 나성동 829", "지도Link")</f>
        <v/>
      </c>
      <c r="S422" s="6">
        <f>HYPERLINK("http://www.eum.go.kr/web/ar/lu/luLandDet.jsp?pnu=3611010700108290000&amp;isNoScr=script&amp;mode=search", "토지이음")</f>
        <v/>
      </c>
      <c r="T422" s="3" t="inlineStr">
        <is>
          <t>더원</t>
        </is>
      </c>
      <c r="U422" s="3" t="n">
        <v>1</v>
      </c>
      <c r="V422" s="3" t="inlineStr">
        <is>
          <t>근린생활시설 지하주차장</t>
        </is>
      </c>
      <c r="W422" s="4" t="n">
        <v>2176</v>
      </c>
      <c r="X422" s="3" t="inlineStr">
        <is>
          <t>철근콘크리트구조</t>
        </is>
      </c>
      <c r="Y422" s="3" t="inlineStr">
        <is>
          <t>제2종근린생활시설</t>
        </is>
      </c>
      <c r="Z422" s="3" t="inlineStr">
        <is>
          <t>-m</t>
        </is>
      </c>
      <c r="AA422" s="3" t="inlineStr">
        <is>
          <t>2021-08-20</t>
        </is>
      </c>
    </row>
    <row r="423">
      <c r="A423" s="3" t="inlineStr">
        <is>
          <t>세종특별자치시 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HYPERLINK("https://map.naver.com/p/search/세종특별자치시 나성동 829", "지도Link")</f>
        <v/>
      </c>
      <c r="S423" s="6">
        <f>HYPERLINK("http://www.eum.go.kr/web/ar/lu/luLandDet.jsp?pnu=3611010700108290000&amp;isNoScr=script&amp;mode=search", "토지이음")</f>
        <v/>
      </c>
      <c r="T423" s="3" t="inlineStr">
        <is>
          <t>더원</t>
        </is>
      </c>
      <c r="U423" s="3" t="n">
        <v>1</v>
      </c>
      <c r="V423" s="3" t="inlineStr">
        <is>
          <t>공동주택 주민공동시설</t>
        </is>
      </c>
      <c r="W423" s="4" t="n">
        <v>198</v>
      </c>
      <c r="X423" s="3" t="inlineStr">
        <is>
          <t>철근콘크리트구조</t>
        </is>
      </c>
      <c r="Y423" s="3" t="inlineStr">
        <is>
          <t>공동주택</t>
        </is>
      </c>
      <c r="Z423" s="3" t="inlineStr">
        <is>
          <t>-m</t>
        </is>
      </c>
      <c r="AA423" s="3" t="inlineStr">
        <is>
          <t>2021-08-20</t>
        </is>
      </c>
    </row>
    <row r="424">
      <c r="A424" s="3" t="inlineStr">
        <is>
          <t>세종특별자치시 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HYPERLINK("https://map.naver.com/p/search/세종특별자치시 나성동 829", "지도Link")</f>
        <v/>
      </c>
      <c r="S424" s="6">
        <f>HYPERLINK("http://www.eum.go.kr/web/ar/lu/luLandDet.jsp?pnu=3611010700108290000&amp;isNoScr=script&amp;mode=search", "토지이음")</f>
        <v/>
      </c>
      <c r="T424" s="3" t="inlineStr">
        <is>
          <t>더원</t>
        </is>
      </c>
      <c r="U424" s="3" t="n">
        <v>1</v>
      </c>
      <c r="V424" s="3" t="inlineStr">
        <is>
          <t>803</t>
        </is>
      </c>
      <c r="W424" s="4" t="n">
        <v>578</v>
      </c>
      <c r="X424" s="3" t="inlineStr">
        <is>
          <t>철근콘크리트구조</t>
        </is>
      </c>
      <c r="Y424" s="3" t="inlineStr">
        <is>
          <t>제2종근린생활시설</t>
        </is>
      </c>
      <c r="Z424" s="3" t="inlineStr">
        <is>
          <t>-m</t>
        </is>
      </c>
      <c r="AA424" s="3" t="inlineStr">
        <is>
          <t>2021-08-20</t>
        </is>
      </c>
    </row>
    <row r="425">
      <c r="A425" s="3" t="inlineStr">
        <is>
          <t>세종특별자치시 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HYPERLINK("https://map.naver.com/p/search/세종특별자치시 나성동 829", "지도Link")</f>
        <v/>
      </c>
      <c r="S425" s="6">
        <f>HYPERLINK("http://www.eum.go.kr/web/ar/lu/luLandDet.jsp?pnu=3611010700108290000&amp;isNoScr=script&amp;mode=search", "토지이음")</f>
        <v/>
      </c>
      <c r="T425" s="3" t="inlineStr">
        <is>
          <t>자이원</t>
        </is>
      </c>
      <c r="U425" s="3" t="n">
        <v>1</v>
      </c>
      <c r="V425" s="3" t="inlineStr">
        <is>
          <t>605</t>
        </is>
      </c>
      <c r="W425" s="4" t="n">
        <v>1504</v>
      </c>
      <c r="X425" s="3" t="inlineStr">
        <is>
          <t>철근콘크리트구조</t>
        </is>
      </c>
      <c r="Y425" s="3" t="inlineStr">
        <is>
          <t>공동주택</t>
        </is>
      </c>
      <c r="Z425" s="3" t="inlineStr">
        <is>
          <t>45.30m</t>
        </is>
      </c>
      <c r="AA425" s="3" t="inlineStr">
        <is>
          <t>2021-08-20</t>
        </is>
      </c>
    </row>
    <row r="426">
      <c r="A426" s="3" t="inlineStr">
        <is>
          <t>세종특별자치시 나성동 829</t>
        </is>
      </c>
      <c r="B426" s="3" t="inlineStr">
        <is>
          <t>중심상업지역</t>
        </is>
      </c>
      <c r="C426" s="3" t="inlineStr">
        <is>
          <t>대</t>
        </is>
      </c>
      <c r="D426" s="3" t="inlineStr">
        <is>
          <t>공장</t>
        </is>
      </c>
      <c r="E426" s="3" t="inlineStr">
        <is>
          <t>월세</t>
        </is>
      </c>
      <c r="F426" s="4" t="n">
        <v>4000</v>
      </c>
      <c r="G426" s="4" t="n">
        <v>380</v>
      </c>
      <c r="H426" s="4" t="n">
        <v>1445</v>
      </c>
      <c r="I426" s="4" t="n">
        <v>437</v>
      </c>
      <c r="J426" s="5" t="n">
        <v>0.9</v>
      </c>
      <c r="K426" s="4" t="n">
        <v>499</v>
      </c>
      <c r="L426" s="4" t="n">
        <v>151</v>
      </c>
      <c r="M426" s="5" t="n">
        <v>2.5</v>
      </c>
      <c r="N426" s="3" t="inlineStr">
        <is>
          <t>2</t>
        </is>
      </c>
      <c r="O426" s="3" t="inlineStr">
        <is>
          <t>-</t>
        </is>
      </c>
      <c r="P426" s="3" t="inlineStr">
        <is>
          <t>청주ic 남청주ic 15분 2차선접 대형차진출입원활 공장등록가능</t>
        </is>
      </c>
      <c r="Q426" s="6">
        <f>HYPERLINK("https://fin.land.naver.com/articles/2648090009", "매물Link")</f>
        <v/>
      </c>
      <c r="R426" s="6">
        <f>HYPERLINK("https://map.naver.com/p/search/세종특별자치시 나성동 829", "지도Link")</f>
        <v/>
      </c>
      <c r="S426" s="6">
        <f>HYPERLINK("http://www.eum.go.kr/web/ar/lu/luLandDet.jsp?pnu=3611010700108290000&amp;isNoScr=script&amp;mode=search", "토지이음")</f>
        <v/>
      </c>
      <c r="T426" s="3" t="inlineStr">
        <is>
          <t>더원</t>
        </is>
      </c>
      <c r="U426" s="3" t="n">
        <v>1</v>
      </c>
      <c r="V426" s="3" t="inlineStr">
        <is>
          <t>전망공간 기계실</t>
        </is>
      </c>
      <c r="W426" s="4" t="n">
        <v>499</v>
      </c>
      <c r="X426" s="3" t="inlineStr">
        <is>
          <t>철근콘크리트구조</t>
        </is>
      </c>
      <c r="Y426" s="3" t="inlineStr">
        <is>
          <t>제2종근린생활시설</t>
        </is>
      </c>
      <c r="Z426" s="3" t="inlineStr">
        <is>
          <t>-m</t>
        </is>
      </c>
      <c r="AA426" s="3" t="inlineStr">
        <is>
          <t>2021-08-20</t>
        </is>
      </c>
    </row>
    <row r="427">
      <c r="A427" s="3" t="inlineStr">
        <is>
          <t>세종특별자치시 나성동 829</t>
        </is>
      </c>
      <c r="B427" s="3" t="inlineStr">
        <is>
          <t>중심상업지역</t>
        </is>
      </c>
      <c r="C427" s="3" t="inlineStr">
        <is>
          <t>대</t>
        </is>
      </c>
      <c r="D427" s="3" t="inlineStr">
        <is>
          <t>공장</t>
        </is>
      </c>
      <c r="E427" s="3" t="inlineStr">
        <is>
          <t>매매</t>
        </is>
      </c>
      <c r="F427" s="4" t="n">
        <v>695000</v>
      </c>
      <c r="G427" s="4" t="n">
        <v>0</v>
      </c>
      <c r="H427" s="4" t="n">
        <v>9194</v>
      </c>
      <c r="I427" s="4" t="n">
        <v>2781</v>
      </c>
      <c r="J427" s="5" t="n">
        <v>249.9</v>
      </c>
      <c r="K427" s="4" t="n">
        <v>2066</v>
      </c>
      <c r="L427" s="4" t="n">
        <v>625</v>
      </c>
      <c r="M427" s="5" t="n">
        <v>1112</v>
      </c>
      <c r="N427" s="3" t="inlineStr">
        <is>
          <t>2</t>
        </is>
      </c>
      <c r="O427" s="3" t="inlineStr">
        <is>
          <t>-</t>
        </is>
      </c>
      <c r="P427" s="3" t="inlineStr">
        <is>
          <t>강내 하이테크밸리인접한 위치의 공장매매</t>
        </is>
      </c>
      <c r="Q427" s="6">
        <f>HYPERLINK("https://fin.land.naver.com/articles/2648089936", "매물Link")</f>
        <v/>
      </c>
      <c r="R427" s="6">
        <f>HYPERLINK("https://map.naver.com/p/search/세종특별자치시 나성동 829", "지도Link")</f>
        <v/>
      </c>
      <c r="S427" s="6">
        <f>HYPERLINK("http://www.eum.go.kr/web/ar/lu/luLandDet.jsp?pnu=3611010700108290000&amp;isNoScr=script&amp;mode=search", "토지이음")</f>
        <v/>
      </c>
      <c r="T427" s="3" t="inlineStr">
        <is>
          <t>더원</t>
        </is>
      </c>
      <c r="U427" s="3" t="n">
        <v>1</v>
      </c>
      <c r="V427" s="3" t="inlineStr">
        <is>
          <t>근린생활시설 지하주차장</t>
        </is>
      </c>
      <c r="W427" s="4" t="n">
        <v>2066</v>
      </c>
      <c r="X427" s="3" t="inlineStr">
        <is>
          <t>철근콘크리트구조</t>
        </is>
      </c>
      <c r="Y427" s="3" t="inlineStr">
        <is>
          <t>제2종근린생활시설</t>
        </is>
      </c>
      <c r="Z427" s="3" t="inlineStr">
        <is>
          <t>-m</t>
        </is>
      </c>
      <c r="AA427" s="3" t="inlineStr">
        <is>
          <t>2021-08-20</t>
        </is>
      </c>
    </row>
    <row r="428">
      <c r="A428" s="3" t="inlineStr">
        <is>
          <t>세종특별자치시 나성동 829</t>
        </is>
      </c>
      <c r="B428" s="3" t="inlineStr">
        <is>
          <t>중심상업지역</t>
        </is>
      </c>
      <c r="C428" s="3" t="inlineStr">
        <is>
          <t>대</t>
        </is>
      </c>
      <c r="D428" s="3" t="inlineStr">
        <is>
          <t>공장</t>
        </is>
      </c>
      <c r="E428" s="3" t="inlineStr">
        <is>
          <t>매매</t>
        </is>
      </c>
      <c r="F428" s="4" t="n">
        <v>250000</v>
      </c>
      <c r="G428" s="4" t="n">
        <v>0</v>
      </c>
      <c r="H428" s="4" t="n">
        <v>4185</v>
      </c>
      <c r="I428" s="4" t="n">
        <v>1266</v>
      </c>
      <c r="J428" s="5" t="n">
        <v>197.5</v>
      </c>
      <c r="K428" s="4" t="n">
        <v>337</v>
      </c>
      <c r="L428" s="4" t="n">
        <v>102</v>
      </c>
      <c r="M428" s="5" t="n">
        <v>2451</v>
      </c>
      <c r="N428" s="3" t="inlineStr">
        <is>
          <t>1</t>
        </is>
      </c>
      <c r="O428" s="3" t="inlineStr">
        <is>
          <t>-</t>
        </is>
      </c>
      <c r="P428" s="3" t="inlineStr">
        <is>
          <t>nan</t>
        </is>
      </c>
      <c r="Q428" s="6">
        <f>HYPERLINK("https://fin.land.naver.com/articles/2646010440", "매물Link")</f>
        <v/>
      </c>
      <c r="R428" s="6">
        <f>HYPERLINK("https://map.naver.com/p/search/세종특별자치시 나성동 829", "지도Link")</f>
        <v/>
      </c>
      <c r="S428" s="6">
        <f>HYPERLINK("http://www.eum.go.kr/web/ar/lu/luLandDet.jsp?pnu=3611010700108290000&amp;isNoScr=script&amp;mode=search", "토지이음")</f>
        <v/>
      </c>
      <c r="T428" s="3" t="inlineStr">
        <is>
          <t>케이투(k2)</t>
        </is>
      </c>
      <c r="U428" s="3" t="n">
        <v>1</v>
      </c>
      <c r="V428" s="3" t="inlineStr">
        <is>
          <t>801</t>
        </is>
      </c>
      <c r="W428" s="4" t="n">
        <v>337</v>
      </c>
      <c r="X428" s="3" t="inlineStr">
        <is>
          <t>철근콘크리트구조</t>
        </is>
      </c>
      <c r="Y428" s="3" t="inlineStr">
        <is>
          <t>제2종근린생활시설</t>
        </is>
      </c>
      <c r="Z428" s="3" t="inlineStr">
        <is>
          <t>-m</t>
        </is>
      </c>
      <c r="AA428" s="3" t="inlineStr">
        <is>
          <t>2021-08-20</t>
        </is>
      </c>
    </row>
    <row r="429">
      <c r="A429" s="3" t="inlineStr">
        <is>
          <t>세종특별자치시 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HYPERLINK("https://map.naver.com/p/search/세종특별자치시 나성동 829", "지도Link")</f>
        <v/>
      </c>
      <c r="S429" s="6">
        <f>HYPERLINK("http://www.eum.go.kr/web/ar/lu/luLandDet.jsp?pnu=3611010700108290000&amp;isNoScr=script&amp;mode=search", "토지이음")</f>
        <v/>
      </c>
      <c r="T429" s="3" t="inlineStr">
        <is>
          <t>더원</t>
        </is>
      </c>
      <c r="U429" s="3" t="n">
        <v>1</v>
      </c>
      <c r="V429" s="3" t="inlineStr">
        <is>
          <t>801</t>
        </is>
      </c>
      <c r="W429" s="4" t="n">
        <v>330</v>
      </c>
      <c r="X429" s="3" t="inlineStr">
        <is>
          <t>철근콘크리트구조</t>
        </is>
      </c>
      <c r="Y429" s="3" t="inlineStr">
        <is>
          <t>제2종근린생활시설</t>
        </is>
      </c>
      <c r="Z429" s="3" t="inlineStr">
        <is>
          <t>-m</t>
        </is>
      </c>
      <c r="AA429" s="3" t="inlineStr">
        <is>
          <t>2021-08-20</t>
        </is>
      </c>
    </row>
    <row r="430">
      <c r="A430" s="3" t="inlineStr">
        <is>
          <t>세종특별자치시 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HYPERLINK("https://map.naver.com/p/search/세종특별자치시 나성동 829", "지도Link")</f>
        <v/>
      </c>
      <c r="S430" s="6">
        <f>HYPERLINK("http://www.eum.go.kr/web/ar/lu/luLandDet.jsp?pnu=3611010700108290000&amp;isNoScr=script&amp;mode=search", "토지이음")</f>
        <v/>
      </c>
      <c r="T430" s="3" t="inlineStr">
        <is>
          <t>OK허니</t>
        </is>
      </c>
      <c r="U430" s="3" t="n">
        <v>1</v>
      </c>
      <c r="V430" s="3" t="inlineStr">
        <is>
          <t>803</t>
        </is>
      </c>
      <c r="W430" s="4" t="n">
        <v>725</v>
      </c>
      <c r="X430" s="3" t="inlineStr">
        <is>
          <t>철근콘크리트구조</t>
        </is>
      </c>
      <c r="Y430" s="3" t="inlineStr">
        <is>
          <t>제2종근린생활시설</t>
        </is>
      </c>
      <c r="Z430" s="3" t="inlineStr">
        <is>
          <t>-m</t>
        </is>
      </c>
      <c r="AA430" s="3" t="inlineStr">
        <is>
          <t>2021-08-20</t>
        </is>
      </c>
    </row>
    <row r="431">
      <c r="A431" s="3" t="inlineStr">
        <is>
          <t>세종특별자치시 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HYPERLINK("https://map.naver.com/p/search/세종특별자치시 나성동 829", "지도Link")</f>
        <v/>
      </c>
      <c r="S431" s="6">
        <f>HYPERLINK("http://www.eum.go.kr/web/ar/lu/luLandDet.jsp?pnu=3611010700108290000&amp;isNoScr=script&amp;mode=search", "토지이음")</f>
        <v/>
      </c>
      <c r="T431" s="3" t="inlineStr">
        <is>
          <t>(주)미르</t>
        </is>
      </c>
      <c r="U431" s="3" t="n">
        <v>1</v>
      </c>
      <c r="V431" s="3" t="inlineStr">
        <is>
          <t>605</t>
        </is>
      </c>
      <c r="W431" s="4" t="n">
        <v>1392</v>
      </c>
      <c r="X431" s="3" t="inlineStr">
        <is>
          <t>철근콘크리트구조</t>
        </is>
      </c>
      <c r="Y431" s="3" t="inlineStr">
        <is>
          <t>공동주택</t>
        </is>
      </c>
      <c r="Z431" s="3" t="inlineStr">
        <is>
          <t>45.30m</t>
        </is>
      </c>
      <c r="AA431" s="3" t="inlineStr">
        <is>
          <t>2021-08-20</t>
        </is>
      </c>
    </row>
    <row r="432">
      <c r="A432" s="3" t="inlineStr">
        <is>
          <t>세종특별자치시 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HYPERLINK("https://map.naver.com/p/search/세종특별자치시 나성동 829", "지도Link")</f>
        <v/>
      </c>
      <c r="S432" s="6">
        <f>HYPERLINK("http://www.eum.go.kr/web/ar/lu/luLandDet.jsp?pnu=3611010700108290000&amp;isNoScr=script&amp;mode=search", "토지이음")</f>
        <v/>
      </c>
      <c r="T432" s="3" t="inlineStr">
        <is>
          <t>사거리</t>
        </is>
      </c>
      <c r="U432" s="3" t="n">
        <v>1</v>
      </c>
      <c r="V432" s="3" t="inlineStr">
        <is>
          <t>공동주택 관리사무소</t>
        </is>
      </c>
      <c r="W432" s="4" t="n">
        <v>162</v>
      </c>
      <c r="X432" s="3" t="inlineStr">
        <is>
          <t>철근콘크리트구조</t>
        </is>
      </c>
      <c r="Y432" s="3" t="inlineStr">
        <is>
          <t>공동주택</t>
        </is>
      </c>
      <c r="Z432" s="3" t="inlineStr">
        <is>
          <t>-m</t>
        </is>
      </c>
      <c r="AA432" s="3" t="inlineStr">
        <is>
          <t>2021-08-20</t>
        </is>
      </c>
    </row>
    <row r="433">
      <c r="A433" s="3" t="inlineStr">
        <is>
          <t>세종특별자치시 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HYPERLINK("https://map.naver.com/p/search/세종특별자치시 나성동 829", "지도Link")</f>
        <v/>
      </c>
      <c r="S433" s="6">
        <f>HYPERLINK("http://www.eum.go.kr/web/ar/lu/luLandDet.jsp?pnu=3611010700108290000&amp;isNoScr=script&amp;mode=search", "토지이음")</f>
        <v/>
      </c>
      <c r="T433" s="3" t="inlineStr">
        <is>
          <t>반석</t>
        </is>
      </c>
      <c r="U433" s="3" t="n">
        <v>1</v>
      </c>
      <c r="V433" s="3" t="inlineStr">
        <is>
          <t>근린생활시설 기계실</t>
        </is>
      </c>
      <c r="W433" s="4" t="n">
        <v>260</v>
      </c>
      <c r="X433" s="3" t="inlineStr">
        <is>
          <t>철근콘크리트구조</t>
        </is>
      </c>
      <c r="Y433" s="3" t="inlineStr">
        <is>
          <t>제2종근린생활시설</t>
        </is>
      </c>
      <c r="Z433" s="3" t="inlineStr">
        <is>
          <t>-m</t>
        </is>
      </c>
      <c r="AA433" s="3" t="inlineStr">
        <is>
          <t>2021-08-20</t>
        </is>
      </c>
    </row>
    <row r="434">
      <c r="A434" s="3" t="inlineStr">
        <is>
          <t>세종특별자치시 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HYPERLINK("https://map.naver.com/p/search/세종특별자치시 나성동 829", "지도Link")</f>
        <v/>
      </c>
      <c r="S434" s="6">
        <f>HYPERLINK("http://www.eum.go.kr/web/ar/lu/luLandDet.jsp?pnu=3611010700108290000&amp;isNoScr=script&amp;mode=search", "토지이음")</f>
        <v/>
      </c>
      <c r="T434" s="3" t="inlineStr">
        <is>
          <t>세종연동탑</t>
        </is>
      </c>
      <c r="U434" s="3" t="n">
        <v>1</v>
      </c>
      <c r="V434" s="3" t="inlineStr">
        <is>
          <t>전망공간 기계실</t>
        </is>
      </c>
      <c r="W434" s="4" t="n">
        <v>365</v>
      </c>
      <c r="X434" s="3" t="inlineStr">
        <is>
          <t>철근콘크리트구조</t>
        </is>
      </c>
      <c r="Y434" s="3" t="inlineStr">
        <is>
          <t>제2종근린생활시설</t>
        </is>
      </c>
      <c r="Z434" s="3" t="inlineStr">
        <is>
          <t>-m</t>
        </is>
      </c>
      <c r="AA434" s="3" t="inlineStr">
        <is>
          <t>2021-08-20</t>
        </is>
      </c>
    </row>
    <row r="435">
      <c r="A435" s="3" t="inlineStr">
        <is>
          <t>세종특별자치시 나성동 829</t>
        </is>
      </c>
      <c r="B435" s="3" t="inlineStr">
        <is>
          <t>중심상업지역</t>
        </is>
      </c>
      <c r="C435" s="3" t="inlineStr">
        <is>
          <t>대</t>
        </is>
      </c>
      <c r="D435" s="3" t="inlineStr">
        <is>
          <t>공장</t>
        </is>
      </c>
      <c r="E435" s="3" t="inlineStr">
        <is>
          <t>월세</t>
        </is>
      </c>
      <c r="F435" s="4" t="n">
        <v>5000</v>
      </c>
      <c r="G435" s="4" t="n">
        <v>800</v>
      </c>
      <c r="H435" s="4" t="n">
        <v>5013</v>
      </c>
      <c r="I435" s="4" t="n">
        <v>1516</v>
      </c>
      <c r="J435" s="5" t="n">
        <v>0.5</v>
      </c>
      <c r="K435" s="4" t="n">
        <v>1535</v>
      </c>
      <c r="L435" s="4" t="n">
        <v>464</v>
      </c>
      <c r="M435" s="5" t="n">
        <v>1.7</v>
      </c>
      <c r="N435" s="3" t="inlineStr">
        <is>
          <t>1</t>
        </is>
      </c>
      <c r="O435" s="3" t="inlineStr">
        <is>
          <t>-</t>
        </is>
      </c>
      <c r="P435" s="3" t="inlineStr">
        <is>
          <t>강내면 마당넓은 단독공장 임대 사무실 기숙사 있음</t>
        </is>
      </c>
      <c r="Q435" s="6">
        <f>HYPERLINK("https://fin.land.naver.com/articles/2648089929", "매물Link")</f>
        <v/>
      </c>
      <c r="R435" s="6">
        <f>HYPERLINK("https://map.naver.com/p/search/세종특별자치시 나성동 829", "지도Link")</f>
        <v/>
      </c>
      <c r="S435" s="6">
        <f>HYPERLINK("http://www.eum.go.kr/web/ar/lu/luLandDet.jsp?pnu=3611010700108290000&amp;isNoScr=script&amp;mode=search", "토지이음")</f>
        <v/>
      </c>
      <c r="T435" s="3" t="inlineStr">
        <is>
          <t>더원</t>
        </is>
      </c>
      <c r="U435" s="3" t="n">
        <v>1</v>
      </c>
      <c r="V435" s="3" t="inlineStr">
        <is>
          <t>605</t>
        </is>
      </c>
      <c r="W435" s="4" t="n">
        <v>1535</v>
      </c>
      <c r="X435" s="3" t="inlineStr">
        <is>
          <t>철근콘크리트구조</t>
        </is>
      </c>
      <c r="Y435" s="3" t="inlineStr">
        <is>
          <t>공동주택</t>
        </is>
      </c>
      <c r="Z435" s="3" t="inlineStr">
        <is>
          <t>45.30m</t>
        </is>
      </c>
      <c r="AA435" s="3" t="inlineStr">
        <is>
          <t>2021-08-20</t>
        </is>
      </c>
    </row>
    <row r="436">
      <c r="A436" s="3" t="inlineStr">
        <is>
          <t>세종특별자치시 나성동 829</t>
        </is>
      </c>
      <c r="B436" s="3" t="inlineStr">
        <is>
          <t>중심상업지역</t>
        </is>
      </c>
      <c r="C436" s="3" t="inlineStr">
        <is>
          <t>대</t>
        </is>
      </c>
      <c r="D436" s="3" t="inlineStr">
        <is>
          <t>공장</t>
        </is>
      </c>
      <c r="E436" s="3" t="inlineStr">
        <is>
          <t>매매</t>
        </is>
      </c>
      <c r="F436" s="4" t="n">
        <v>400000</v>
      </c>
      <c r="G436" s="4" t="n">
        <v>0</v>
      </c>
      <c r="H436" s="4" t="n">
        <v>5994</v>
      </c>
      <c r="I436" s="4" t="n">
        <v>1813</v>
      </c>
      <c r="J436" s="5" t="n">
        <v>220.6</v>
      </c>
      <c r="K436" s="4" t="n">
        <v>2390</v>
      </c>
      <c r="L436" s="4" t="n">
        <v>723</v>
      </c>
      <c r="M436" s="5" t="n">
        <v>553.3</v>
      </c>
      <c r="N436" s="3" t="inlineStr">
        <is>
          <t>1</t>
        </is>
      </c>
      <c r="O436" s="3" t="inlineStr">
        <is>
          <t>-</t>
        </is>
      </c>
      <c r="P436" s="3" t="inlineStr">
        <is>
          <t>nan</t>
        </is>
      </c>
      <c r="Q436" s="6">
        <f>HYPERLINK("https://fin.land.naver.com/articles/2648558691", "매물Link")</f>
        <v/>
      </c>
      <c r="R436" s="6">
        <f>HYPERLINK("https://map.naver.com/p/search/세종특별자치시 나성동 829", "지도Link")</f>
        <v/>
      </c>
      <c r="S436" s="6">
        <f>HYPERLINK("http://www.eum.go.kr/web/ar/lu/luLandDet.jsp?pnu=3611010700108290000&amp;isNoScr=script&amp;mode=search", "토지이음")</f>
        <v/>
      </c>
      <c r="T436" s="3" t="inlineStr">
        <is>
          <t>정세영</t>
        </is>
      </c>
      <c r="U436" s="3" t="n">
        <v>1</v>
      </c>
      <c r="V436" s="3" t="inlineStr">
        <is>
          <t>근린생활시설 지하주차장</t>
        </is>
      </c>
      <c r="W436" s="4" t="n">
        <v>2390</v>
      </c>
      <c r="X436" s="3" t="inlineStr">
        <is>
          <t>철근콘크리트구조</t>
        </is>
      </c>
      <c r="Y436" s="3" t="inlineStr">
        <is>
          <t>제2종근린생활시설</t>
        </is>
      </c>
      <c r="Z436" s="3" t="inlineStr">
        <is>
          <t>-m</t>
        </is>
      </c>
      <c r="AA436" s="3" t="inlineStr">
        <is>
          <t>2021-08-20</t>
        </is>
      </c>
    </row>
    <row r="437">
      <c r="A437" s="3" t="inlineStr">
        <is>
          <t>세종특별자치시 나성동 829</t>
        </is>
      </c>
      <c r="B437" s="3" t="inlineStr">
        <is>
          <t>중심상업지역</t>
        </is>
      </c>
      <c r="C437" s="3" t="inlineStr">
        <is>
          <t>대</t>
        </is>
      </c>
      <c r="D437" s="3" t="inlineStr">
        <is>
          <t>창고</t>
        </is>
      </c>
      <c r="E437" s="3" t="inlineStr">
        <is>
          <t>월세</t>
        </is>
      </c>
      <c r="F437" s="4" t="n">
        <v>2000</v>
      </c>
      <c r="G437" s="4" t="n">
        <v>180</v>
      </c>
      <c r="H437" s="4" t="n">
        <v>990</v>
      </c>
      <c r="I437" s="4" t="n">
        <v>299</v>
      </c>
      <c r="J437" s="5" t="n">
        <v>0.6</v>
      </c>
      <c r="K437" s="4" t="n">
        <v>396</v>
      </c>
      <c r="L437" s="4" t="n">
        <v>120</v>
      </c>
      <c r="M437" s="5" t="n">
        <v>1.5</v>
      </c>
      <c r="N437" s="3" t="inlineStr">
        <is>
          <t>1</t>
        </is>
      </c>
      <c r="O437" s="3" t="inlineStr">
        <is>
          <t>-</t>
        </is>
      </c>
      <c r="P437" s="3" t="inlineStr">
        <is>
          <t>옥산,창고,별도사무실,호이스트3톤</t>
        </is>
      </c>
      <c r="Q437" s="6">
        <f>HYPERLINK("https://fin.land.naver.com/articles/2646099179", "매물Link")</f>
        <v/>
      </c>
      <c r="R437" s="6">
        <f>HYPERLINK("https://map.naver.com/p/search/세종특별자치시 나성동 829", "지도Link")</f>
        <v/>
      </c>
      <c r="S437" s="6">
        <f>HYPERLINK("http://www.eum.go.kr/web/ar/lu/luLandDet.jsp?pnu=3611010700108290000&amp;isNoScr=script&amp;mode=search", "토지이음")</f>
        <v/>
      </c>
      <c r="T437" s="3" t="inlineStr">
        <is>
          <t>LBA리치아노합동사무소</t>
        </is>
      </c>
      <c r="U437" s="3" t="n">
        <v>1</v>
      </c>
      <c r="V437" s="3" t="inlineStr">
        <is>
          <t>전망공간 기계실</t>
        </is>
      </c>
      <c r="W437" s="4" t="n">
        <v>396</v>
      </c>
      <c r="X437" s="3" t="inlineStr">
        <is>
          <t>철근콘크리트구조</t>
        </is>
      </c>
      <c r="Y437" s="3" t="inlineStr">
        <is>
          <t>제2종근린생활시설</t>
        </is>
      </c>
      <c r="Z437" s="3" t="inlineStr">
        <is>
          <t>-m</t>
        </is>
      </c>
      <c r="AA437" s="3" t="inlineStr">
        <is>
          <t>2021-08-20</t>
        </is>
      </c>
    </row>
    <row r="438">
      <c r="A438" s="3" t="inlineStr">
        <is>
          <t>세종특별자치시 나성동 829</t>
        </is>
      </c>
      <c r="B438" s="3" t="inlineStr">
        <is>
          <t>중심상업지역</t>
        </is>
      </c>
      <c r="C438" s="3" t="inlineStr">
        <is>
          <t>대</t>
        </is>
      </c>
      <c r="D438" s="3" t="inlineStr">
        <is>
          <t>공장</t>
        </is>
      </c>
      <c r="E438" s="3" t="inlineStr">
        <is>
          <t>월세</t>
        </is>
      </c>
      <c r="F438" s="4" t="n">
        <v>3000</v>
      </c>
      <c r="G438" s="4" t="n">
        <v>270</v>
      </c>
      <c r="H438" s="4" t="n">
        <v>954</v>
      </c>
      <c r="I438" s="4" t="n">
        <v>289</v>
      </c>
      <c r="J438" s="5" t="n">
        <v>0.9</v>
      </c>
      <c r="K438" s="4" t="n">
        <v>375</v>
      </c>
      <c r="L438" s="4" t="n">
        <v>113</v>
      </c>
      <c r="M438" s="5" t="n">
        <v>2.4</v>
      </c>
      <c r="N438" s="3" t="inlineStr">
        <is>
          <t>1</t>
        </is>
      </c>
      <c r="O438" s="3" t="inlineStr">
        <is>
          <t>B1</t>
        </is>
      </c>
      <c r="P438" s="3" t="inlineStr">
        <is>
          <t>옥산IC인근 공장 호이스트 있음</t>
        </is>
      </c>
      <c r="Q438" s="6">
        <f>HYPERLINK("https://fin.land.naver.com/articles/2646418317", "매물Link")</f>
        <v/>
      </c>
      <c r="R438" s="6">
        <f>HYPERLINK("https://map.naver.com/p/search/세종특별자치시 나성동 829", "지도Link")</f>
        <v/>
      </c>
      <c r="S438" s="6">
        <f>HYPERLINK("http://www.eum.go.kr/web/ar/lu/luLandDet.jsp?pnu=3611010700108290000&amp;isNoScr=script&amp;mode=search", "토지이음")</f>
        <v/>
      </c>
      <c r="T438" s="3" t="inlineStr">
        <is>
          <t>옥산금정</t>
        </is>
      </c>
      <c r="U438" s="3" t="n">
        <v>1</v>
      </c>
      <c r="V438" s="3" t="inlineStr">
        <is>
          <t>전망공간 기계실</t>
        </is>
      </c>
      <c r="W438" s="4" t="n">
        <v>375</v>
      </c>
      <c r="X438" s="3" t="inlineStr">
        <is>
          <t>철근콘크리트구조</t>
        </is>
      </c>
      <c r="Y438" s="3" t="inlineStr">
        <is>
          <t>제2종근린생활시설</t>
        </is>
      </c>
      <c r="Z438" s="3" t="inlineStr">
        <is>
          <t>-m</t>
        </is>
      </c>
      <c r="AA438" s="3" t="inlineStr">
        <is>
          <t>2021-08-20</t>
        </is>
      </c>
    </row>
    <row r="439">
      <c r="A439" s="3" t="inlineStr">
        <is>
          <t>세종특별자치시 나성동 829</t>
        </is>
      </c>
      <c r="B439" s="3" t="inlineStr">
        <is>
          <t>중심상업지역</t>
        </is>
      </c>
      <c r="C439" s="3" t="inlineStr">
        <is>
          <t>대</t>
        </is>
      </c>
      <c r="D439" s="3" t="inlineStr">
        <is>
          <t>공장</t>
        </is>
      </c>
      <c r="E439" s="3" t="inlineStr">
        <is>
          <t>매매</t>
        </is>
      </c>
      <c r="F439" s="4" t="n">
        <v>62000</v>
      </c>
      <c r="G439" s="4" t="n">
        <v>0</v>
      </c>
      <c r="H439" s="4" t="n">
        <v>867</v>
      </c>
      <c r="I439" s="4" t="n">
        <v>262</v>
      </c>
      <c r="J439" s="5" t="n">
        <v>236.6</v>
      </c>
      <c r="K439" s="4" t="n">
        <v>345</v>
      </c>
      <c r="L439" s="4" t="n">
        <v>104</v>
      </c>
      <c r="M439" s="5" t="n">
        <v>596.2</v>
      </c>
      <c r="N439" s="3" t="inlineStr">
        <is>
          <t>1</t>
        </is>
      </c>
      <c r="O439" s="3" t="inlineStr">
        <is>
          <t>-</t>
        </is>
      </c>
      <c r="P439" s="3" t="inlineStr">
        <is>
          <t>호이스트 설치된 공장 저렴한 가격에 매매 2차선접 옥산산업단지 인근</t>
        </is>
      </c>
      <c r="Q439" s="6">
        <f>HYPERLINK("https://fin.land.naver.com/articles/2646658827", "매물Link")</f>
        <v/>
      </c>
      <c r="R439" s="6">
        <f>HYPERLINK("https://map.naver.com/p/search/세종특별자치시 나성동 829", "지도Link")</f>
        <v/>
      </c>
      <c r="S439" s="6">
        <f>HYPERLINK("http://www.eum.go.kr/web/ar/lu/luLandDet.jsp?pnu=3611010700108290000&amp;isNoScr=script&amp;mode=search", "토지이음")</f>
        <v/>
      </c>
      <c r="T439" s="3" t="inlineStr">
        <is>
          <t>옥산리버자이</t>
        </is>
      </c>
      <c r="U439" s="3" t="n">
        <v>1</v>
      </c>
      <c r="V439" s="3" t="inlineStr">
        <is>
          <t>801</t>
        </is>
      </c>
      <c r="W439" s="4" t="n">
        <v>345</v>
      </c>
      <c r="X439" s="3" t="inlineStr">
        <is>
          <t>철근콘크리트구조</t>
        </is>
      </c>
      <c r="Y439" s="3" t="inlineStr">
        <is>
          <t>제2종근린생활시설</t>
        </is>
      </c>
      <c r="Z439" s="3" t="inlineStr">
        <is>
          <t>-m</t>
        </is>
      </c>
      <c r="AA439" s="3" t="inlineStr">
        <is>
          <t>2021-08-20</t>
        </is>
      </c>
    </row>
    <row r="440">
      <c r="A440" s="3" t="inlineStr">
        <is>
          <t>세종특별자치시 나성동 829</t>
        </is>
      </c>
      <c r="B440" s="3" t="inlineStr">
        <is>
          <t>중심상업지역</t>
        </is>
      </c>
      <c r="C440" s="3" t="inlineStr">
        <is>
          <t>대</t>
        </is>
      </c>
      <c r="D440" s="3" t="inlineStr">
        <is>
          <t>공장</t>
        </is>
      </c>
      <c r="E440" s="3" t="inlineStr">
        <is>
          <t>월세</t>
        </is>
      </c>
      <c r="F440" s="4" t="n">
        <v>6000</v>
      </c>
      <c r="G440" s="4" t="n">
        <v>600</v>
      </c>
      <c r="H440" s="4" t="n">
        <v>6371</v>
      </c>
      <c r="I440" s="4" t="n">
        <v>1927</v>
      </c>
      <c r="J440" s="5" t="n">
        <v>0.3</v>
      </c>
      <c r="K440" s="4" t="n">
        <v>996</v>
      </c>
      <c r="L440" s="4" t="n">
        <v>301</v>
      </c>
      <c r="M440" s="5" t="n">
        <v>2</v>
      </c>
      <c r="N440" s="3" t="inlineStr">
        <is>
          <t>1</t>
        </is>
      </c>
      <c r="O440" s="3" t="inlineStr">
        <is>
          <t>-</t>
        </is>
      </c>
      <c r="P440" s="3" t="inlineStr">
        <is>
          <t>청주ic 11km  오송역 6km 전력150kw 공장등록가능</t>
        </is>
      </c>
      <c r="Q440" s="6">
        <f>HYPERLINK("https://fin.land.naver.com/articles/2646668314", "매물Link")</f>
        <v/>
      </c>
      <c r="R440" s="6">
        <f>HYPERLINK("https://map.naver.com/p/search/세종특별자치시 나성동 829", "지도Link")</f>
        <v/>
      </c>
      <c r="S440" s="6">
        <f>HYPERLINK("http://www.eum.go.kr/web/ar/lu/luLandDet.jsp?pnu=3611010700108290000&amp;isNoScr=script&amp;mode=search", "토지이음")</f>
        <v/>
      </c>
      <c r="T440" s="3" t="inlineStr">
        <is>
          <t>더원</t>
        </is>
      </c>
      <c r="U440" s="3" t="n">
        <v>1</v>
      </c>
      <c r="V440" s="3" t="inlineStr">
        <is>
          <t>604</t>
        </is>
      </c>
      <c r="W440" s="4" t="n">
        <v>996</v>
      </c>
      <c r="X440" s="3" t="inlineStr">
        <is>
          <t>철근콘크리트구조</t>
        </is>
      </c>
      <c r="Y440" s="3" t="inlineStr">
        <is>
          <t>공동주택</t>
        </is>
      </c>
      <c r="Z440" s="3" t="inlineStr">
        <is>
          <t>38.30m</t>
        </is>
      </c>
      <c r="AA440" s="3" t="inlineStr">
        <is>
          <t>2021-08-20</t>
        </is>
      </c>
    </row>
    <row r="441">
      <c r="A441" s="3" t="inlineStr">
        <is>
          <t>세종특별자치시 나성동 829</t>
        </is>
      </c>
      <c r="B441" s="3" t="inlineStr">
        <is>
          <t>중심상업지역</t>
        </is>
      </c>
      <c r="C441" s="3" t="inlineStr">
        <is>
          <t>대</t>
        </is>
      </c>
      <c r="D441" s="3" t="inlineStr">
        <is>
          <t>공장</t>
        </is>
      </c>
      <c r="E441" s="3" t="inlineStr">
        <is>
          <t>월세</t>
        </is>
      </c>
      <c r="F441" s="4" t="n">
        <v>6000</v>
      </c>
      <c r="G441" s="4" t="n">
        <v>300</v>
      </c>
      <c r="H441" s="4" t="n">
        <v>1625</v>
      </c>
      <c r="I441" s="4" t="n">
        <v>492</v>
      </c>
      <c r="J441" s="5" t="n">
        <v>0.6</v>
      </c>
      <c r="K441" s="4" t="n">
        <v>399</v>
      </c>
      <c r="L441" s="4" t="n">
        <v>121</v>
      </c>
      <c r="M441" s="5" t="n">
        <v>2.5</v>
      </c>
      <c r="N441" s="3" t="inlineStr">
        <is>
          <t>1</t>
        </is>
      </c>
      <c r="O441" s="3" t="inlineStr">
        <is>
          <t>-</t>
        </is>
      </c>
      <c r="P441" s="3" t="inlineStr">
        <is>
          <t>LG로인근,제조업소및창고</t>
        </is>
      </c>
      <c r="Q441" s="6">
        <f>HYPERLINK("https://fin.land.naver.com/articles/2646090771", "매물Link")</f>
        <v/>
      </c>
      <c r="R441" s="6">
        <f>HYPERLINK("https://map.naver.com/p/search/세종특별자치시 나성동 829", "지도Link")</f>
        <v/>
      </c>
      <c r="S441" s="6">
        <f>HYPERLINK("http://www.eum.go.kr/web/ar/lu/luLandDet.jsp?pnu=3611010700108290000&amp;isNoScr=script&amp;mode=search", "토지이음")</f>
        <v/>
      </c>
      <c r="T441" s="3" t="inlineStr">
        <is>
          <t>LBA리치아노합동사무소</t>
        </is>
      </c>
      <c r="U441" s="3" t="n">
        <v>1</v>
      </c>
      <c r="V441" s="3" t="inlineStr">
        <is>
          <t>전망공간 기계실</t>
        </is>
      </c>
      <c r="W441" s="4" t="n">
        <v>399</v>
      </c>
      <c r="X441" s="3" t="inlineStr">
        <is>
          <t>철근콘크리트구조</t>
        </is>
      </c>
      <c r="Y441" s="3" t="inlineStr">
        <is>
          <t>제2종근린생활시설</t>
        </is>
      </c>
      <c r="Z441" s="3" t="inlineStr">
        <is>
          <t>-m</t>
        </is>
      </c>
      <c r="AA441" s="3" t="inlineStr">
        <is>
          <t>2021-08-20</t>
        </is>
      </c>
    </row>
    <row r="442">
      <c r="A442" s="3" t="inlineStr">
        <is>
          <t>세종특별자치시 나성동 829</t>
        </is>
      </c>
      <c r="B442" s="3" t="inlineStr">
        <is>
          <t>중심상업지역</t>
        </is>
      </c>
      <c r="C442" s="3" t="inlineStr">
        <is>
          <t>대</t>
        </is>
      </c>
      <c r="D442" s="3" t="inlineStr">
        <is>
          <t>공장</t>
        </is>
      </c>
      <c r="E442" s="3" t="inlineStr">
        <is>
          <t>월세</t>
        </is>
      </c>
      <c r="F442" s="4" t="n">
        <v>12000</v>
      </c>
      <c r="G442" s="4" t="n">
        <v>0</v>
      </c>
      <c r="H442" s="4" t="n">
        <v>5018</v>
      </c>
      <c r="I442" s="4" t="n">
        <v>1518</v>
      </c>
      <c r="J442" s="5" t="n">
        <v>0</v>
      </c>
      <c r="K442" s="4" t="n">
        <v>1984</v>
      </c>
      <c r="L442" s="4" t="n">
        <v>600</v>
      </c>
      <c r="M442" s="5" t="n">
        <v>0</v>
      </c>
      <c r="N442" s="3" t="inlineStr">
        <is>
          <t>1</t>
        </is>
      </c>
      <c r="O442" s="3" t="inlineStr">
        <is>
          <t>-</t>
        </is>
      </c>
      <c r="P442" s="3" t="inlineStr">
        <is>
          <t>오송 산업단지 접근성 좋은 대형 공장 및 창고 임대</t>
        </is>
      </c>
      <c r="Q442" s="6">
        <f>HYPERLINK("https://fin.land.naver.com/articles/2646668388", "매물Link")</f>
        <v/>
      </c>
      <c r="R442" s="6">
        <f>HYPERLINK("https://map.naver.com/p/search/세종특별자치시 나성동 829", "지도Link")</f>
        <v/>
      </c>
      <c r="S442" s="6">
        <f>HYPERLINK("http://www.eum.go.kr/web/ar/lu/luLandDet.jsp?pnu=3611010700108290000&amp;isNoScr=script&amp;mode=search", "토지이음")</f>
        <v/>
      </c>
      <c r="T442" s="3" t="inlineStr">
        <is>
          <t>더원</t>
        </is>
      </c>
      <c r="U442" s="3" t="n">
        <v>1</v>
      </c>
      <c r="V442" s="3" t="inlineStr">
        <is>
          <t>901(전망공간)</t>
        </is>
      </c>
      <c r="W442" s="4" t="n">
        <v>1984</v>
      </c>
      <c r="X442" s="3" t="inlineStr">
        <is>
          <t>철근콘크리트구조</t>
        </is>
      </c>
      <c r="Y442" s="3" t="inlineStr">
        <is>
          <t>제2종근린생활시설</t>
        </is>
      </c>
      <c r="Z442" s="3" t="inlineStr">
        <is>
          <t>-m</t>
        </is>
      </c>
      <c r="AA442" s="3" t="inlineStr">
        <is>
          <t>2021-08-20</t>
        </is>
      </c>
    </row>
    <row r="443">
      <c r="A443" s="3" t="inlineStr">
        <is>
          <t>세종특별자치시 나성동 829</t>
        </is>
      </c>
      <c r="B443" s="3" t="inlineStr">
        <is>
          <t>중심상업지역</t>
        </is>
      </c>
      <c r="C443" s="3" t="inlineStr">
        <is>
          <t>대</t>
        </is>
      </c>
      <c r="D443" s="3" t="inlineStr">
        <is>
          <t>공장</t>
        </is>
      </c>
      <c r="E443" s="3" t="inlineStr">
        <is>
          <t>매매</t>
        </is>
      </c>
      <c r="F443" s="4" t="n">
        <v>290000</v>
      </c>
      <c r="G443" s="4" t="n">
        <v>0</v>
      </c>
      <c r="H443" s="4" t="n">
        <v>5002</v>
      </c>
      <c r="I443" s="4" t="n">
        <v>1513</v>
      </c>
      <c r="J443" s="5" t="n">
        <v>191.7</v>
      </c>
      <c r="K443" s="4" t="n">
        <v>1933</v>
      </c>
      <c r="L443" s="4" t="n">
        <v>585</v>
      </c>
      <c r="M443" s="5" t="n">
        <v>495.7</v>
      </c>
      <c r="N443" s="3" t="inlineStr">
        <is>
          <t>4</t>
        </is>
      </c>
      <c r="O443" s="3" t="inlineStr">
        <is>
          <t>-</t>
        </is>
      </c>
      <c r="P443" s="3" t="inlineStr">
        <is>
          <t>오송생명과학단지 7분거리이며 2차선도로접하여 대형차 진출입원활</t>
        </is>
      </c>
      <c r="Q443" s="6">
        <f>HYPERLINK("https://fin.land.naver.com/articles/2646668685", "매물Link")</f>
        <v/>
      </c>
      <c r="R443" s="6">
        <f>HYPERLINK("https://map.naver.com/p/search/세종특별자치시 나성동 829", "지도Link")</f>
        <v/>
      </c>
      <c r="S443" s="6">
        <f>HYPERLINK("http://www.eum.go.kr/web/ar/lu/luLandDet.jsp?pnu=3611010700108290000&amp;isNoScr=script&amp;mode=search", "토지이음")</f>
        <v/>
      </c>
      <c r="T443" s="3" t="inlineStr">
        <is>
          <t>더원</t>
        </is>
      </c>
      <c r="U443" s="3" t="n">
        <v>1</v>
      </c>
      <c r="V443" s="3" t="inlineStr">
        <is>
          <t>901(전망공간)</t>
        </is>
      </c>
      <c r="W443" s="4" t="n">
        <v>1933</v>
      </c>
      <c r="X443" s="3" t="inlineStr">
        <is>
          <t>철근콘크리트구조</t>
        </is>
      </c>
      <c r="Y443" s="3" t="inlineStr">
        <is>
          <t>제2종근린생활시설</t>
        </is>
      </c>
      <c r="Z443" s="3" t="inlineStr">
        <is>
          <t>-m</t>
        </is>
      </c>
      <c r="AA443" s="3" t="inlineStr">
        <is>
          <t>2021-08-20</t>
        </is>
      </c>
    </row>
    <row r="444">
      <c r="A444" s="3" t="inlineStr">
        <is>
          <t>세종특별자치시 나성동 829</t>
        </is>
      </c>
      <c r="B444" s="3" t="inlineStr">
        <is>
          <t>중심상업지역</t>
        </is>
      </c>
      <c r="C444" s="3" t="inlineStr">
        <is>
          <t>대</t>
        </is>
      </c>
      <c r="D444" s="3" t="inlineStr">
        <is>
          <t>공장</t>
        </is>
      </c>
      <c r="E444" s="3" t="inlineStr">
        <is>
          <t>매매</t>
        </is>
      </c>
      <c r="F444" s="4" t="n">
        <v>145000</v>
      </c>
      <c r="G444" s="4" t="n">
        <v>0</v>
      </c>
      <c r="H444" s="4" t="n">
        <v>3713</v>
      </c>
      <c r="I444" s="4" t="n">
        <v>1123</v>
      </c>
      <c r="J444" s="5" t="n">
        <v>129.1</v>
      </c>
      <c r="K444" s="4" t="n">
        <v>657</v>
      </c>
      <c r="L444" s="4" t="n">
        <v>199</v>
      </c>
      <c r="M444" s="5" t="n">
        <v>728.6</v>
      </c>
      <c r="N444" s="3" t="inlineStr">
        <is>
          <t>1</t>
        </is>
      </c>
      <c r="O444" s="3" t="inlineStr">
        <is>
          <t>-</t>
        </is>
      </c>
      <c r="P444" s="3" t="inlineStr">
        <is>
          <t>2차선도로변 공장 민가없고 마당넓어 야적장으로 사용하시기 적당</t>
        </is>
      </c>
      <c r="Q444" s="6">
        <f>HYPERLINK("https://fin.land.naver.com/articles/2646668785", "매물Link")</f>
        <v/>
      </c>
      <c r="R444" s="6">
        <f>HYPERLINK("https://map.naver.com/p/search/세종특별자치시 나성동 829", "지도Link")</f>
        <v/>
      </c>
      <c r="S444" s="6">
        <f>HYPERLINK("http://www.eum.go.kr/web/ar/lu/luLandDet.jsp?pnu=3611010700108290000&amp;isNoScr=script&amp;mode=search", "토지이음")</f>
        <v/>
      </c>
      <c r="T444" s="3" t="inlineStr">
        <is>
          <t>더원</t>
        </is>
      </c>
      <c r="U444" s="3" t="n">
        <v>1</v>
      </c>
      <c r="V444" s="3" t="inlineStr">
        <is>
          <t>803</t>
        </is>
      </c>
      <c r="W444" s="4" t="n">
        <v>657</v>
      </c>
      <c r="X444" s="3" t="inlineStr">
        <is>
          <t>철근콘크리트구조</t>
        </is>
      </c>
      <c r="Y444" s="3" t="inlineStr">
        <is>
          <t>제2종근린생활시설</t>
        </is>
      </c>
      <c r="Z444" s="3" t="inlineStr">
        <is>
          <t>-m</t>
        </is>
      </c>
      <c r="AA444" s="3" t="inlineStr">
        <is>
          <t>2021-08-20</t>
        </is>
      </c>
    </row>
    <row r="445">
      <c r="A445" s="3" t="inlineStr">
        <is>
          <t>세종특별자치시 나성동 829</t>
        </is>
      </c>
      <c r="B445" s="3" t="inlineStr">
        <is>
          <t>중심상업지역</t>
        </is>
      </c>
      <c r="C445" s="3" t="inlineStr">
        <is>
          <t>대</t>
        </is>
      </c>
      <c r="D445" s="3" t="inlineStr">
        <is>
          <t>공장</t>
        </is>
      </c>
      <c r="E445" s="3" t="inlineStr">
        <is>
          <t>월세</t>
        </is>
      </c>
      <c r="F445" s="4" t="n">
        <v>14000</v>
      </c>
      <c r="G445" s="4" t="n">
        <v>0</v>
      </c>
      <c r="H445" s="4" t="n">
        <v>4924</v>
      </c>
      <c r="I445" s="4" t="n">
        <v>1490</v>
      </c>
      <c r="J445" s="5" t="n">
        <v>0</v>
      </c>
      <c r="K445" s="4" t="n">
        <v>1963</v>
      </c>
      <c r="L445" s="4" t="n">
        <v>594</v>
      </c>
      <c r="M445" s="5" t="n">
        <v>0</v>
      </c>
      <c r="N445" s="3" t="inlineStr">
        <is>
          <t>1</t>
        </is>
      </c>
      <c r="O445" s="3" t="inlineStr">
        <is>
          <t>-</t>
        </is>
      </c>
      <c r="P445" s="3" t="inlineStr">
        <is>
          <t>단독공장2차선도로접  오송생명과학단지 5분거리  대형차진출입및 회차편리</t>
        </is>
      </c>
      <c r="Q445" s="6">
        <f>HYPERLINK("https://fin.land.naver.com/articles/2646668842", "매물Link")</f>
        <v/>
      </c>
      <c r="R445" s="6">
        <f>HYPERLINK("https://map.naver.com/p/search/세종특별자치시 나성동 829", "지도Link")</f>
        <v/>
      </c>
      <c r="S445" s="6">
        <f>HYPERLINK("http://www.eum.go.kr/web/ar/lu/luLandDet.jsp?pnu=3611010700108290000&amp;isNoScr=script&amp;mode=search", "토지이음")</f>
        <v/>
      </c>
      <c r="T445" s="3" t="inlineStr">
        <is>
          <t>더원</t>
        </is>
      </c>
      <c r="U445" s="3" t="n">
        <v>1</v>
      </c>
      <c r="V445" s="3" t="inlineStr">
        <is>
          <t>901(전망공간)</t>
        </is>
      </c>
      <c r="W445" s="4" t="n">
        <v>1963</v>
      </c>
      <c r="X445" s="3" t="inlineStr">
        <is>
          <t>철근콘크리트구조</t>
        </is>
      </c>
      <c r="Y445" s="3" t="inlineStr">
        <is>
          <t>제2종근린생활시설</t>
        </is>
      </c>
      <c r="Z445" s="3" t="inlineStr">
        <is>
          <t>-m</t>
        </is>
      </c>
      <c r="AA445" s="3" t="inlineStr">
        <is>
          <t>2021-08-20</t>
        </is>
      </c>
    </row>
    <row r="446">
      <c r="A446" s="3" t="inlineStr">
        <is>
          <t>세종특별자치시 나성동 829</t>
        </is>
      </c>
      <c r="B446" s="3" t="inlineStr">
        <is>
          <t>중심상업지역</t>
        </is>
      </c>
      <c r="C446" s="3" t="inlineStr">
        <is>
          <t>대</t>
        </is>
      </c>
      <c r="D446" s="3" t="inlineStr">
        <is>
          <t>공장</t>
        </is>
      </c>
      <c r="E446" s="3" t="inlineStr">
        <is>
          <t>월세</t>
        </is>
      </c>
      <c r="F446" s="4" t="n">
        <v>3000</v>
      </c>
      <c r="G446" s="4" t="n">
        <v>180</v>
      </c>
      <c r="H446" s="4" t="n">
        <v>926</v>
      </c>
      <c r="I446" s="4" t="n">
        <v>280</v>
      </c>
      <c r="J446" s="5" t="n">
        <v>0.6</v>
      </c>
      <c r="K446" s="4" t="n">
        <v>185</v>
      </c>
      <c r="L446" s="4" t="n">
        <v>56</v>
      </c>
      <c r="M446" s="5" t="n">
        <v>3.2</v>
      </c>
      <c r="N446" s="3" t="inlineStr">
        <is>
          <t>1</t>
        </is>
      </c>
      <c r="O446" s="3" t="inlineStr">
        <is>
          <t>-</t>
        </is>
      </c>
      <c r="P446" s="3" t="inlineStr">
        <is>
          <t>LG로인근,제조업소및창고,2층사무실</t>
        </is>
      </c>
      <c r="Q446" s="6">
        <f>HYPERLINK("https://fin.land.naver.com/articles/2646753891", "매물Link")</f>
        <v/>
      </c>
      <c r="R446" s="6">
        <f>HYPERLINK("https://map.naver.com/p/search/세종특별자치시 나성동 829", "지도Link")</f>
        <v/>
      </c>
      <c r="S446" s="6">
        <f>HYPERLINK("http://www.eum.go.kr/web/ar/lu/luLandDet.jsp?pnu=3611010700108290000&amp;isNoScr=script&amp;mode=search", "토지이음")</f>
        <v/>
      </c>
      <c r="T446" s="3" t="inlineStr">
        <is>
          <t>LBA리치아노합동사무소</t>
        </is>
      </c>
      <c r="U446" s="3" t="n">
        <v>1</v>
      </c>
      <c r="V446" s="3" t="inlineStr">
        <is>
          <t>701</t>
        </is>
      </c>
      <c r="W446" s="4" t="n">
        <v>185</v>
      </c>
      <c r="X446" s="3" t="inlineStr">
        <is>
          <t>철근콘크리트구조</t>
        </is>
      </c>
      <c r="Y446" s="3" t="inlineStr">
        <is>
          <t>판매시설</t>
        </is>
      </c>
      <c r="Z446" s="3" t="inlineStr">
        <is>
          <t>-m</t>
        </is>
      </c>
      <c r="AA446" s="3" t="inlineStr">
        <is>
          <t>2021-08-20</t>
        </is>
      </c>
    </row>
    <row r="447">
      <c r="A447" s="3" t="inlineStr">
        <is>
          <t>세종특별자치시 나성동 829</t>
        </is>
      </c>
      <c r="B447" s="3" t="inlineStr">
        <is>
          <t>중심상업지역</t>
        </is>
      </c>
      <c r="C447" s="3" t="inlineStr">
        <is>
          <t>대</t>
        </is>
      </c>
      <c r="D447" s="3" t="inlineStr">
        <is>
          <t>공장</t>
        </is>
      </c>
      <c r="E447" s="3" t="inlineStr">
        <is>
          <t>매매</t>
        </is>
      </c>
      <c r="F447" s="4" t="n">
        <v>150000</v>
      </c>
      <c r="G447" s="4" t="n">
        <v>0</v>
      </c>
      <c r="H447" s="4" t="n">
        <v>3644</v>
      </c>
      <c r="I447" s="4" t="n">
        <v>1102</v>
      </c>
      <c r="J447" s="5" t="n">
        <v>136.1</v>
      </c>
      <c r="K447" s="4" t="n">
        <v>553</v>
      </c>
      <c r="L447" s="4" t="n">
        <v>167</v>
      </c>
      <c r="M447" s="5" t="n">
        <v>898.2</v>
      </c>
      <c r="N447" s="3" t="inlineStr">
        <is>
          <t>1</t>
        </is>
      </c>
      <c r="O447" s="3" t="inlineStr">
        <is>
          <t>B1</t>
        </is>
      </c>
      <c r="P447" s="3" t="inlineStr">
        <is>
          <t>2차선 도로접, 강내ic 차량 5분거리</t>
        </is>
      </c>
      <c r="Q447" s="6">
        <f>HYPERLINK("https://fin.land.naver.com/articles/2646801525", "매물Link")</f>
        <v/>
      </c>
      <c r="R447" s="6">
        <f>HYPERLINK("https://map.naver.com/p/search/세종특별자치시 나성동 829", "지도Link")</f>
        <v/>
      </c>
      <c r="S447" s="6">
        <f>HYPERLINK("http://www.eum.go.kr/web/ar/lu/luLandDet.jsp?pnu=3611010700108290000&amp;isNoScr=script&amp;mode=search", "토지이음")</f>
        <v/>
      </c>
      <c r="T447" s="3" t="inlineStr">
        <is>
          <t>하경</t>
        </is>
      </c>
      <c r="U447" s="3" t="n">
        <v>1</v>
      </c>
      <c r="V447" s="3" t="inlineStr">
        <is>
          <t>전망공간 기계실</t>
        </is>
      </c>
      <c r="W447" s="4" t="n">
        <v>553</v>
      </c>
      <c r="X447" s="3" t="inlineStr">
        <is>
          <t>철근콘크리트구조</t>
        </is>
      </c>
      <c r="Y447" s="3" t="inlineStr">
        <is>
          <t>제2종근린생활시설</t>
        </is>
      </c>
      <c r="Z447" s="3" t="inlineStr">
        <is>
          <t>-m</t>
        </is>
      </c>
      <c r="AA447" s="3" t="inlineStr">
        <is>
          <t>2021-08-20</t>
        </is>
      </c>
    </row>
    <row r="448">
      <c r="A448" s="3" t="inlineStr">
        <is>
          <t>세종특별자치시 나성동 829</t>
        </is>
      </c>
      <c r="B448" s="3" t="inlineStr">
        <is>
          <t>중심상업지역</t>
        </is>
      </c>
      <c r="C448" s="3" t="inlineStr">
        <is>
          <t>대</t>
        </is>
      </c>
      <c r="D448" s="3" t="inlineStr">
        <is>
          <t>창고</t>
        </is>
      </c>
      <c r="E448" s="3" t="inlineStr">
        <is>
          <t>월세</t>
        </is>
      </c>
      <c r="F448" s="4" t="n">
        <v>2000</v>
      </c>
      <c r="G448" s="4" t="n">
        <v>130</v>
      </c>
      <c r="H448" s="4" t="n">
        <v>3611</v>
      </c>
      <c r="I448" s="4" t="n">
        <v>1092</v>
      </c>
      <c r="J448" s="5" t="n">
        <v>0.1</v>
      </c>
      <c r="K448" s="4" t="n">
        <v>196</v>
      </c>
      <c r="L448" s="4" t="n">
        <v>59</v>
      </c>
      <c r="M448" s="5" t="n">
        <v>2.2</v>
      </c>
      <c r="N448" s="3" t="inlineStr">
        <is>
          <t>1</t>
        </is>
      </c>
      <c r="O448" s="3" t="inlineStr">
        <is>
          <t>-</t>
        </is>
      </c>
      <c r="P448" s="3" t="inlineStr">
        <is>
          <t>창고형상가전면테라스있음.시스템에어컨2대. 복층.</t>
        </is>
      </c>
      <c r="Q448" s="6">
        <f>HYPERLINK("https://fin.land.naver.com/articles/2646415552", "매물Link")</f>
        <v/>
      </c>
      <c r="R448" s="6">
        <f>HYPERLINK("https://map.naver.com/p/search/세종특별자치시 나성동 829", "지도Link")</f>
        <v/>
      </c>
      <c r="S448" s="6">
        <f>HYPERLINK("http://www.eum.go.kr/web/ar/lu/luLandDet.jsp?pnu=3611010700108290000&amp;isNoScr=script&amp;mode=search", "토지이음")</f>
        <v/>
      </c>
      <c r="T448" s="3" t="inlineStr">
        <is>
          <t>옥산제일사무소</t>
        </is>
      </c>
      <c r="U448" s="3" t="n">
        <v>1</v>
      </c>
      <c r="V448" s="3" t="inlineStr">
        <is>
          <t>공동주택 주민공동시설</t>
        </is>
      </c>
      <c r="W448" s="4" t="n">
        <v>196</v>
      </c>
      <c r="X448" s="3" t="inlineStr">
        <is>
          <t>철근콘크리트구조</t>
        </is>
      </c>
      <c r="Y448" s="3" t="inlineStr">
        <is>
          <t>공동주택</t>
        </is>
      </c>
      <c r="Z448" s="3" t="inlineStr">
        <is>
          <t>-m</t>
        </is>
      </c>
      <c r="AA448" s="3" t="inlineStr">
        <is>
          <t>2021-08-20</t>
        </is>
      </c>
    </row>
    <row r="449">
      <c r="A449" s="3" t="inlineStr">
        <is>
          <t>세종특별자치시 나성동 829</t>
        </is>
      </c>
      <c r="B449" s="3" t="inlineStr">
        <is>
          <t>중심상업지역</t>
        </is>
      </c>
      <c r="C449" s="3" t="inlineStr">
        <is>
          <t>대</t>
        </is>
      </c>
      <c r="D449" s="3" t="inlineStr">
        <is>
          <t>공장</t>
        </is>
      </c>
      <c r="E449" s="3" t="inlineStr">
        <is>
          <t>월세</t>
        </is>
      </c>
      <c r="F449" s="4" t="n">
        <v>4000</v>
      </c>
      <c r="G449" s="4" t="n">
        <v>370</v>
      </c>
      <c r="H449" s="4" t="n">
        <v>1389</v>
      </c>
      <c r="I449" s="4" t="n">
        <v>420</v>
      </c>
      <c r="J449" s="5" t="n">
        <v>0.9</v>
      </c>
      <c r="K449" s="4" t="n">
        <v>550</v>
      </c>
      <c r="L449" s="4" t="n">
        <v>166</v>
      </c>
      <c r="M449" s="5" t="n">
        <v>2.2</v>
      </c>
      <c r="N449" s="3" t="inlineStr">
        <is>
          <t>1</t>
        </is>
      </c>
      <c r="O449" s="3" t="inlineStr">
        <is>
          <t>-</t>
        </is>
      </c>
      <c r="P449" s="3" t="inlineStr">
        <is>
          <t>옥산하이패스TG 9분거리이며 신축 식품공장가능 하수종말처리장연결</t>
        </is>
      </c>
      <c r="Q449" s="6">
        <f>HYPERLINK("https://fin.land.naver.com/articles/2646668681", "매물Link")</f>
        <v/>
      </c>
      <c r="R449" s="6">
        <f>HYPERLINK("https://map.naver.com/p/search/세종특별자치시 나성동 829", "지도Link")</f>
        <v/>
      </c>
      <c r="S449" s="6">
        <f>HYPERLINK("http://www.eum.go.kr/web/ar/lu/luLandDet.jsp?pnu=3611010700108290000&amp;isNoScr=script&amp;mode=search", "토지이음")</f>
        <v/>
      </c>
      <c r="T449" s="3" t="inlineStr">
        <is>
          <t>더원</t>
        </is>
      </c>
      <c r="U449" s="3" t="n">
        <v>1</v>
      </c>
      <c r="V449" s="3" t="inlineStr">
        <is>
          <t>전망공간 기계실</t>
        </is>
      </c>
      <c r="W449" s="4" t="n">
        <v>550</v>
      </c>
      <c r="X449" s="3" t="inlineStr">
        <is>
          <t>철근콘크리트구조</t>
        </is>
      </c>
      <c r="Y449" s="3" t="inlineStr">
        <is>
          <t>제2종근린생활시설</t>
        </is>
      </c>
      <c r="Z449" s="3" t="inlineStr">
        <is>
          <t>-m</t>
        </is>
      </c>
      <c r="AA449" s="3" t="inlineStr">
        <is>
          <t>2021-08-20</t>
        </is>
      </c>
    </row>
    <row r="450">
      <c r="A450" s="3" t="inlineStr">
        <is>
          <t>세종특별자치시 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HYPERLINK("https://map.naver.com/p/search/세종특별자치시 나성동 829", "지도Link")</f>
        <v/>
      </c>
      <c r="S450" s="6">
        <f>HYPERLINK("http://www.eum.go.kr/web/ar/lu/luLandDet.jsp?pnu=3611010700108290000&amp;isNoScr=script&amp;mode=search", "토지이음")</f>
        <v/>
      </c>
      <c r="T450" s="3" t="inlineStr">
        <is>
          <t>LBA리치아노합동사무소</t>
        </is>
      </c>
      <c r="U450" s="3" t="n">
        <v>1</v>
      </c>
      <c r="V450" s="3" t="inlineStr">
        <is>
          <t>전망공간 기계실</t>
        </is>
      </c>
      <c r="W450" s="4" t="n">
        <v>462</v>
      </c>
      <c r="X450" s="3" t="inlineStr">
        <is>
          <t>철근콘크리트구조</t>
        </is>
      </c>
      <c r="Y450" s="3" t="inlineStr">
        <is>
          <t>제2종근린생활시설</t>
        </is>
      </c>
      <c r="Z450" s="3" t="inlineStr">
        <is>
          <t>-m</t>
        </is>
      </c>
      <c r="AA450" s="3" t="inlineStr">
        <is>
          <t>2021-08-20</t>
        </is>
      </c>
    </row>
    <row r="451">
      <c r="A451" s="3" t="inlineStr">
        <is>
          <t>세종특별자치시 나성동 829</t>
        </is>
      </c>
      <c r="B451" s="3" t="inlineStr">
        <is>
          <t>중심상업지역</t>
        </is>
      </c>
      <c r="C451" s="3" t="inlineStr">
        <is>
          <t>대</t>
        </is>
      </c>
      <c r="D451" s="3" t="inlineStr">
        <is>
          <t>공장</t>
        </is>
      </c>
      <c r="E451" s="3" t="inlineStr">
        <is>
          <t>매매</t>
        </is>
      </c>
      <c r="F451" s="4" t="n">
        <v>490000</v>
      </c>
      <c r="G451" s="4" t="n">
        <v>0</v>
      </c>
      <c r="H451" s="4" t="n">
        <v>7140</v>
      </c>
      <c r="I451" s="4" t="n">
        <v>2160</v>
      </c>
      <c r="J451" s="5" t="n">
        <v>226.9</v>
      </c>
      <c r="K451" s="4" t="n">
        <v>2542</v>
      </c>
      <c r="L451" s="4" t="n">
        <v>769</v>
      </c>
      <c r="M451" s="5" t="n">
        <v>637.2</v>
      </c>
      <c r="N451" s="3" t="inlineStr">
        <is>
          <t>1</t>
        </is>
      </c>
      <c r="O451" s="3" t="inlineStr">
        <is>
          <t>-</t>
        </is>
      </c>
      <c r="P451" s="3" t="inlineStr">
        <is>
          <t>오송생명과학단지 7분거리 2차선도로접 대형 트레일러 진출입 가능</t>
        </is>
      </c>
      <c r="Q451" s="6">
        <f>HYPERLINK("https://fin.land.naver.com/articles/2644022608", "매물Link")</f>
        <v/>
      </c>
      <c r="R451" s="6">
        <f>HYPERLINK("https://map.naver.com/p/search/세종특별자치시 나성동 829", "지도Link")</f>
        <v/>
      </c>
      <c r="S451" s="6">
        <f>HYPERLINK("http://www.eum.go.kr/web/ar/lu/luLandDet.jsp?pnu=3611010700108290000&amp;isNoScr=script&amp;mode=search", "토지이음")</f>
        <v/>
      </c>
      <c r="T451" s="3" t="inlineStr">
        <is>
          <t>더원</t>
        </is>
      </c>
      <c r="U451" s="3" t="n">
        <v>1</v>
      </c>
      <c r="V451" s="3" t="inlineStr">
        <is>
          <t>802</t>
        </is>
      </c>
      <c r="W451" s="4" t="n">
        <v>2542</v>
      </c>
      <c r="X451" s="3" t="inlineStr">
        <is>
          <t>철근콘크리트구조</t>
        </is>
      </c>
      <c r="Y451" s="3" t="inlineStr">
        <is>
          <t>제2종근린생활시설</t>
        </is>
      </c>
      <c r="Z451" s="3" t="inlineStr">
        <is>
          <t>-m</t>
        </is>
      </c>
      <c r="AA451" s="3" t="inlineStr">
        <is>
          <t>2021-08-20</t>
        </is>
      </c>
    </row>
    <row r="452">
      <c r="A452" s="3" t="inlineStr">
        <is>
          <t>세종특별자치시 나성동 829</t>
        </is>
      </c>
      <c r="B452" s="3" t="inlineStr">
        <is>
          <t>중심상업지역</t>
        </is>
      </c>
      <c r="C452" s="3" t="inlineStr">
        <is>
          <t>대</t>
        </is>
      </c>
      <c r="D452" s="3" t="inlineStr">
        <is>
          <t>창고</t>
        </is>
      </c>
      <c r="E452" s="3" t="inlineStr">
        <is>
          <t>월세</t>
        </is>
      </c>
      <c r="F452" s="4" t="n">
        <v>2000</v>
      </c>
      <c r="G452" s="4" t="n">
        <v>116</v>
      </c>
      <c r="H452" s="4" t="n">
        <v>1490</v>
      </c>
      <c r="I452" s="4" t="n">
        <v>451</v>
      </c>
      <c r="J452" s="5" t="n">
        <v>0.3</v>
      </c>
      <c r="K452" s="4" t="n">
        <v>192</v>
      </c>
      <c r="L452" s="4" t="n">
        <v>58</v>
      </c>
      <c r="M452" s="5" t="n">
        <v>2</v>
      </c>
      <c r="N452" s="3" t="inlineStr">
        <is>
          <t>1</t>
        </is>
      </c>
      <c r="O452" s="3" t="inlineStr">
        <is>
          <t>B1</t>
        </is>
      </c>
      <c r="P452" s="3" t="inlineStr">
        <is>
          <t>nan</t>
        </is>
      </c>
      <c r="Q452" s="6">
        <f>HYPERLINK("https://fin.land.naver.com/articles/2644028192", "매물Link")</f>
        <v/>
      </c>
      <c r="R452" s="6">
        <f>HYPERLINK("https://map.naver.com/p/search/세종특별자치시 나성동 829", "지도Link")</f>
        <v/>
      </c>
      <c r="S452" s="6">
        <f>HYPERLINK("http://www.eum.go.kr/web/ar/lu/luLandDet.jsp?pnu=3611010700108290000&amp;isNoScr=script&amp;mode=search", "토지이음")</f>
        <v/>
      </c>
      <c r="T452" s="3" t="inlineStr">
        <is>
          <t>옥산금정</t>
        </is>
      </c>
      <c r="U452" s="3" t="n">
        <v>1</v>
      </c>
      <c r="V452" s="3" t="inlineStr">
        <is>
          <t>공동주택 주민공동시설</t>
        </is>
      </c>
      <c r="W452" s="4" t="n">
        <v>192</v>
      </c>
      <c r="X452" s="3" t="inlineStr">
        <is>
          <t>철근콘크리트구조</t>
        </is>
      </c>
      <c r="Y452" s="3" t="inlineStr">
        <is>
          <t>공동주택</t>
        </is>
      </c>
      <c r="Z452" s="3" t="inlineStr">
        <is>
          <t>-m</t>
        </is>
      </c>
      <c r="AA452" s="3" t="inlineStr">
        <is>
          <t>2021-08-20</t>
        </is>
      </c>
    </row>
    <row r="453">
      <c r="A453" s="3" t="inlineStr">
        <is>
          <t>세종특별자치시 나성동 829</t>
        </is>
      </c>
      <c r="B453" s="3" t="inlineStr">
        <is>
          <t>중심상업지역</t>
        </is>
      </c>
      <c r="C453" s="3" t="inlineStr">
        <is>
          <t>대</t>
        </is>
      </c>
      <c r="D453" s="3" t="inlineStr">
        <is>
          <t>공장</t>
        </is>
      </c>
      <c r="E453" s="3" t="inlineStr">
        <is>
          <t>매매</t>
        </is>
      </c>
      <c r="F453" s="4" t="n">
        <v>145000</v>
      </c>
      <c r="G453" s="4" t="n">
        <v>0</v>
      </c>
      <c r="H453" s="4" t="n">
        <v>3713</v>
      </c>
      <c r="I453" s="4" t="n">
        <v>1123</v>
      </c>
      <c r="J453" s="5" t="n">
        <v>129.1</v>
      </c>
      <c r="K453" s="4" t="n">
        <v>657</v>
      </c>
      <c r="L453" s="4" t="n">
        <v>199</v>
      </c>
      <c r="M453" s="5" t="n">
        <v>728.6</v>
      </c>
      <c r="N453" s="3" t="inlineStr">
        <is>
          <t>1</t>
        </is>
      </c>
      <c r="O453" s="3" t="inlineStr">
        <is>
          <t>-</t>
        </is>
      </c>
      <c r="P453" s="3" t="inlineStr">
        <is>
          <t>야적장으로 좋고 주변에 민가 없음</t>
        </is>
      </c>
      <c r="Q453" s="6">
        <f>HYPERLINK("https://fin.land.naver.com/articles/2644241356", "매물Link")</f>
        <v/>
      </c>
      <c r="R453" s="6">
        <f>HYPERLINK("https://map.naver.com/p/search/세종특별자치시 나성동 829", "지도Link")</f>
        <v/>
      </c>
      <c r="S453" s="6">
        <f>HYPERLINK("http://www.eum.go.kr/web/ar/lu/luLandDet.jsp?pnu=3611010700108290000&amp;isNoScr=script&amp;mode=search", "토지이음")</f>
        <v/>
      </c>
      <c r="T453" s="3" t="inlineStr">
        <is>
          <t>미더스</t>
        </is>
      </c>
      <c r="U453" s="3" t="n">
        <v>1</v>
      </c>
      <c r="V453" s="3" t="inlineStr">
        <is>
          <t>803</t>
        </is>
      </c>
      <c r="W453" s="4" t="n">
        <v>657</v>
      </c>
      <c r="X453" s="3" t="inlineStr">
        <is>
          <t>철근콘크리트구조</t>
        </is>
      </c>
      <c r="Y453" s="3" t="inlineStr">
        <is>
          <t>제2종근린생활시설</t>
        </is>
      </c>
      <c r="Z453" s="3" t="inlineStr">
        <is>
          <t>-m</t>
        </is>
      </c>
      <c r="AA453" s="3" t="inlineStr">
        <is>
          <t>2021-08-20</t>
        </is>
      </c>
    </row>
    <row r="454">
      <c r="A454" s="3" t="inlineStr">
        <is>
          <t>세종특별자치시 나성동 829</t>
        </is>
      </c>
      <c r="B454" s="3" t="inlineStr">
        <is>
          <t>중심상업지역</t>
        </is>
      </c>
      <c r="C454" s="3" t="inlineStr">
        <is>
          <t>대</t>
        </is>
      </c>
      <c r="D454" s="3" t="inlineStr">
        <is>
          <t>공장</t>
        </is>
      </c>
      <c r="E454" s="3" t="inlineStr">
        <is>
          <t>매매</t>
        </is>
      </c>
      <c r="F454" s="4" t="n">
        <v>3000000</v>
      </c>
      <c r="G454" s="4" t="n">
        <v>0</v>
      </c>
      <c r="H454" s="4" t="n">
        <v>16529</v>
      </c>
      <c r="I454" s="4" t="n">
        <v>5000</v>
      </c>
      <c r="J454" s="5" t="n">
        <v>600</v>
      </c>
      <c r="K454" s="4" t="n">
        <v>19847</v>
      </c>
      <c r="L454" s="4" t="n">
        <v>6004</v>
      </c>
      <c r="M454" s="5" t="n">
        <v>499.7</v>
      </c>
      <c r="N454" s="3" t="inlineStr">
        <is>
          <t>3</t>
        </is>
      </c>
      <c r="O454" s="3" t="inlineStr">
        <is>
          <t>B1</t>
        </is>
      </c>
      <c r="P454" s="3" t="inlineStr">
        <is>
          <t>서오창ic 5분거리 크린룸,공조시설완비 화물엘리베이터설치 오창과학산업단지</t>
        </is>
      </c>
      <c r="Q454" s="6">
        <f>HYPERLINK("https://fin.land.naver.com/articles/2644663333", "매물Link")</f>
        <v/>
      </c>
      <c r="R454" s="6">
        <f>HYPERLINK("https://map.naver.com/p/search/세종특별자치시 나성동 829", "지도Link")</f>
        <v/>
      </c>
      <c r="S454" s="6">
        <f>HYPERLINK("http://www.eum.go.kr/web/ar/lu/luLandDet.jsp?pnu=3611010700108290000&amp;isNoScr=script&amp;mode=search", "토지이음")</f>
        <v/>
      </c>
      <c r="T454" s="3" t="inlineStr">
        <is>
          <t>더원</t>
        </is>
      </c>
      <c r="U454" s="3" t="n">
        <v>1</v>
      </c>
      <c r="V454" s="3" t="inlineStr">
        <is>
          <t>602</t>
        </is>
      </c>
      <c r="W454" s="4" t="n">
        <v>19847</v>
      </c>
      <c r="X454" s="3" t="inlineStr">
        <is>
          <t>철근콘크리트구조</t>
        </is>
      </c>
      <c r="Y454" s="3" t="inlineStr">
        <is>
          <t>공동주택</t>
        </is>
      </c>
      <c r="Z454" s="3" t="inlineStr">
        <is>
          <t>127.95m</t>
        </is>
      </c>
      <c r="AA454" s="3" t="inlineStr">
        <is>
          <t>2021-08-20</t>
        </is>
      </c>
    </row>
    <row r="455">
      <c r="A455" s="3" t="inlineStr">
        <is>
          <t>세종특별자치시 나성동 829</t>
        </is>
      </c>
      <c r="B455" s="3" t="inlineStr">
        <is>
          <t>중심상업지역</t>
        </is>
      </c>
      <c r="C455" s="3" t="inlineStr">
        <is>
          <t>대</t>
        </is>
      </c>
      <c r="D455" s="3" t="inlineStr">
        <is>
          <t>공장</t>
        </is>
      </c>
      <c r="E455" s="3" t="inlineStr">
        <is>
          <t>월세</t>
        </is>
      </c>
      <c r="F455" s="4" t="n">
        <v>10000</v>
      </c>
      <c r="G455" s="4" t="n">
        <v>0</v>
      </c>
      <c r="H455" s="4" t="n">
        <v>3688</v>
      </c>
      <c r="I455" s="4" t="n">
        <v>1116</v>
      </c>
      <c r="J455" s="5" t="n">
        <v>0</v>
      </c>
      <c r="K455" s="4" t="n">
        <v>1469</v>
      </c>
      <c r="L455" s="4" t="n">
        <v>444</v>
      </c>
      <c r="M455" s="5" t="n">
        <v>0</v>
      </c>
      <c r="N455" s="3" t="inlineStr">
        <is>
          <t>1</t>
        </is>
      </c>
      <c r="O455" s="3" t="inlineStr">
        <is>
          <t>-</t>
        </is>
      </c>
      <c r="P455" s="3" t="inlineStr">
        <is>
          <t>2차선도로접 마당넓어 대형차진출입 신축급공장 창고임대처마고8m</t>
        </is>
      </c>
      <c r="Q455" s="6">
        <f>HYPERLINK("https://fin.land.naver.com/articles/2644663515", "매물Link")</f>
        <v/>
      </c>
      <c r="R455" s="6">
        <f>HYPERLINK("https://map.naver.com/p/search/세종특별자치시 나성동 829", "지도Link")</f>
        <v/>
      </c>
      <c r="S455" s="6">
        <f>HYPERLINK("http://www.eum.go.kr/web/ar/lu/luLandDet.jsp?pnu=3611010700108290000&amp;isNoScr=script&amp;mode=search", "토지이음")</f>
        <v/>
      </c>
      <c r="T455" s="3" t="inlineStr">
        <is>
          <t>더원</t>
        </is>
      </c>
      <c r="U455" s="3" t="n">
        <v>1</v>
      </c>
      <c r="V455" s="3" t="inlineStr">
        <is>
          <t>605</t>
        </is>
      </c>
      <c r="W455" s="4" t="n">
        <v>1469</v>
      </c>
      <c r="X455" s="3" t="inlineStr">
        <is>
          <t>철근콘크리트구조</t>
        </is>
      </c>
      <c r="Y455" s="3" t="inlineStr">
        <is>
          <t>공동주택</t>
        </is>
      </c>
      <c r="Z455" s="3" t="inlineStr">
        <is>
          <t>45.30m</t>
        </is>
      </c>
      <c r="AA455" s="3" t="inlineStr">
        <is>
          <t>2021-08-20</t>
        </is>
      </c>
    </row>
    <row r="456">
      <c r="A456" s="3" t="inlineStr">
        <is>
          <t>세종특별자치시 나성동 829</t>
        </is>
      </c>
      <c r="B456" s="3" t="inlineStr">
        <is>
          <t>중심상업지역</t>
        </is>
      </c>
      <c r="C456" s="3" t="inlineStr">
        <is>
          <t>대</t>
        </is>
      </c>
      <c r="D456" s="3" t="inlineStr">
        <is>
          <t>공장</t>
        </is>
      </c>
      <c r="E456" s="3" t="inlineStr">
        <is>
          <t>매매</t>
        </is>
      </c>
      <c r="F456" s="4" t="n">
        <v>220000</v>
      </c>
      <c r="G456" s="4" t="n">
        <v>0</v>
      </c>
      <c r="H456" s="4" t="n">
        <v>2590</v>
      </c>
      <c r="I456" s="4" t="n">
        <v>783</v>
      </c>
      <c r="J456" s="5" t="n">
        <v>281</v>
      </c>
      <c r="K456" s="4" t="n">
        <v>988</v>
      </c>
      <c r="L456" s="4" t="n">
        <v>299</v>
      </c>
      <c r="M456" s="5" t="n">
        <v>735.8</v>
      </c>
      <c r="N456" s="3" t="inlineStr">
        <is>
          <t>1</t>
        </is>
      </c>
      <c r="O456" s="3" t="inlineStr">
        <is>
          <t>-</t>
        </is>
      </c>
      <c r="P456" s="3" t="inlineStr">
        <is>
          <t>2차선도로변진입상수도 하수종말처리장연결 식품공장가능 1동 즉시사용가능</t>
        </is>
      </c>
      <c r="Q456" s="6">
        <f>HYPERLINK("https://fin.land.naver.com/articles/2644707040", "매물Link")</f>
        <v/>
      </c>
      <c r="R456" s="6">
        <f>HYPERLINK("https://map.naver.com/p/search/세종특별자치시 나성동 829", "지도Link")</f>
        <v/>
      </c>
      <c r="S456" s="6">
        <f>HYPERLINK("http://www.eum.go.kr/web/ar/lu/luLandDet.jsp?pnu=3611010700108290000&amp;isNoScr=script&amp;mode=search", "토지이음")</f>
        <v/>
      </c>
      <c r="T456" s="3" t="inlineStr">
        <is>
          <t>더원</t>
        </is>
      </c>
      <c r="U456" s="3" t="n">
        <v>1</v>
      </c>
      <c r="V456" s="3" t="inlineStr">
        <is>
          <t>604</t>
        </is>
      </c>
      <c r="W456" s="4" t="n">
        <v>988</v>
      </c>
      <c r="X456" s="3" t="inlineStr">
        <is>
          <t>철근콘크리트구조</t>
        </is>
      </c>
      <c r="Y456" s="3" t="inlineStr">
        <is>
          <t>공동주택</t>
        </is>
      </c>
      <c r="Z456" s="3" t="inlineStr">
        <is>
          <t>38.30m</t>
        </is>
      </c>
      <c r="AA456" s="3" t="inlineStr">
        <is>
          <t>2021-08-20</t>
        </is>
      </c>
    </row>
    <row r="457">
      <c r="A457" s="3" t="inlineStr">
        <is>
          <t>세종특별자치시 나성동 829</t>
        </is>
      </c>
      <c r="B457" s="3" t="inlineStr">
        <is>
          <t>중심상업지역</t>
        </is>
      </c>
      <c r="C457" s="3" t="inlineStr">
        <is>
          <t>대</t>
        </is>
      </c>
      <c r="D457" s="3" t="inlineStr">
        <is>
          <t>공장</t>
        </is>
      </c>
      <c r="E457" s="3" t="inlineStr">
        <is>
          <t>월세</t>
        </is>
      </c>
      <c r="F457" s="4" t="n">
        <v>1000</v>
      </c>
      <c r="G457" s="4" t="n">
        <v>100</v>
      </c>
      <c r="H457" s="4" t="n">
        <v>5801</v>
      </c>
      <c r="I457" s="4" t="n">
        <v>1755</v>
      </c>
      <c r="J457" s="5" t="n">
        <v>0.1</v>
      </c>
      <c r="K457" s="4" t="n">
        <v>167</v>
      </c>
      <c r="L457" s="4" t="n">
        <v>51</v>
      </c>
      <c r="M457" s="5" t="n">
        <v>2</v>
      </c>
      <c r="N457" s="3" t="inlineStr">
        <is>
          <t>1</t>
        </is>
      </c>
      <c r="O457" s="3" t="inlineStr">
        <is>
          <t>B1</t>
        </is>
      </c>
      <c r="P457" s="3" t="inlineStr">
        <is>
          <t>옥산IC인근 창고 임대</t>
        </is>
      </c>
      <c r="Q457" s="6">
        <f>HYPERLINK("https://fin.land.naver.com/articles/2645072491", "매물Link")</f>
        <v/>
      </c>
      <c r="R457" s="6">
        <f>HYPERLINK("https://map.naver.com/p/search/세종특별자치시 나성동 829", "지도Link")</f>
        <v/>
      </c>
      <c r="S457" s="6">
        <f>HYPERLINK("http://www.eum.go.kr/web/ar/lu/luLandDet.jsp?pnu=3611010700108290000&amp;isNoScr=script&amp;mode=search", "토지이음")</f>
        <v/>
      </c>
      <c r="T457" s="3" t="inlineStr">
        <is>
          <t>옥산금정</t>
        </is>
      </c>
      <c r="U457" s="3" t="n">
        <v>1</v>
      </c>
      <c r="V457" s="3" t="inlineStr">
        <is>
          <t>공동주택 관리사무소</t>
        </is>
      </c>
      <c r="W457" s="4" t="n">
        <v>167</v>
      </c>
      <c r="X457" s="3" t="inlineStr">
        <is>
          <t>철근콘크리트구조</t>
        </is>
      </c>
      <c r="Y457" s="3" t="inlineStr">
        <is>
          <t>공동주택</t>
        </is>
      </c>
      <c r="Z457" s="3" t="inlineStr">
        <is>
          <t>-m</t>
        </is>
      </c>
      <c r="AA457" s="3" t="inlineStr">
        <is>
          <t>2021-08-20</t>
        </is>
      </c>
    </row>
    <row r="458">
      <c r="A458" s="3" t="inlineStr">
        <is>
          <t>세종특별자치시 나성동 829</t>
        </is>
      </c>
      <c r="B458" s="3" t="inlineStr">
        <is>
          <t>중심상업지역</t>
        </is>
      </c>
      <c r="C458" s="3" t="inlineStr">
        <is>
          <t>대</t>
        </is>
      </c>
      <c r="D458" s="3" t="inlineStr">
        <is>
          <t>창고</t>
        </is>
      </c>
      <c r="E458" s="3" t="inlineStr">
        <is>
          <t>매매</t>
        </is>
      </c>
      <c r="F458" s="4" t="n">
        <v>190000</v>
      </c>
      <c r="G458" s="4" t="n">
        <v>0</v>
      </c>
      <c r="H458" s="4" t="n">
        <v>11067</v>
      </c>
      <c r="I458" s="4" t="n">
        <v>3348</v>
      </c>
      <c r="J458" s="5" t="n">
        <v>56.8</v>
      </c>
      <c r="K458" s="4" t="n">
        <v>99</v>
      </c>
      <c r="L458" s="4" t="n">
        <v>30</v>
      </c>
      <c r="M458" s="5" t="n">
        <v>6333.3</v>
      </c>
      <c r="N458" s="3" t="inlineStr">
        <is>
          <t>1</t>
        </is>
      </c>
      <c r="O458" s="3" t="inlineStr">
        <is>
          <t>-</t>
        </is>
      </c>
      <c r="P458" s="3" t="inlineStr">
        <is>
          <t>가락리 농업용창고및 인근 토지 일괄매매 성장관리계획구역 상세설명참조</t>
        </is>
      </c>
      <c r="Q458" s="6">
        <f>HYPERLINK("https://fin.land.naver.com/articles/2645198724", "매물Link")</f>
        <v/>
      </c>
      <c r="R458" s="6">
        <f>HYPERLINK("https://map.naver.com/p/search/세종특별자치시 나성동 829", "지도Link")</f>
        <v/>
      </c>
      <c r="S458" s="6">
        <f>HYPERLINK("http://www.eum.go.kr/web/ar/lu/luLandDet.jsp?pnu=3611010700108290000&amp;isNoScr=script&amp;mode=search", "토지이음")</f>
        <v/>
      </c>
      <c r="T458" s="3" t="inlineStr">
        <is>
          <t>오송휴먼캐슬</t>
        </is>
      </c>
      <c r="U458" s="3" t="n">
        <v>1</v>
      </c>
      <c r="V458" s="3" t="inlineStr">
        <is>
          <t>공동주택 연결통로</t>
        </is>
      </c>
      <c r="W458" s="4" t="n">
        <v>99</v>
      </c>
      <c r="X458" s="3" t="inlineStr">
        <is>
          <t>철근콘크리트구조</t>
        </is>
      </c>
      <c r="Y458" s="3" t="inlineStr">
        <is>
          <t>공동주택</t>
        </is>
      </c>
      <c r="Z458" s="3" t="inlineStr">
        <is>
          <t>-m</t>
        </is>
      </c>
      <c r="AA458" s="3" t="inlineStr">
        <is>
          <t>2021-08-20</t>
        </is>
      </c>
    </row>
    <row r="459">
      <c r="A459" s="3" t="inlineStr">
        <is>
          <t>세종특별자치시 나성동 829</t>
        </is>
      </c>
      <c r="B459" s="3" t="inlineStr">
        <is>
          <t>중심상업지역</t>
        </is>
      </c>
      <c r="C459" s="3" t="inlineStr">
        <is>
          <t>대</t>
        </is>
      </c>
      <c r="D459" s="3" t="inlineStr">
        <is>
          <t>창고</t>
        </is>
      </c>
      <c r="E459" s="3" t="inlineStr">
        <is>
          <t>매매</t>
        </is>
      </c>
      <c r="F459" s="4" t="n">
        <v>240000</v>
      </c>
      <c r="G459" s="4" t="n">
        <v>0</v>
      </c>
      <c r="H459" s="4" t="n">
        <v>9922</v>
      </c>
      <c r="I459" s="4" t="n">
        <v>3001</v>
      </c>
      <c r="J459" s="5" t="n">
        <v>80</v>
      </c>
      <c r="K459" s="4" t="n">
        <v>99</v>
      </c>
      <c r="L459" s="4" t="n">
        <v>30</v>
      </c>
      <c r="M459" s="5" t="n">
        <v>8000</v>
      </c>
      <c r="N459" s="3" t="inlineStr">
        <is>
          <t>1</t>
        </is>
      </c>
      <c r="O459" s="3" t="inlineStr">
        <is>
          <t>-</t>
        </is>
      </c>
      <c r="P459" s="3" t="inlineStr">
        <is>
          <t>가락리 계획관리 농업용창고및 인근 대지 일괄매매 상세설명참조</t>
        </is>
      </c>
      <c r="Q459" s="6">
        <f>HYPERLINK("https://fin.land.naver.com/articles/2645260415", "매물Link")</f>
        <v/>
      </c>
      <c r="R459" s="6">
        <f>HYPERLINK("https://map.naver.com/p/search/세종특별자치시 나성동 829", "지도Link")</f>
        <v/>
      </c>
      <c r="S459" s="6">
        <f>HYPERLINK("http://www.eum.go.kr/web/ar/lu/luLandDet.jsp?pnu=3611010700108290000&amp;isNoScr=script&amp;mode=search", "토지이음")</f>
        <v/>
      </c>
      <c r="T459" s="3" t="inlineStr">
        <is>
          <t>오송휴먼캐슬</t>
        </is>
      </c>
      <c r="U459" s="3" t="n">
        <v>1</v>
      </c>
      <c r="V459" s="3" t="inlineStr">
        <is>
          <t>공동주택 연결통로</t>
        </is>
      </c>
      <c r="W459" s="4" t="n">
        <v>99</v>
      </c>
      <c r="X459" s="3" t="inlineStr">
        <is>
          <t>철근콘크리트구조</t>
        </is>
      </c>
      <c r="Y459" s="3" t="inlineStr">
        <is>
          <t>공동주택</t>
        </is>
      </c>
      <c r="Z459" s="3" t="inlineStr">
        <is>
          <t>-m</t>
        </is>
      </c>
      <c r="AA459" s="3" t="inlineStr">
        <is>
          <t>2021-08-20</t>
        </is>
      </c>
    </row>
    <row r="460">
      <c r="A460" s="3" t="inlineStr">
        <is>
          <t>세종특별자치시 나성동 829</t>
        </is>
      </c>
      <c r="B460" s="3" t="inlineStr">
        <is>
          <t>중심상업지역</t>
        </is>
      </c>
      <c r="C460" s="3" t="inlineStr">
        <is>
          <t>대</t>
        </is>
      </c>
      <c r="D460" s="3" t="inlineStr">
        <is>
          <t>공장</t>
        </is>
      </c>
      <c r="E460" s="3" t="inlineStr">
        <is>
          <t>매매</t>
        </is>
      </c>
      <c r="F460" s="4" t="n">
        <v>150000</v>
      </c>
      <c r="G460" s="4" t="n">
        <v>0</v>
      </c>
      <c r="H460" s="4" t="n">
        <v>3644</v>
      </c>
      <c r="I460" s="4" t="n">
        <v>1102</v>
      </c>
      <c r="J460" s="5" t="n">
        <v>136.1</v>
      </c>
      <c r="K460" s="4" t="n">
        <v>553</v>
      </c>
      <c r="L460" s="4" t="n">
        <v>167</v>
      </c>
      <c r="M460" s="5" t="n">
        <v>898.2</v>
      </c>
      <c r="N460" s="3" t="inlineStr">
        <is>
          <t>1</t>
        </is>
      </c>
      <c r="O460" s="3" t="inlineStr">
        <is>
          <t>-</t>
        </is>
      </c>
      <c r="P460" s="3" t="inlineStr">
        <is>
          <t>2차선도로변 접한 공장으로  대형차 진출입원활 옥산하이패스5분거리</t>
        </is>
      </c>
      <c r="Q460" s="6">
        <f>HYPERLINK("https://fin.land.naver.com/articles/2648089962", "매물Link")</f>
        <v/>
      </c>
      <c r="R460" s="6">
        <f>HYPERLINK("https://map.naver.com/p/search/세종특별자치시 나성동 829", "지도Link")</f>
        <v/>
      </c>
      <c r="S460" s="6">
        <f>HYPERLINK("http://www.eum.go.kr/web/ar/lu/luLandDet.jsp?pnu=3611010700108290000&amp;isNoScr=script&amp;mode=search", "토지이음")</f>
        <v/>
      </c>
      <c r="T460" s="3" t="inlineStr">
        <is>
          <t>더원</t>
        </is>
      </c>
      <c r="U460" s="3" t="n">
        <v>1</v>
      </c>
      <c r="V460" s="3" t="inlineStr">
        <is>
          <t>전망공간 기계실</t>
        </is>
      </c>
      <c r="W460" s="4" t="n">
        <v>553</v>
      </c>
      <c r="X460" s="3" t="inlineStr">
        <is>
          <t>철근콘크리트구조</t>
        </is>
      </c>
      <c r="Y460" s="3" t="inlineStr">
        <is>
          <t>제2종근린생활시설</t>
        </is>
      </c>
      <c r="Z460" s="3" t="inlineStr">
        <is>
          <t>-m</t>
        </is>
      </c>
      <c r="AA460" s="3" t="inlineStr">
        <is>
          <t>2021-08-20</t>
        </is>
      </c>
    </row>
    <row r="461">
      <c r="A461" s="3" t="inlineStr">
        <is>
          <t>세종특별자치시 나성동 829</t>
        </is>
      </c>
      <c r="B461" s="3" t="inlineStr">
        <is>
          <t>중심상업지역</t>
        </is>
      </c>
      <c r="C461" s="3" t="inlineStr">
        <is>
          <t>대</t>
        </is>
      </c>
      <c r="D461" s="3" t="inlineStr">
        <is>
          <t>창고</t>
        </is>
      </c>
      <c r="E461" s="3" t="inlineStr">
        <is>
          <t>월세</t>
        </is>
      </c>
      <c r="F461" s="4" t="n">
        <v>3000</v>
      </c>
      <c r="G461" s="4" t="n">
        <v>300</v>
      </c>
      <c r="H461" s="4" t="n">
        <v>1645</v>
      </c>
      <c r="I461" s="4" t="n">
        <v>498</v>
      </c>
      <c r="J461" s="5" t="n">
        <v>0.6</v>
      </c>
      <c r="K461" s="4" t="n">
        <v>494</v>
      </c>
      <c r="L461" s="4" t="n">
        <v>149</v>
      </c>
      <c r="M461" s="5" t="n">
        <v>2</v>
      </c>
      <c r="N461" s="3" t="inlineStr">
        <is>
          <t>1</t>
        </is>
      </c>
      <c r="O461" s="3" t="inlineStr">
        <is>
          <t>-</t>
        </is>
      </c>
      <c r="P461" s="3" t="inlineStr">
        <is>
          <t>호이스트 설치되어 있는 창고</t>
        </is>
      </c>
      <c r="Q461" s="6">
        <f>HYPERLINK("https://fin.land.naver.com/articles/2645945997", "매물Link")</f>
        <v/>
      </c>
      <c r="R461" s="6">
        <f>HYPERLINK("https://map.naver.com/p/search/세종특별자치시 나성동 829", "지도Link")</f>
        <v/>
      </c>
      <c r="S461" s="6">
        <f>HYPERLINK("http://www.eum.go.kr/web/ar/lu/luLandDet.jsp?pnu=3611010700108290000&amp;isNoScr=script&amp;mode=search", "토지이음")</f>
        <v/>
      </c>
      <c r="T461" s="3" t="inlineStr">
        <is>
          <t>연주영</t>
        </is>
      </c>
      <c r="U461" s="3" t="n">
        <v>1</v>
      </c>
      <c r="V461" s="3" t="inlineStr">
        <is>
          <t>전망공간 기계실</t>
        </is>
      </c>
      <c r="W461" s="4" t="n">
        <v>494</v>
      </c>
      <c r="X461" s="3" t="inlineStr">
        <is>
          <t>철근콘크리트구조</t>
        </is>
      </c>
      <c r="Y461" s="3" t="inlineStr">
        <is>
          <t>제2종근린생활시설</t>
        </is>
      </c>
      <c r="Z461" s="3" t="inlineStr">
        <is>
          <t>-m</t>
        </is>
      </c>
      <c r="AA461" s="3" t="inlineStr">
        <is>
          <t>2021-08-20</t>
        </is>
      </c>
    </row>
    <row r="462">
      <c r="A462" s="3" t="inlineStr">
        <is>
          <t>세종특별자치시 나성동 829</t>
        </is>
      </c>
      <c r="B462" s="3" t="inlineStr">
        <is>
          <t>중심상업지역</t>
        </is>
      </c>
      <c r="C462" s="3" t="inlineStr">
        <is>
          <t>대</t>
        </is>
      </c>
      <c r="D462" s="3" t="inlineStr">
        <is>
          <t>창고</t>
        </is>
      </c>
      <c r="E462" s="3" t="inlineStr">
        <is>
          <t>매매</t>
        </is>
      </c>
      <c r="F462" s="4" t="n">
        <v>43000</v>
      </c>
      <c r="G462" s="4" t="n">
        <v>0</v>
      </c>
      <c r="H462" s="4" t="n">
        <v>633</v>
      </c>
      <c r="I462" s="4" t="n">
        <v>191</v>
      </c>
      <c r="J462" s="5" t="n">
        <v>225.1</v>
      </c>
      <c r="K462" s="4" t="n">
        <v>266</v>
      </c>
      <c r="L462" s="4" t="n">
        <v>80</v>
      </c>
      <c r="M462" s="5" t="n">
        <v>537.5</v>
      </c>
      <c r="N462" s="3" t="inlineStr">
        <is>
          <t>2</t>
        </is>
      </c>
      <c r="O462" s="3" t="inlineStr">
        <is>
          <t>-</t>
        </is>
      </c>
      <c r="P462" s="3" t="inlineStr">
        <is>
          <t>옥산하이패스5분거리 농수산물 시장 접근성 좋은 위치</t>
        </is>
      </c>
      <c r="Q462" s="6">
        <f>HYPERLINK("https://fin.land.naver.com/articles/2649019280", "매물Link")</f>
        <v/>
      </c>
      <c r="R462" s="6">
        <f>HYPERLINK("https://map.naver.com/p/search/세종특별자치시 나성동 829", "지도Link")</f>
        <v/>
      </c>
      <c r="S462" s="6">
        <f>HYPERLINK("http://www.eum.go.kr/web/ar/lu/luLandDet.jsp?pnu=3611010700108290000&amp;isNoScr=script&amp;mode=search", "토지이음")</f>
        <v/>
      </c>
      <c r="T462" s="3" t="inlineStr">
        <is>
          <t>더원</t>
        </is>
      </c>
      <c r="U462" s="3" t="n">
        <v>1</v>
      </c>
      <c r="V462" s="3" t="inlineStr">
        <is>
          <t>근린생활시설 기계실</t>
        </is>
      </c>
      <c r="W462" s="4" t="n">
        <v>266</v>
      </c>
      <c r="X462" s="3" t="inlineStr">
        <is>
          <t>철근콘크리트구조</t>
        </is>
      </c>
      <c r="Y462" s="3" t="inlineStr">
        <is>
          <t>제2종근린생활시설</t>
        </is>
      </c>
      <c r="Z462" s="3" t="inlineStr">
        <is>
          <t>-m</t>
        </is>
      </c>
      <c r="AA462" s="3" t="inlineStr">
        <is>
          <t>2021-08-20</t>
        </is>
      </c>
    </row>
    <row r="463">
      <c r="A463" s="3" t="inlineStr">
        <is>
          <t>세종특별자치시 나성동 829</t>
        </is>
      </c>
      <c r="B463" s="3" t="inlineStr">
        <is>
          <t>중심상업지역</t>
        </is>
      </c>
      <c r="C463" s="3" t="inlineStr">
        <is>
          <t>대</t>
        </is>
      </c>
      <c r="D463" s="3" t="inlineStr">
        <is>
          <t>창고</t>
        </is>
      </c>
      <c r="E463" s="3" t="inlineStr">
        <is>
          <t>월세</t>
        </is>
      </c>
      <c r="F463" s="4" t="n">
        <v>1000</v>
      </c>
      <c r="G463" s="4" t="n">
        <v>70</v>
      </c>
      <c r="H463" s="4" t="n">
        <v>1451</v>
      </c>
      <c r="I463" s="4" t="n">
        <v>439</v>
      </c>
      <c r="J463" s="5" t="n">
        <v>0.2</v>
      </c>
      <c r="K463" s="4" t="n">
        <v>99</v>
      </c>
      <c r="L463" s="4" t="n">
        <v>30</v>
      </c>
      <c r="M463" s="5" t="n">
        <v>2.3</v>
      </c>
      <c r="N463" s="3" t="inlineStr">
        <is>
          <t>1</t>
        </is>
      </c>
      <c r="O463" s="3" t="inlineStr">
        <is>
          <t>-</t>
        </is>
      </c>
      <c r="P463" s="3" t="inlineStr">
        <is>
          <t>소형창고,사무실,임대</t>
        </is>
      </c>
      <c r="Q463" s="6">
        <f>HYPERLINK("https://fin.land.naver.com/articles/2648888980", "매물Link")</f>
        <v/>
      </c>
      <c r="R463" s="6">
        <f>HYPERLINK("https://map.naver.com/p/search/세종특별자치시 나성동 829", "지도Link")</f>
        <v/>
      </c>
      <c r="S463" s="6">
        <f>HYPERLINK("http://www.eum.go.kr/web/ar/lu/luLandDet.jsp?pnu=3611010700108290000&amp;isNoScr=script&amp;mode=search", "토지이음")</f>
        <v/>
      </c>
      <c r="T463" s="3" t="inlineStr">
        <is>
          <t>LBA리치아노합동사무소</t>
        </is>
      </c>
      <c r="U463" s="3" t="n">
        <v>1</v>
      </c>
      <c r="V463" s="3" t="inlineStr">
        <is>
          <t>공동주택 연결통로</t>
        </is>
      </c>
      <c r="W463" s="4" t="n">
        <v>99</v>
      </c>
      <c r="X463" s="3" t="inlineStr">
        <is>
          <t>철근콘크리트구조</t>
        </is>
      </c>
      <c r="Y463" s="3" t="inlineStr">
        <is>
          <t>공동주택</t>
        </is>
      </c>
      <c r="Z463" s="3" t="inlineStr">
        <is>
          <t>-m</t>
        </is>
      </c>
      <c r="AA463" s="3" t="inlineStr">
        <is>
          <t>2021-08-20</t>
        </is>
      </c>
    </row>
    <row r="464">
      <c r="A464" s="3" t="inlineStr">
        <is>
          <t>세종특별자치시 나성동 829</t>
        </is>
      </c>
      <c r="B464" s="3" t="inlineStr">
        <is>
          <t>중심상업지역</t>
        </is>
      </c>
      <c r="C464" s="3" t="inlineStr">
        <is>
          <t>대</t>
        </is>
      </c>
      <c r="D464" s="3" t="inlineStr">
        <is>
          <t>공장</t>
        </is>
      </c>
      <c r="E464" s="3" t="inlineStr">
        <is>
          <t>매매</t>
        </is>
      </c>
      <c r="F464" s="4" t="n">
        <v>250000</v>
      </c>
      <c r="G464" s="4" t="n">
        <v>0</v>
      </c>
      <c r="H464" s="4" t="n">
        <v>3175</v>
      </c>
      <c r="I464" s="4" t="n">
        <v>960</v>
      </c>
      <c r="J464" s="5" t="n">
        <v>260.4</v>
      </c>
      <c r="K464" s="4" t="n">
        <v>987</v>
      </c>
      <c r="L464" s="4" t="n">
        <v>299</v>
      </c>
      <c r="M464" s="5" t="n">
        <v>836.1</v>
      </c>
      <c r="N464" s="3" t="inlineStr">
        <is>
          <t>1</t>
        </is>
      </c>
      <c r="O464" s="3" t="inlineStr">
        <is>
          <t>-</t>
        </is>
      </c>
      <c r="P464" s="3" t="inlineStr">
        <is>
          <t>현임대중이며 하수종말처리장 직관 식품업종 가능</t>
        </is>
      </c>
      <c r="Q464" s="6">
        <f>HYPERLINK("https://fin.land.naver.com/articles/2649039009", "매물Link")</f>
        <v/>
      </c>
      <c r="R464" s="6">
        <f>HYPERLINK("https://map.naver.com/p/search/세종특별자치시 나성동 829", "지도Link")</f>
        <v/>
      </c>
      <c r="S464" s="6">
        <f>HYPERLINK("http://www.eum.go.kr/web/ar/lu/luLandDet.jsp?pnu=3611010700108290000&amp;isNoScr=script&amp;mode=search", "토지이음")</f>
        <v/>
      </c>
      <c r="T464" s="3" t="inlineStr">
        <is>
          <t>더원</t>
        </is>
      </c>
      <c r="U464" s="3" t="n">
        <v>1</v>
      </c>
      <c r="V464" s="3" t="inlineStr">
        <is>
          <t>604</t>
        </is>
      </c>
      <c r="W464" s="4" t="n">
        <v>987</v>
      </c>
      <c r="X464" s="3" t="inlineStr">
        <is>
          <t>철근콘크리트구조</t>
        </is>
      </c>
      <c r="Y464" s="3" t="inlineStr">
        <is>
          <t>공동주택</t>
        </is>
      </c>
      <c r="Z464" s="3" t="inlineStr">
        <is>
          <t>38.30m</t>
        </is>
      </c>
      <c r="AA464" s="3" t="inlineStr">
        <is>
          <t>2021-08-20</t>
        </is>
      </c>
    </row>
    <row r="465">
      <c r="A465" s="3" t="inlineStr">
        <is>
          <t>세종특별자치시 나성동 829</t>
        </is>
      </c>
      <c r="B465" s="3" t="inlineStr">
        <is>
          <t>중심상업지역</t>
        </is>
      </c>
      <c r="C465" s="3" t="inlineStr">
        <is>
          <t>대</t>
        </is>
      </c>
      <c r="D465" s="3" t="inlineStr">
        <is>
          <t>공장</t>
        </is>
      </c>
      <c r="E465" s="3" t="inlineStr">
        <is>
          <t>월세</t>
        </is>
      </c>
      <c r="F465" s="4" t="n">
        <v>3000</v>
      </c>
      <c r="G465" s="4" t="n">
        <v>280</v>
      </c>
      <c r="H465" s="4" t="n">
        <v>1049</v>
      </c>
      <c r="I465" s="4" t="n">
        <v>317</v>
      </c>
      <c r="J465" s="5" t="n">
        <v>0.9</v>
      </c>
      <c r="K465" s="4" t="n">
        <v>404</v>
      </c>
      <c r="L465" s="4" t="n">
        <v>122</v>
      </c>
      <c r="M465" s="5" t="n">
        <v>2.3</v>
      </c>
      <c r="N465" s="3" t="inlineStr">
        <is>
          <t>1</t>
        </is>
      </c>
      <c r="O465" s="3" t="inlineStr">
        <is>
          <t>-</t>
        </is>
      </c>
      <c r="P465" s="3" t="inlineStr">
        <is>
          <t>옥산,제조업소및창고</t>
        </is>
      </c>
      <c r="Q465" s="6">
        <f>HYPERLINK("https://fin.land.naver.com/articles/2649532376", "매물Link")</f>
        <v/>
      </c>
      <c r="R465" s="6">
        <f>HYPERLINK("https://map.naver.com/p/search/세종특별자치시 나성동 829", "지도Link")</f>
        <v/>
      </c>
      <c r="S465" s="6">
        <f>HYPERLINK("http://www.eum.go.kr/web/ar/lu/luLandDet.jsp?pnu=3611010700108290000&amp;isNoScr=script&amp;mode=search", "토지이음")</f>
        <v/>
      </c>
      <c r="T465" s="3" t="inlineStr">
        <is>
          <t>LBA리치아노합동사무소</t>
        </is>
      </c>
      <c r="U465" s="3" t="n">
        <v>1</v>
      </c>
      <c r="V465" s="3" t="inlineStr">
        <is>
          <t>전망공간 기계실</t>
        </is>
      </c>
      <c r="W465" s="4" t="n">
        <v>404</v>
      </c>
      <c r="X465" s="3" t="inlineStr">
        <is>
          <t>철근콘크리트구조</t>
        </is>
      </c>
      <c r="Y465" s="3" t="inlineStr">
        <is>
          <t>제2종근린생활시설</t>
        </is>
      </c>
      <c r="Z465" s="3" t="inlineStr">
        <is>
          <t>-m</t>
        </is>
      </c>
      <c r="AA465" s="3" t="inlineStr">
        <is>
          <t>2021-08-20</t>
        </is>
      </c>
    </row>
    <row r="466">
      <c r="A466" s="3" t="inlineStr">
        <is>
          <t>세종특별자치시 나성동 829</t>
        </is>
      </c>
      <c r="B466" s="3" t="inlineStr">
        <is>
          <t>중심상업지역</t>
        </is>
      </c>
      <c r="C466" s="3" t="inlineStr">
        <is>
          <t>대</t>
        </is>
      </c>
      <c r="D466" s="3" t="inlineStr">
        <is>
          <t>공장</t>
        </is>
      </c>
      <c r="E466" s="3" t="inlineStr">
        <is>
          <t>월세</t>
        </is>
      </c>
      <c r="F466" s="4" t="n">
        <v>3000</v>
      </c>
      <c r="G466" s="4" t="n">
        <v>270</v>
      </c>
      <c r="H466" s="4" t="n">
        <v>1791</v>
      </c>
      <c r="I466" s="4" t="n">
        <v>542</v>
      </c>
      <c r="J466" s="5" t="n">
        <v>0.5</v>
      </c>
      <c r="K466" s="4" t="n">
        <v>475</v>
      </c>
      <c r="L466" s="4" t="n">
        <v>144</v>
      </c>
      <c r="M466" s="5" t="n">
        <v>1.9</v>
      </c>
      <c r="N466" s="3" t="inlineStr">
        <is>
          <t>1</t>
        </is>
      </c>
      <c r="O466" s="3" t="inlineStr">
        <is>
          <t>-</t>
        </is>
      </c>
      <c r="P466" s="3" t="inlineStr">
        <is>
          <t>옥산,제조업소및창고,단독</t>
        </is>
      </c>
      <c r="Q466" s="6">
        <f>HYPERLINK("https://fin.land.naver.com/articles/2649533867", "매물Link")</f>
        <v/>
      </c>
      <c r="R466" s="6">
        <f>HYPERLINK("https://map.naver.com/p/search/세종특별자치시 나성동 829", "지도Link")</f>
        <v/>
      </c>
      <c r="S466" s="6">
        <f>HYPERLINK("http://www.eum.go.kr/web/ar/lu/luLandDet.jsp?pnu=3611010700108290000&amp;isNoScr=script&amp;mode=search", "토지이음")</f>
        <v/>
      </c>
      <c r="T466" s="3" t="inlineStr">
        <is>
          <t>LBA리치아노합동사무소</t>
        </is>
      </c>
      <c r="U466" s="3" t="n">
        <v>1</v>
      </c>
      <c r="V466" s="3" t="inlineStr">
        <is>
          <t>전망공간 기계실</t>
        </is>
      </c>
      <c r="W466" s="4" t="n">
        <v>475</v>
      </c>
      <c r="X466" s="3" t="inlineStr">
        <is>
          <t>철근콘크리트구조</t>
        </is>
      </c>
      <c r="Y466" s="3" t="inlineStr">
        <is>
          <t>제2종근린생활시설</t>
        </is>
      </c>
      <c r="Z466" s="3" t="inlineStr">
        <is>
          <t>-m</t>
        </is>
      </c>
      <c r="AA466" s="3" t="inlineStr">
        <is>
          <t>2021-08-20</t>
        </is>
      </c>
    </row>
    <row r="467">
      <c r="A467" s="3" t="inlineStr">
        <is>
          <t>세종특별자치시 나성동 829</t>
        </is>
      </c>
      <c r="B467" s="3" t="inlineStr">
        <is>
          <t>중심상업지역</t>
        </is>
      </c>
      <c r="C467" s="3" t="inlineStr">
        <is>
          <t>대</t>
        </is>
      </c>
      <c r="D467" s="3" t="inlineStr">
        <is>
          <t>창고</t>
        </is>
      </c>
      <c r="E467" s="3" t="inlineStr">
        <is>
          <t>월세</t>
        </is>
      </c>
      <c r="F467" s="4" t="n">
        <v>2000</v>
      </c>
      <c r="G467" s="4" t="n">
        <v>150</v>
      </c>
      <c r="H467" s="4" t="n">
        <v>2019</v>
      </c>
      <c r="I467" s="4" t="n">
        <v>611</v>
      </c>
      <c r="J467" s="5" t="n">
        <v>0.2</v>
      </c>
      <c r="K467" s="4" t="n">
        <v>186</v>
      </c>
      <c r="L467" s="4" t="n">
        <v>56</v>
      </c>
      <c r="M467" s="5" t="n">
        <v>2.7</v>
      </c>
      <c r="N467" s="3" t="inlineStr">
        <is>
          <t>1</t>
        </is>
      </c>
      <c r="O467" s="3" t="inlineStr">
        <is>
          <t>-</t>
        </is>
      </c>
      <c r="P467" s="3" t="inlineStr">
        <is>
          <t>옥산,창고,임대</t>
        </is>
      </c>
      <c r="Q467" s="6">
        <f>HYPERLINK("https://fin.land.naver.com/articles/2649539964", "매물Link")</f>
        <v/>
      </c>
      <c r="R467" s="6">
        <f>HYPERLINK("https://map.naver.com/p/search/세종특별자치시 나성동 829", "지도Link")</f>
        <v/>
      </c>
      <c r="S467" s="6">
        <f>HYPERLINK("http://www.eum.go.kr/web/ar/lu/luLandDet.jsp?pnu=3611010700108290000&amp;isNoScr=script&amp;mode=search", "토지이음")</f>
        <v/>
      </c>
      <c r="T467" s="3" t="inlineStr">
        <is>
          <t>LBA리치아노합동사무소</t>
        </is>
      </c>
      <c r="U467" s="3" t="n">
        <v>1</v>
      </c>
      <c r="V467" s="3" t="inlineStr">
        <is>
          <t>701</t>
        </is>
      </c>
      <c r="W467" s="4" t="n">
        <v>186</v>
      </c>
      <c r="X467" s="3" t="inlineStr">
        <is>
          <t>철근콘크리트구조</t>
        </is>
      </c>
      <c r="Y467" s="3" t="inlineStr">
        <is>
          <t>판매시설</t>
        </is>
      </c>
      <c r="Z467" s="3" t="inlineStr">
        <is>
          <t>-m</t>
        </is>
      </c>
      <c r="AA467" s="3" t="inlineStr">
        <is>
          <t>2021-08-20</t>
        </is>
      </c>
    </row>
    <row r="468">
      <c r="A468" s="3" t="inlineStr">
        <is>
          <t>세종특별자치시 나성동 829</t>
        </is>
      </c>
      <c r="B468" s="3" t="inlineStr">
        <is>
          <t>중심상업지역</t>
        </is>
      </c>
      <c r="C468" s="3" t="inlineStr">
        <is>
          <t>대</t>
        </is>
      </c>
      <c r="D468" s="3" t="inlineStr">
        <is>
          <t>창고</t>
        </is>
      </c>
      <c r="E468" s="3" t="inlineStr">
        <is>
          <t>월세</t>
        </is>
      </c>
      <c r="F468" s="4" t="n">
        <v>2000</v>
      </c>
      <c r="G468" s="4" t="n">
        <v>150</v>
      </c>
      <c r="H468" s="4" t="n">
        <v>539</v>
      </c>
      <c r="I468" s="4" t="n">
        <v>163</v>
      </c>
      <c r="J468" s="5" t="n">
        <v>0.9</v>
      </c>
      <c r="K468" s="4" t="n">
        <v>195</v>
      </c>
      <c r="L468" s="4" t="n">
        <v>59</v>
      </c>
      <c r="M468" s="5" t="n">
        <v>2.5</v>
      </c>
      <c r="N468" s="3" t="inlineStr">
        <is>
          <t>1</t>
        </is>
      </c>
      <c r="O468" s="3" t="inlineStr">
        <is>
          <t>-</t>
        </is>
      </c>
      <c r="P468" s="3" t="inlineStr">
        <is>
          <t>LG로인근,창고</t>
        </is>
      </c>
      <c r="Q468" s="6">
        <f>HYPERLINK("https://fin.land.naver.com/articles/2649540535", "매물Link")</f>
        <v/>
      </c>
      <c r="R468" s="6">
        <f>HYPERLINK("https://map.naver.com/p/search/세종특별자치시 나성동 829", "지도Link")</f>
        <v/>
      </c>
      <c r="S468" s="6">
        <f>HYPERLINK("http://www.eum.go.kr/web/ar/lu/luLandDet.jsp?pnu=3611010700108290000&amp;isNoScr=script&amp;mode=search", "토지이음")</f>
        <v/>
      </c>
      <c r="T468" s="3" t="inlineStr">
        <is>
          <t>LBA리치아노합동사무소</t>
        </is>
      </c>
      <c r="U468" s="3" t="n">
        <v>1</v>
      </c>
      <c r="V468" s="3" t="inlineStr">
        <is>
          <t>공동주택 주민공동시설</t>
        </is>
      </c>
      <c r="W468" s="4" t="n">
        <v>195</v>
      </c>
      <c r="X468" s="3" t="inlineStr">
        <is>
          <t>철근콘크리트구조</t>
        </is>
      </c>
      <c r="Y468" s="3" t="inlineStr">
        <is>
          <t>공동주택</t>
        </is>
      </c>
      <c r="Z468" s="3" t="inlineStr">
        <is>
          <t>-m</t>
        </is>
      </c>
      <c r="AA468" s="3" t="inlineStr">
        <is>
          <t>2021-08-20</t>
        </is>
      </c>
    </row>
    <row r="469">
      <c r="A469" s="3" t="inlineStr">
        <is>
          <t>세종특별자치시 나성동 829</t>
        </is>
      </c>
      <c r="B469" s="3" t="inlineStr">
        <is>
          <t>중심상업지역</t>
        </is>
      </c>
      <c r="C469" s="3" t="inlineStr">
        <is>
          <t>대</t>
        </is>
      </c>
      <c r="D469" s="3" t="inlineStr">
        <is>
          <t>공장</t>
        </is>
      </c>
      <c r="E469" s="3" t="inlineStr">
        <is>
          <t>매매</t>
        </is>
      </c>
      <c r="F469" s="4" t="n">
        <v>130000</v>
      </c>
      <c r="G469" s="4" t="n">
        <v>0</v>
      </c>
      <c r="H469" s="4" t="n">
        <v>3594</v>
      </c>
      <c r="I469" s="4" t="n">
        <v>1087</v>
      </c>
      <c r="J469" s="5" t="n">
        <v>119.6</v>
      </c>
      <c r="K469" s="4" t="n">
        <v>539</v>
      </c>
      <c r="L469" s="4" t="n">
        <v>163</v>
      </c>
      <c r="M469" s="5" t="n">
        <v>797.5</v>
      </c>
      <c r="N469" s="3" t="inlineStr">
        <is>
          <t>1</t>
        </is>
      </c>
      <c r="O469" s="3" t="inlineStr">
        <is>
          <t>-</t>
        </is>
      </c>
      <c r="P469" s="3" t="inlineStr">
        <is>
          <t>오창인근 저렴한 공장매매</t>
        </is>
      </c>
      <c r="Q469" s="6">
        <f>HYPERLINK("https://fin.land.naver.com/articles/2649752108", "매물Link")</f>
        <v/>
      </c>
      <c r="R469" s="6">
        <f>HYPERLINK("https://map.naver.com/p/search/세종특별자치시 나성동 829", "지도Link")</f>
        <v/>
      </c>
      <c r="S469" s="6">
        <f>HYPERLINK("http://www.eum.go.kr/web/ar/lu/luLandDet.jsp?pnu=3611010700108290000&amp;isNoScr=script&amp;mode=search", "토지이음")</f>
        <v/>
      </c>
      <c r="T469" s="3" t="inlineStr">
        <is>
          <t>학사</t>
        </is>
      </c>
      <c r="U469" s="3" t="n">
        <v>1</v>
      </c>
      <c r="V469" s="3" t="inlineStr">
        <is>
          <t>전망공간 기계실</t>
        </is>
      </c>
      <c r="W469" s="4" t="n">
        <v>539</v>
      </c>
      <c r="X469" s="3" t="inlineStr">
        <is>
          <t>철근콘크리트구조</t>
        </is>
      </c>
      <c r="Y469" s="3" t="inlineStr">
        <is>
          <t>제2종근린생활시설</t>
        </is>
      </c>
      <c r="Z469" s="3" t="inlineStr">
        <is>
          <t>-m</t>
        </is>
      </c>
      <c r="AA469" s="3" t="inlineStr">
        <is>
          <t>2021-08-20</t>
        </is>
      </c>
    </row>
    <row r="470">
      <c r="A470" s="3" t="inlineStr">
        <is>
          <t>세종특별자치시 나성동 829</t>
        </is>
      </c>
      <c r="B470" s="3" t="inlineStr">
        <is>
          <t>중심상업지역</t>
        </is>
      </c>
      <c r="C470" s="3" t="inlineStr">
        <is>
          <t>대</t>
        </is>
      </c>
      <c r="D470" s="3" t="inlineStr">
        <is>
          <t>공장</t>
        </is>
      </c>
      <c r="E470" s="3" t="inlineStr">
        <is>
          <t>월세</t>
        </is>
      </c>
      <c r="F470" s="4" t="n">
        <v>1000</v>
      </c>
      <c r="G470" s="4" t="n">
        <v>70</v>
      </c>
      <c r="H470" s="4" t="n">
        <v>1451</v>
      </c>
      <c r="I470" s="4" t="n">
        <v>439</v>
      </c>
      <c r="J470" s="5" t="n">
        <v>0.2</v>
      </c>
      <c r="K470" s="4" t="n">
        <v>99</v>
      </c>
      <c r="L470" s="4" t="n">
        <v>30</v>
      </c>
      <c r="M470" s="5" t="n">
        <v>2.3</v>
      </c>
      <c r="N470" s="3" t="inlineStr">
        <is>
          <t>1</t>
        </is>
      </c>
      <c r="O470" s="3" t="inlineStr">
        <is>
          <t>-</t>
        </is>
      </c>
      <c r="P470" s="3" t="inlineStr">
        <is>
          <t>옥산면 호죽리 소형공장 임대 단독사용가능 화장실 별도 있음</t>
        </is>
      </c>
      <c r="Q470" s="6">
        <f>HYPERLINK("https://fin.land.naver.com/articles/2648814317", "매물Link")</f>
        <v/>
      </c>
      <c r="R470" s="6">
        <f>HYPERLINK("https://map.naver.com/p/search/세종특별자치시 나성동 829", "지도Link")</f>
        <v/>
      </c>
      <c r="S470" s="6">
        <f>HYPERLINK("http://www.eum.go.kr/web/ar/lu/luLandDet.jsp?pnu=3611010700108290000&amp;isNoScr=script&amp;mode=search", "토지이음")</f>
        <v/>
      </c>
      <c r="T470" s="3" t="inlineStr">
        <is>
          <t>옥산리버자이</t>
        </is>
      </c>
      <c r="U470" s="3" t="n">
        <v>1</v>
      </c>
      <c r="V470" s="3" t="inlineStr">
        <is>
          <t>공동주택 연결통로</t>
        </is>
      </c>
      <c r="W470" s="4" t="n">
        <v>99</v>
      </c>
      <c r="X470" s="3" t="inlineStr">
        <is>
          <t>철근콘크리트구조</t>
        </is>
      </c>
      <c r="Y470" s="3" t="inlineStr">
        <is>
          <t>공동주택</t>
        </is>
      </c>
      <c r="Z470" s="3" t="inlineStr">
        <is>
          <t>-m</t>
        </is>
      </c>
      <c r="AA470" s="3" t="inlineStr">
        <is>
          <t>2021-08-20</t>
        </is>
      </c>
    </row>
    <row r="471">
      <c r="A471" s="3" t="inlineStr">
        <is>
          <t>세종특별자치시 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HYPERLINK("https://map.naver.com/p/search/세종특별자치시 나성동 829", "지도Link")</f>
        <v/>
      </c>
      <c r="S471" s="6">
        <f>HYPERLINK("http://www.eum.go.kr/web/ar/lu/luLandDet.jsp?pnu=3611010700108290000&amp;isNoScr=script&amp;mode=search", "토지이음")</f>
        <v/>
      </c>
      <c r="T471" s="3" t="inlineStr">
        <is>
          <t>지구촌무소</t>
        </is>
      </c>
      <c r="U471" s="3" t="n">
        <v>1</v>
      </c>
      <c r="V471" s="3" t="inlineStr">
        <is>
          <t>전망공간 기계실</t>
        </is>
      </c>
      <c r="W471" s="4" t="n">
        <v>493</v>
      </c>
      <c r="X471" s="3" t="inlineStr">
        <is>
          <t>철근콘크리트구조</t>
        </is>
      </c>
      <c r="Y471" s="3" t="inlineStr">
        <is>
          <t>제2종근린생활시설</t>
        </is>
      </c>
      <c r="Z471" s="3" t="inlineStr">
        <is>
          <t>-m</t>
        </is>
      </c>
      <c r="AA471" s="3" t="inlineStr">
        <is>
          <t>2021-08-20</t>
        </is>
      </c>
    </row>
    <row r="472">
      <c r="A472" s="3" t="inlineStr">
        <is>
          <t>세종특별자치시 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HYPERLINK("https://map.naver.com/p/search/세종특별자치시 나성동 829", "지도Link")</f>
        <v/>
      </c>
      <c r="S472" s="6">
        <f>HYPERLINK("http://www.eum.go.kr/web/ar/lu/luLandDet.jsp?pnu=3611010700108290000&amp;isNoScr=script&amp;mode=search", "토지이음")</f>
        <v/>
      </c>
      <c r="T472" s="3" t="inlineStr">
        <is>
          <t>주성</t>
        </is>
      </c>
      <c r="U472" s="3" t="n">
        <v>2</v>
      </c>
      <c r="V472" s="3" t="inlineStr">
        <is>
          <t>근린생활시설 지하주차장</t>
        </is>
      </c>
      <c r="W472" s="4" t="n">
        <v>2231</v>
      </c>
      <c r="X472" s="3" t="inlineStr">
        <is>
          <t>철근콘크리트구조</t>
        </is>
      </c>
      <c r="Y472" s="3" t="inlineStr">
        <is>
          <t>제2종근린생활시설</t>
        </is>
      </c>
      <c r="Z472" s="3" t="inlineStr">
        <is>
          <t>-m</t>
        </is>
      </c>
      <c r="AA472" s="3" t="inlineStr">
        <is>
          <t>2021-08-20</t>
        </is>
      </c>
    </row>
    <row r="473">
      <c r="A473" s="3" t="inlineStr">
        <is>
          <t>세종특별자치시 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HYPERLINK("https://map.naver.com/p/search/세종특별자치시 나성동 829", "지도Link")</f>
        <v/>
      </c>
      <c r="S473" s="6">
        <f>HYPERLINK("http://www.eum.go.kr/web/ar/lu/luLandDet.jsp?pnu=3611010700108290000&amp;isNoScr=script&amp;mode=search", "토지이음")</f>
        <v/>
      </c>
      <c r="T473" s="3" t="inlineStr">
        <is>
          <t>신영</t>
        </is>
      </c>
      <c r="U473" s="3" t="n">
        <v>1</v>
      </c>
      <c r="V473" s="3" t="inlineStr">
        <is>
          <t>604</t>
        </is>
      </c>
      <c r="W473" s="4" t="n">
        <v>990</v>
      </c>
      <c r="X473" s="3" t="inlineStr">
        <is>
          <t>철근콘크리트구조</t>
        </is>
      </c>
      <c r="Y473" s="3" t="inlineStr">
        <is>
          <t>공동주택</t>
        </is>
      </c>
      <c r="Z473" s="3" t="inlineStr">
        <is>
          <t>38.30m</t>
        </is>
      </c>
      <c r="AA473" s="3" t="inlineStr">
        <is>
          <t>2021-08-20</t>
        </is>
      </c>
    </row>
    <row r="474">
      <c r="A474" s="3" t="inlineStr">
        <is>
          <t>세종특별자치시 나성동 829</t>
        </is>
      </c>
      <c r="B474" s="3" t="inlineStr">
        <is>
          <t>중심상업지역</t>
        </is>
      </c>
      <c r="C474" s="3" t="inlineStr">
        <is>
          <t>대</t>
        </is>
      </c>
      <c r="D474" s="3" t="inlineStr">
        <is>
          <t>공장</t>
        </is>
      </c>
      <c r="E474" s="3" t="inlineStr">
        <is>
          <t>매매</t>
        </is>
      </c>
      <c r="F474" s="4" t="n">
        <v>35000</v>
      </c>
      <c r="G474" s="4" t="n">
        <v>0</v>
      </c>
      <c r="H474" s="4" t="n">
        <v>1695</v>
      </c>
      <c r="I474" s="4" t="n">
        <v>513</v>
      </c>
      <c r="J474" s="5" t="n">
        <v>68.2</v>
      </c>
      <c r="K474" s="4" t="n">
        <v>254</v>
      </c>
      <c r="L474" s="4" t="n">
        <v>77</v>
      </c>
      <c r="M474" s="5" t="n">
        <v>454.5</v>
      </c>
      <c r="N474" s="3" t="inlineStr">
        <is>
          <t>1</t>
        </is>
      </c>
      <c r="O474" s="3" t="inlineStr">
        <is>
          <t>-</t>
        </is>
      </c>
      <c r="P474" s="3" t="inlineStr">
        <is>
          <t>nan</t>
        </is>
      </c>
      <c r="Q474" s="6">
        <f>HYPERLINK("https://fin.land.naver.com/articles/2646692310", "매물Link")</f>
        <v/>
      </c>
      <c r="R474" s="6">
        <f>HYPERLINK("https://map.naver.com/p/search/세종특별자치시 나성동 829", "지도Link")</f>
        <v/>
      </c>
      <c r="S474" s="6">
        <f>HYPERLINK("http://www.eum.go.kr/web/ar/lu/luLandDet.jsp?pnu=3611010700108290000&amp;isNoScr=script&amp;mode=search", "토지이음")</f>
        <v/>
      </c>
      <c r="T474" s="3" t="inlineStr">
        <is>
          <t>공상배</t>
        </is>
      </c>
      <c r="U474" s="3" t="n">
        <v>1</v>
      </c>
      <c r="V474" s="3" t="inlineStr">
        <is>
          <t>공동주택 보육시설</t>
        </is>
      </c>
      <c r="W474" s="4" t="n">
        <v>254</v>
      </c>
      <c r="X474" s="3" t="inlineStr">
        <is>
          <t>철근콘크리트구조</t>
        </is>
      </c>
      <c r="Y474" s="3" t="inlineStr">
        <is>
          <t>공동주택</t>
        </is>
      </c>
      <c r="Z474" s="3" t="inlineStr">
        <is>
          <t>-m</t>
        </is>
      </c>
      <c r="AA474" s="3" t="inlineStr">
        <is>
          <t>2021-08-20</t>
        </is>
      </c>
    </row>
    <row r="475">
      <c r="A475" s="3" t="inlineStr">
        <is>
          <t>세종특별자치시 나성동 829</t>
        </is>
      </c>
      <c r="B475" s="3" t="inlineStr">
        <is>
          <t>중심상업지역</t>
        </is>
      </c>
      <c r="C475" s="3" t="inlineStr">
        <is>
          <t>대</t>
        </is>
      </c>
      <c r="D475" s="3" t="inlineStr">
        <is>
          <t>공장</t>
        </is>
      </c>
      <c r="E475" s="3" t="inlineStr">
        <is>
          <t>월세</t>
        </is>
      </c>
      <c r="F475" s="4" t="n">
        <v>1000</v>
      </c>
      <c r="G475" s="4" t="n">
        <v>70</v>
      </c>
      <c r="H475" s="4" t="n">
        <v>2188</v>
      </c>
      <c r="I475" s="4" t="n">
        <v>662</v>
      </c>
      <c r="J475" s="5" t="n">
        <v>0.1</v>
      </c>
      <c r="K475" s="4" t="n">
        <v>560184</v>
      </c>
      <c r="L475" s="4" t="n">
        <v>169456</v>
      </c>
      <c r="M475" s="5" t="n">
        <v>0</v>
      </c>
      <c r="N475" s="3" t="inlineStr">
        <is>
          <t>1</t>
        </is>
      </c>
      <c r="O475" s="3" t="inlineStr">
        <is>
          <t>-</t>
        </is>
      </c>
      <c r="P475" s="3" t="inlineStr">
        <is>
          <t>nan</t>
        </is>
      </c>
      <c r="Q475" s="6">
        <f>HYPERLINK("https://fin.land.naver.com/articles/2644755548", "매물Link")</f>
        <v/>
      </c>
      <c r="R475" s="6">
        <f>HYPERLINK("https://map.naver.com/p/search/세종특별자치시 나성동 829", "지도Link")</f>
        <v/>
      </c>
      <c r="S475" s="6">
        <f>HYPERLINK("http://www.eum.go.kr/web/ar/lu/luLandDet.jsp?pnu=3611010700108290000&amp;isNoScr=script&amp;mode=search", "토지이음")</f>
        <v/>
      </c>
      <c r="T475" s="3" t="inlineStr">
        <is>
          <t>땅야박영수사무소</t>
        </is>
      </c>
      <c r="U475" s="3" t="n">
        <v>1</v>
      </c>
      <c r="V475" s="3" t="inlineStr">
        <is>
          <t>공동주택 지하주차장</t>
        </is>
      </c>
      <c r="W475" s="4" t="n">
        <v>560184</v>
      </c>
      <c r="X475" s="3" t="inlineStr">
        <is>
          <t>철근콘크리트구조</t>
        </is>
      </c>
      <c r="Y475" s="3" t="inlineStr">
        <is>
          <t>공동주택</t>
        </is>
      </c>
      <c r="Z475" s="3" t="inlineStr">
        <is>
          <t>-m</t>
        </is>
      </c>
      <c r="AA475" s="3" t="inlineStr">
        <is>
          <t>2021-08-20</t>
        </is>
      </c>
    </row>
    <row r="476">
      <c r="A476" s="3" t="inlineStr">
        <is>
          <t>세종특별자치시 나성동 829</t>
        </is>
      </c>
      <c r="B476" s="3" t="inlineStr">
        <is>
          <t>중심상업지역</t>
        </is>
      </c>
      <c r="C476" s="3" t="inlineStr">
        <is>
          <t>대</t>
        </is>
      </c>
      <c r="D476" s="3" t="inlineStr">
        <is>
          <t>공장</t>
        </is>
      </c>
      <c r="E476" s="3" t="inlineStr">
        <is>
          <t>매매</t>
        </is>
      </c>
      <c r="F476" s="4" t="n">
        <v>55000</v>
      </c>
      <c r="G476" s="4" t="n">
        <v>0</v>
      </c>
      <c r="H476" s="4" t="n">
        <v>2671</v>
      </c>
      <c r="I476" s="4" t="n">
        <v>808</v>
      </c>
      <c r="J476" s="5" t="n">
        <v>68.09999999999999</v>
      </c>
      <c r="K476" s="4" t="n">
        <v>432</v>
      </c>
      <c r="L476" s="4" t="n">
        <v>131</v>
      </c>
      <c r="M476" s="5" t="n">
        <v>419.8</v>
      </c>
      <c r="N476" s="3" t="inlineStr">
        <is>
          <t>1</t>
        </is>
      </c>
      <c r="O476" s="3" t="inlineStr">
        <is>
          <t>-</t>
        </is>
      </c>
      <c r="P476" s="3" t="inlineStr">
        <is>
          <t>1.전통식품(장류)공장적지 2.각종체험관 3.수공예제작 체험관</t>
        </is>
      </c>
      <c r="Q476" s="6">
        <f>HYPERLINK("https://fin.land.naver.com/articles/2646407217", "매물Link")</f>
        <v/>
      </c>
      <c r="R476" s="6">
        <f>HYPERLINK("https://map.naver.com/p/search/세종특별자치시 나성동 829", "지도Link")</f>
        <v/>
      </c>
      <c r="S476" s="6">
        <f>HYPERLINK("http://www.eum.go.kr/web/ar/lu/luLandDet.jsp?pnu=3611010700108290000&amp;isNoScr=script&amp;mode=search", "토지이음")</f>
        <v/>
      </c>
      <c r="T476" s="3" t="inlineStr">
        <is>
          <t>명동</t>
        </is>
      </c>
      <c r="U476" s="3" t="n">
        <v>1</v>
      </c>
      <c r="V476" s="3" t="inlineStr">
        <is>
          <t>전망공간 기계실</t>
        </is>
      </c>
      <c r="W476" s="4" t="n">
        <v>432</v>
      </c>
      <c r="X476" s="3" t="inlineStr">
        <is>
          <t>철근콘크리트구조</t>
        </is>
      </c>
      <c r="Y476" s="3" t="inlineStr">
        <is>
          <t>제2종근린생활시설</t>
        </is>
      </c>
      <c r="Z476" s="3" t="inlineStr">
        <is>
          <t>-m</t>
        </is>
      </c>
      <c r="AA476" s="3" t="inlineStr">
        <is>
          <t>2021-08-20</t>
        </is>
      </c>
    </row>
    <row r="477">
      <c r="A477" s="3" t="inlineStr">
        <is>
          <t>세종특별자치시 나성동 829</t>
        </is>
      </c>
      <c r="B477" s="3" t="inlineStr">
        <is>
          <t>중심상업지역</t>
        </is>
      </c>
      <c r="C477" s="3" t="inlineStr">
        <is>
          <t>대</t>
        </is>
      </c>
      <c r="D477" s="3" t="inlineStr">
        <is>
          <t>창고</t>
        </is>
      </c>
      <c r="E477" s="3" t="inlineStr">
        <is>
          <t>월세</t>
        </is>
      </c>
      <c r="F477" s="4" t="n">
        <v>1000</v>
      </c>
      <c r="G477" s="4" t="n">
        <v>90</v>
      </c>
      <c r="H477" s="4" t="n">
        <v>661</v>
      </c>
      <c r="I477" s="4" t="n">
        <v>200</v>
      </c>
      <c r="J477" s="5" t="n">
        <v>0.5</v>
      </c>
      <c r="K477" s="4" t="n">
        <v>324</v>
      </c>
      <c r="L477" s="4" t="n">
        <v>98</v>
      </c>
      <c r="M477" s="5" t="n">
        <v>0.9</v>
      </c>
      <c r="N477" s="3" t="inlineStr">
        <is>
          <t>1</t>
        </is>
      </c>
      <c r="O477" s="3" t="inlineStr">
        <is>
          <t>-</t>
        </is>
      </c>
      <c r="P477" s="3" t="inlineStr">
        <is>
          <t>사진, 탄천IC5분, 물품창고, 층고5m, 대형차진입</t>
        </is>
      </c>
      <c r="Q477" s="6">
        <f>HYPERLINK("https://fin.land.naver.com/articles/2649589429", "매물Link")</f>
        <v/>
      </c>
      <c r="R477" s="6">
        <f>HYPERLINK("https://map.naver.com/p/search/세종특별자치시 나성동 829", "지도Link")</f>
        <v/>
      </c>
      <c r="S477" s="6">
        <f>HYPERLINK("http://www.eum.go.kr/web/ar/lu/luLandDet.jsp?pnu=3611010700108290000&amp;isNoScr=script&amp;mode=search", "토지이음")</f>
        <v/>
      </c>
      <c r="T477" s="3" t="inlineStr">
        <is>
          <t>OK허니</t>
        </is>
      </c>
      <c r="U477" s="3" t="n">
        <v>1</v>
      </c>
      <c r="V477" s="3" t="inlineStr">
        <is>
          <t>801</t>
        </is>
      </c>
      <c r="W477" s="4" t="n">
        <v>324</v>
      </c>
      <c r="X477" s="3" t="inlineStr">
        <is>
          <t>철근콘크리트구조</t>
        </is>
      </c>
      <c r="Y477" s="3" t="inlineStr">
        <is>
          <t>제2종근린생활시설</t>
        </is>
      </c>
      <c r="Z477" s="3" t="inlineStr">
        <is>
          <t>-m</t>
        </is>
      </c>
      <c r="AA477" s="3" t="inlineStr">
        <is>
          <t>2021-08-20</t>
        </is>
      </c>
    </row>
    <row r="478">
      <c r="A478" s="3" t="inlineStr">
        <is>
          <t>세종특별자치시 나성동 829</t>
        </is>
      </c>
      <c r="B478" s="3" t="inlineStr">
        <is>
          <t>중심상업지역</t>
        </is>
      </c>
      <c r="C478" s="3" t="inlineStr">
        <is>
          <t>대</t>
        </is>
      </c>
      <c r="D478" s="3" t="inlineStr">
        <is>
          <t>창고</t>
        </is>
      </c>
      <c r="E478" s="3" t="inlineStr">
        <is>
          <t>매매</t>
        </is>
      </c>
      <c r="F478" s="4" t="n">
        <v>120000</v>
      </c>
      <c r="G478" s="4" t="n">
        <v>0</v>
      </c>
      <c r="H478" s="4" t="n">
        <v>4816</v>
      </c>
      <c r="I478" s="4" t="n">
        <v>1457</v>
      </c>
      <c r="J478" s="5" t="n">
        <v>82.40000000000001</v>
      </c>
      <c r="K478" s="4" t="n">
        <v>826</v>
      </c>
      <c r="L478" s="4" t="n">
        <v>250</v>
      </c>
      <c r="M478" s="5" t="n">
        <v>480</v>
      </c>
      <c r="N478" s="3" t="inlineStr">
        <is>
          <t>1</t>
        </is>
      </c>
      <c r="O478" s="3" t="inlineStr">
        <is>
          <t>-</t>
        </is>
      </c>
      <c r="P478" s="3" t="inlineStr">
        <is>
          <t>2차선도로 길게 접한 창고형 공장 2개동 및 사무실</t>
        </is>
      </c>
      <c r="Q478" s="6">
        <f>HYPERLINK("https://fin.land.naver.com/articles/2645625280", "매물Link")</f>
        <v/>
      </c>
      <c r="R478" s="6">
        <f>HYPERLINK("https://map.naver.com/p/search/세종특별자치시 나성동 829", "지도Link")</f>
        <v/>
      </c>
      <c r="S478" s="6">
        <f>HYPERLINK("http://www.eum.go.kr/web/ar/lu/luLandDet.jsp?pnu=3611010700108290000&amp;isNoScr=script&amp;mode=search", "토지이음")</f>
        <v/>
      </c>
      <c r="T478" s="3" t="inlineStr">
        <is>
          <t>세종소담114</t>
        </is>
      </c>
      <c r="U478" s="3" t="n">
        <v>1</v>
      </c>
      <c r="V478" s="3" t="inlineStr">
        <is>
          <t>공동주택 휘트니스</t>
        </is>
      </c>
      <c r="W478" s="4" t="n">
        <v>826</v>
      </c>
      <c r="X478" s="3" t="inlineStr">
        <is>
          <t>철근콘크리트구조</t>
        </is>
      </c>
      <c r="Y478" s="3" t="inlineStr">
        <is>
          <t>공동주택</t>
        </is>
      </c>
      <c r="Z478" s="3" t="inlineStr">
        <is>
          <t>-m</t>
        </is>
      </c>
      <c r="AA478" s="3" t="inlineStr">
        <is>
          <t>2021-08-20</t>
        </is>
      </c>
    </row>
    <row r="479">
      <c r="A479" s="3" t="inlineStr">
        <is>
          <t>세종특별자치시 나성동 829</t>
        </is>
      </c>
      <c r="B479" s="3" t="inlineStr">
        <is>
          <t>중심상업지역</t>
        </is>
      </c>
      <c r="C479" s="3" t="inlineStr">
        <is>
          <t>대</t>
        </is>
      </c>
      <c r="D479" s="3" t="inlineStr">
        <is>
          <t>창고</t>
        </is>
      </c>
      <c r="E479" s="3" t="inlineStr">
        <is>
          <t>월세</t>
        </is>
      </c>
      <c r="F479" s="4" t="n">
        <v>1000</v>
      </c>
      <c r="G479" s="4" t="n">
        <v>80</v>
      </c>
      <c r="H479" s="4" t="n">
        <v>6830</v>
      </c>
      <c r="I479" s="4" t="n">
        <v>2066</v>
      </c>
      <c r="J479" s="5" t="n">
        <v>0</v>
      </c>
      <c r="K479" s="4" t="n">
        <v>2632</v>
      </c>
      <c r="L479" s="4" t="n">
        <v>796</v>
      </c>
      <c r="M479" s="5" t="n">
        <v>0.1</v>
      </c>
      <c r="N479" s="3" t="inlineStr">
        <is>
          <t>1</t>
        </is>
      </c>
      <c r="O479" s="3" t="inlineStr">
        <is>
          <t>-</t>
        </is>
      </c>
      <c r="P479" s="3" t="inlineStr">
        <is>
          <t>탄천IC차량시간 3분대 진입 창고 월세</t>
        </is>
      </c>
      <c r="Q479" s="6">
        <f>HYPERLINK("https://fin.land.naver.com/articles/2647332188", "매물Link")</f>
        <v/>
      </c>
      <c r="R479" s="6">
        <f>HYPERLINK("https://map.naver.com/p/search/세종특별자치시 나성동 829", "지도Link")</f>
        <v/>
      </c>
      <c r="S479" s="6">
        <f>HYPERLINK("http://www.eum.go.kr/web/ar/lu/luLandDet.jsp?pnu=3611010700108290000&amp;isNoScr=script&amp;mode=search", "토지이음")</f>
        <v/>
      </c>
      <c r="T479" s="3" t="inlineStr">
        <is>
          <t>미래로</t>
        </is>
      </c>
      <c r="U479" s="3" t="n">
        <v>2</v>
      </c>
      <c r="V479" s="3" t="inlineStr">
        <is>
          <t>802</t>
        </is>
      </c>
      <c r="W479" s="4" t="n">
        <v>2632</v>
      </c>
      <c r="X479" s="3" t="inlineStr">
        <is>
          <t>철근콘크리트구조</t>
        </is>
      </c>
      <c r="Y479" s="3" t="inlineStr">
        <is>
          <t>제2종근린생활시설</t>
        </is>
      </c>
      <c r="Z479" s="3" t="inlineStr">
        <is>
          <t>-m</t>
        </is>
      </c>
      <c r="AA479" s="3" t="inlineStr">
        <is>
          <t>2021-08-20</t>
        </is>
      </c>
    </row>
    <row r="480">
      <c r="A480" s="3" t="inlineStr">
        <is>
          <t>세종특별자치시 나성동 829</t>
        </is>
      </c>
      <c r="B480" s="3" t="inlineStr">
        <is>
          <t>중심상업지역</t>
        </is>
      </c>
      <c r="C480" s="3" t="inlineStr">
        <is>
          <t>대</t>
        </is>
      </c>
      <c r="D480" s="3" t="inlineStr">
        <is>
          <t>창고</t>
        </is>
      </c>
      <c r="E480" s="3" t="inlineStr">
        <is>
          <t>월세</t>
        </is>
      </c>
      <c r="F480" s="4" t="n">
        <v>3000</v>
      </c>
      <c r="G480" s="4" t="n">
        <v>200</v>
      </c>
      <c r="H480" s="4" t="n">
        <v>993</v>
      </c>
      <c r="I480" s="4" t="n">
        <v>300</v>
      </c>
      <c r="J480" s="5" t="n">
        <v>0.7</v>
      </c>
      <c r="K480" s="4" t="n">
        <v>205</v>
      </c>
      <c r="L480" s="4" t="n">
        <v>62</v>
      </c>
      <c r="M480" s="5" t="n">
        <v>3.2</v>
      </c>
      <c r="N480" s="3" t="inlineStr">
        <is>
          <t>1</t>
        </is>
      </c>
      <c r="O480" s="3" t="inlineStr">
        <is>
          <t>-</t>
        </is>
      </c>
      <c r="P480" s="3" t="inlineStr">
        <is>
          <t>사진, 서세종IC5분, 2차선변, 넓은마당, 층고6m, 대형차가능</t>
        </is>
      </c>
      <c r="Q480" s="6">
        <f>HYPERLINK("https://fin.land.naver.com/articles/2648413450", "매물Link")</f>
        <v/>
      </c>
      <c r="R480" s="6">
        <f>HYPERLINK("https://map.naver.com/p/search/세종특별자치시 나성동 829", "지도Link")</f>
        <v/>
      </c>
      <c r="S480" s="6">
        <f>HYPERLINK("http://www.eum.go.kr/web/ar/lu/luLandDet.jsp?pnu=3611010700108290000&amp;isNoScr=script&amp;mode=search", "토지이음")</f>
        <v/>
      </c>
      <c r="T480" s="3" t="inlineStr">
        <is>
          <t>OK허니</t>
        </is>
      </c>
      <c r="U480" s="3" t="n">
        <v>1</v>
      </c>
      <c r="V480" s="3" t="inlineStr">
        <is>
          <t>공동주택 주민공동시설</t>
        </is>
      </c>
      <c r="W480" s="4" t="n">
        <v>205</v>
      </c>
      <c r="X480" s="3" t="inlineStr">
        <is>
          <t>철근콘크리트구조</t>
        </is>
      </c>
      <c r="Y480" s="3" t="inlineStr">
        <is>
          <t>공동주택</t>
        </is>
      </c>
      <c r="Z480" s="3" t="inlineStr">
        <is>
          <t>-m</t>
        </is>
      </c>
      <c r="AA480" s="3" t="inlineStr">
        <is>
          <t>2021-08-20</t>
        </is>
      </c>
    </row>
    <row r="481">
      <c r="A481" s="3" t="inlineStr">
        <is>
          <t>세종특별자치시 나성동 829</t>
        </is>
      </c>
      <c r="B481" s="3" t="inlineStr">
        <is>
          <t>중심상업지역</t>
        </is>
      </c>
      <c r="C481" s="3" t="inlineStr">
        <is>
          <t>대</t>
        </is>
      </c>
      <c r="D481" s="3" t="inlineStr">
        <is>
          <t>창고</t>
        </is>
      </c>
      <c r="E481" s="3" t="inlineStr">
        <is>
          <t>월세</t>
        </is>
      </c>
      <c r="F481" s="4" t="n">
        <v>2000</v>
      </c>
      <c r="G481" s="4" t="n">
        <v>150</v>
      </c>
      <c r="H481" s="4" t="n">
        <v>580</v>
      </c>
      <c r="I481" s="4" t="n">
        <v>175</v>
      </c>
      <c r="J481" s="5" t="n">
        <v>0.9</v>
      </c>
      <c r="K481" s="4" t="n">
        <v>198</v>
      </c>
      <c r="L481" s="4" t="n">
        <v>60</v>
      </c>
      <c r="M481" s="5" t="n">
        <v>2.5</v>
      </c>
      <c r="N481" s="3" t="inlineStr">
        <is>
          <t>1</t>
        </is>
      </c>
      <c r="O481" s="3" t="inlineStr">
        <is>
          <t>-</t>
        </is>
      </c>
      <c r="P481" s="3" t="inlineStr">
        <is>
          <t>사진, 서세종IC3분,4차선도로변,광고효과,마당넓음,단독사용,12월입주</t>
        </is>
      </c>
      <c r="Q481" s="6">
        <f>HYPERLINK("https://fin.land.naver.com/articles/2648424460", "매물Link")</f>
        <v/>
      </c>
      <c r="R481" s="6">
        <f>HYPERLINK("https://map.naver.com/p/search/세종특별자치시 나성동 829", "지도Link")</f>
        <v/>
      </c>
      <c r="S481" s="6">
        <f>HYPERLINK("http://www.eum.go.kr/web/ar/lu/luLandDet.jsp?pnu=3611010700108290000&amp;isNoScr=script&amp;mode=search", "토지이음")</f>
        <v/>
      </c>
      <c r="T481" s="3" t="inlineStr">
        <is>
          <t>OK허니</t>
        </is>
      </c>
      <c r="U481" s="3" t="n">
        <v>1</v>
      </c>
      <c r="V481" s="3" t="inlineStr">
        <is>
          <t>공동주택 주민공동시설</t>
        </is>
      </c>
      <c r="W481" s="4" t="n">
        <v>198</v>
      </c>
      <c r="X481" s="3" t="inlineStr">
        <is>
          <t>철근콘크리트구조</t>
        </is>
      </c>
      <c r="Y481" s="3" t="inlineStr">
        <is>
          <t>공동주택</t>
        </is>
      </c>
      <c r="Z481" s="3" t="inlineStr">
        <is>
          <t>-m</t>
        </is>
      </c>
      <c r="AA481" s="3" t="inlineStr">
        <is>
          <t>2021-08-20</t>
        </is>
      </c>
    </row>
    <row r="482">
      <c r="A482" s="3" t="inlineStr">
        <is>
          <t>세종특별자치시 나성동 829</t>
        </is>
      </c>
      <c r="B482" s="3" t="inlineStr">
        <is>
          <t>중심상업지역</t>
        </is>
      </c>
      <c r="C482" s="3" t="inlineStr">
        <is>
          <t>대</t>
        </is>
      </c>
      <c r="D482" s="3" t="inlineStr">
        <is>
          <t>공장</t>
        </is>
      </c>
      <c r="E482" s="3" t="inlineStr">
        <is>
          <t>매매</t>
        </is>
      </c>
      <c r="F482" s="4" t="n">
        <v>180000</v>
      </c>
      <c r="G482" s="4" t="n">
        <v>0</v>
      </c>
      <c r="H482" s="4" t="n">
        <v>4607</v>
      </c>
      <c r="I482" s="4" t="n">
        <v>1394</v>
      </c>
      <c r="J482" s="5" t="n">
        <v>129.1</v>
      </c>
      <c r="K482" s="4" t="n">
        <v>726</v>
      </c>
      <c r="L482" s="4" t="n">
        <v>220</v>
      </c>
      <c r="M482" s="5" t="n">
        <v>818.2</v>
      </c>
      <c r="N482" s="3" t="inlineStr">
        <is>
          <t>1</t>
        </is>
      </c>
      <c r="O482" s="3" t="inlineStr">
        <is>
          <t>-</t>
        </is>
      </c>
      <c r="P482" s="3" t="inlineStr">
        <is>
          <t>nan</t>
        </is>
      </c>
      <c r="Q482" s="6">
        <f>HYPERLINK("https://fin.land.naver.com/articles/2645312711", "매물Link")</f>
        <v/>
      </c>
      <c r="R482" s="6">
        <f>HYPERLINK("https://map.naver.com/p/search/세종특별자치시 나성동 829", "지도Link")</f>
        <v/>
      </c>
      <c r="S482" s="6">
        <f>HYPERLINK("http://www.eum.go.kr/web/ar/lu/luLandDet.jsp?pnu=3611010700108290000&amp;isNoScr=script&amp;mode=search", "토지이음")</f>
        <v/>
      </c>
      <c r="T482" s="3" t="inlineStr">
        <is>
          <t>마당발</t>
        </is>
      </c>
      <c r="U482" s="3" t="n">
        <v>1</v>
      </c>
      <c r="V482" s="3" t="inlineStr">
        <is>
          <t>803</t>
        </is>
      </c>
      <c r="W482" s="4" t="n">
        <v>726</v>
      </c>
      <c r="X482" s="3" t="inlineStr">
        <is>
          <t>철근콘크리트구조</t>
        </is>
      </c>
      <c r="Y482" s="3" t="inlineStr">
        <is>
          <t>제2종근린생활시설</t>
        </is>
      </c>
      <c r="Z482" s="3" t="inlineStr">
        <is>
          <t>-m</t>
        </is>
      </c>
      <c r="AA482" s="3" t="inlineStr">
        <is>
          <t>2021-08-20</t>
        </is>
      </c>
    </row>
    <row r="483">
      <c r="A483" s="3" t="inlineStr">
        <is>
          <t>세종특별자치시 나성동 829</t>
        </is>
      </c>
      <c r="B483" s="3" t="inlineStr">
        <is>
          <t>중심상업지역</t>
        </is>
      </c>
      <c r="C483" s="3" t="inlineStr">
        <is>
          <t>대</t>
        </is>
      </c>
      <c r="D483" s="3" t="inlineStr">
        <is>
          <t>창고</t>
        </is>
      </c>
      <c r="E483" s="3" t="inlineStr">
        <is>
          <t>월세</t>
        </is>
      </c>
      <c r="F483" s="4" t="n">
        <v>1000</v>
      </c>
      <c r="G483" s="4" t="n">
        <v>30</v>
      </c>
      <c r="H483" s="4" t="n">
        <v>450</v>
      </c>
      <c r="I483" s="4" t="n">
        <v>136</v>
      </c>
      <c r="J483" s="5" t="n">
        <v>0.2</v>
      </c>
      <c r="K483" s="4" t="n">
        <v>75</v>
      </c>
      <c r="L483" s="4" t="n">
        <v>23</v>
      </c>
      <c r="M483" s="5" t="n">
        <v>1.3</v>
      </c>
      <c r="N483" s="3" t="inlineStr">
        <is>
          <t>1</t>
        </is>
      </c>
      <c r="O483" s="3" t="inlineStr">
        <is>
          <t>-</t>
        </is>
      </c>
      <c r="P483" s="3" t="inlineStr">
        <is>
          <t>일반창고및 저온창고 공장용도 전체 다가능</t>
        </is>
      </c>
      <c r="Q483" s="6">
        <f>HYPERLINK("https://fin.land.naver.com/articles/2645872938", "매물Link")</f>
        <v/>
      </c>
      <c r="R483" s="6">
        <f>HYPERLINK("https://map.naver.com/p/search/세종특별자치시 나성동 829", "지도Link")</f>
        <v/>
      </c>
      <c r="S483" s="6">
        <f>HYPERLINK("http://www.eum.go.kr/web/ar/lu/luLandDet.jsp?pnu=3611010700108290000&amp;isNoScr=script&amp;mode=search", "토지이음")</f>
        <v/>
      </c>
      <c r="T483" s="3" t="inlineStr">
        <is>
          <t>마당발</t>
        </is>
      </c>
      <c r="U483" s="3" t="n">
        <v>1</v>
      </c>
      <c r="V483" s="3" t="inlineStr">
        <is>
          <t>공동주택 바이크스테이션</t>
        </is>
      </c>
      <c r="W483" s="4" t="n">
        <v>75</v>
      </c>
      <c r="X483" s="3" t="inlineStr">
        <is>
          <t>철근콘크리트구조</t>
        </is>
      </c>
      <c r="Y483" s="3" t="inlineStr">
        <is>
          <t>공동주택</t>
        </is>
      </c>
      <c r="Z483" s="3" t="inlineStr">
        <is>
          <t>-m</t>
        </is>
      </c>
      <c r="AA483" s="3" t="inlineStr">
        <is>
          <t>2021-08-20</t>
        </is>
      </c>
    </row>
    <row r="484">
      <c r="A484" s="3" t="inlineStr">
        <is>
          <t>세종특별자치시 나성동 829</t>
        </is>
      </c>
      <c r="B484" s="3" t="inlineStr">
        <is>
          <t>중심상업지역</t>
        </is>
      </c>
      <c r="C484" s="3" t="inlineStr">
        <is>
          <t>대</t>
        </is>
      </c>
      <c r="D484" s="3" t="inlineStr">
        <is>
          <t>창고</t>
        </is>
      </c>
      <c r="E484" s="3" t="inlineStr">
        <is>
          <t>월세</t>
        </is>
      </c>
      <c r="F484" s="4" t="n">
        <v>500</v>
      </c>
      <c r="G484" s="4" t="n">
        <v>60</v>
      </c>
      <c r="H484" s="4" t="n">
        <v>330</v>
      </c>
      <c r="I484" s="4" t="n">
        <v>100</v>
      </c>
      <c r="J484" s="5" t="n">
        <v>0.6</v>
      </c>
      <c r="K484" s="4" t="n">
        <v>194</v>
      </c>
      <c r="L484" s="4" t="n">
        <v>59</v>
      </c>
      <c r="M484" s="5" t="n">
        <v>1</v>
      </c>
      <c r="N484" s="3" t="inlineStr">
        <is>
          <t>1</t>
        </is>
      </c>
      <c r="O484" s="3" t="inlineStr">
        <is>
          <t>-</t>
        </is>
      </c>
      <c r="P484" s="3" t="inlineStr">
        <is>
          <t>nan</t>
        </is>
      </c>
      <c r="Q484" s="6">
        <f>HYPERLINK("https://fin.land.naver.com/articles/2648201160", "매물Link")</f>
        <v/>
      </c>
      <c r="R484" s="6">
        <f>HYPERLINK("https://map.naver.com/p/search/세종특별자치시 나성동 829", "지도Link")</f>
        <v/>
      </c>
      <c r="S484" s="6">
        <f>HYPERLINK("http://www.eum.go.kr/web/ar/lu/luLandDet.jsp?pnu=3611010700108290000&amp;isNoScr=script&amp;mode=search", "토지이음")</f>
        <v/>
      </c>
      <c r="T484" s="3" t="inlineStr">
        <is>
          <t>쾌재</t>
        </is>
      </c>
      <c r="U484" s="3" t="n">
        <v>1</v>
      </c>
      <c r="V484" s="3" t="inlineStr">
        <is>
          <t>공동주택 주민공동시설</t>
        </is>
      </c>
      <c r="W484" s="4" t="n">
        <v>194</v>
      </c>
      <c r="X484" s="3" t="inlineStr">
        <is>
          <t>철근콘크리트구조</t>
        </is>
      </c>
      <c r="Y484" s="3" t="inlineStr">
        <is>
          <t>공동주택</t>
        </is>
      </c>
      <c r="Z484" s="3" t="inlineStr">
        <is>
          <t>-m</t>
        </is>
      </c>
      <c r="AA484" s="3" t="inlineStr">
        <is>
          <t>2021-08-20</t>
        </is>
      </c>
    </row>
    <row r="485">
      <c r="A485" s="3" t="inlineStr">
        <is>
          <t>세종특별자치시 나성동 829</t>
        </is>
      </c>
      <c r="B485" s="3" t="inlineStr">
        <is>
          <t>중심상업지역</t>
        </is>
      </c>
      <c r="C485" s="3" t="inlineStr">
        <is>
          <t>대</t>
        </is>
      </c>
      <c r="D485" s="3" t="inlineStr">
        <is>
          <t>공장</t>
        </is>
      </c>
      <c r="E485" s="3" t="inlineStr">
        <is>
          <t>매매</t>
        </is>
      </c>
      <c r="F485" s="4" t="n">
        <v>550000</v>
      </c>
      <c r="G485" s="4" t="n">
        <v>0</v>
      </c>
      <c r="H485" s="4" t="n">
        <v>11065</v>
      </c>
      <c r="I485" s="4" t="n">
        <v>3347</v>
      </c>
      <c r="J485" s="5" t="n">
        <v>164.3</v>
      </c>
      <c r="K485" s="4" t="n">
        <v>3212</v>
      </c>
      <c r="L485" s="4" t="n">
        <v>972</v>
      </c>
      <c r="M485" s="5" t="n">
        <v>565.8</v>
      </c>
      <c r="N485" s="3" t="inlineStr">
        <is>
          <t>1</t>
        </is>
      </c>
      <c r="O485" s="3" t="inlineStr">
        <is>
          <t>-</t>
        </is>
      </c>
      <c r="P485" s="3" t="inlineStr">
        <is>
          <t>공장 5개동, 제조업 또는 물류센터 등으로 입지 양호</t>
        </is>
      </c>
      <c r="Q485" s="6">
        <f>HYPERLINK("https://fin.land.naver.com/articles/2649845025", "매물Link")</f>
        <v/>
      </c>
      <c r="R485" s="6">
        <f>HYPERLINK("https://map.naver.com/p/search/세종특별자치시 나성동 829", "지도Link")</f>
        <v/>
      </c>
      <c r="S485" s="6">
        <f>HYPERLINK("http://www.eum.go.kr/web/ar/lu/luLandDet.jsp?pnu=3611010700108290000&amp;isNoScr=script&amp;mode=search", "토지이음")</f>
        <v/>
      </c>
      <c r="T485" s="3" t="inlineStr">
        <is>
          <t>도깨비</t>
        </is>
      </c>
      <c r="U485" s="3" t="n">
        <v>1</v>
      </c>
      <c r="V485" s="3" t="inlineStr">
        <is>
          <t>802</t>
        </is>
      </c>
      <c r="W485" s="4" t="n">
        <v>3212</v>
      </c>
      <c r="X485" s="3" t="inlineStr">
        <is>
          <t>철근콘크리트구조</t>
        </is>
      </c>
      <c r="Y485" s="3" t="inlineStr">
        <is>
          <t>제2종근린생활시설</t>
        </is>
      </c>
      <c r="Z485" s="3" t="inlineStr">
        <is>
          <t>-m</t>
        </is>
      </c>
      <c r="AA485" s="3" t="inlineStr">
        <is>
          <t>2021-08-20</t>
        </is>
      </c>
    </row>
    <row r="486">
      <c r="A486" s="3" t="inlineStr">
        <is>
          <t>세종특별자치시 나성동 829</t>
        </is>
      </c>
      <c r="B486" s="3" t="inlineStr">
        <is>
          <t>중심상업지역</t>
        </is>
      </c>
      <c r="C486" s="3" t="inlineStr">
        <is>
          <t>대</t>
        </is>
      </c>
      <c r="D486" s="3" t="inlineStr">
        <is>
          <t>공장</t>
        </is>
      </c>
      <c r="E486" s="3" t="inlineStr">
        <is>
          <t>월세</t>
        </is>
      </c>
      <c r="F486" s="4" t="n">
        <v>3000</v>
      </c>
      <c r="G486" s="4" t="n">
        <v>300</v>
      </c>
      <c r="H486" s="4" t="n">
        <v>4995</v>
      </c>
      <c r="I486" s="4" t="n">
        <v>1511</v>
      </c>
      <c r="J486" s="5" t="n">
        <v>0.2</v>
      </c>
      <c r="K486" s="4" t="n">
        <v>1987</v>
      </c>
      <c r="L486" s="4" t="n">
        <v>601</v>
      </c>
      <c r="M486" s="5" t="n">
        <v>0.5</v>
      </c>
      <c r="N486" s="3" t="inlineStr">
        <is>
          <t>1</t>
        </is>
      </c>
      <c r="O486" s="3" t="inlineStr">
        <is>
          <t>-</t>
        </is>
      </c>
      <c r="P486" s="3" t="inlineStr">
        <is>
          <t>nan</t>
        </is>
      </c>
      <c r="Q486" s="6">
        <f>HYPERLINK("https://fin.land.naver.com/articles/2649921638", "매물Link")</f>
        <v/>
      </c>
      <c r="R486" s="6">
        <f>HYPERLINK("https://map.naver.com/p/search/세종특별자치시 나성동 829", "지도Link")</f>
        <v/>
      </c>
      <c r="S486" s="6">
        <f>HYPERLINK("http://www.eum.go.kr/web/ar/lu/luLandDet.jsp?pnu=3611010700108290000&amp;isNoScr=script&amp;mode=search", "토지이음")</f>
        <v/>
      </c>
      <c r="T486" s="3" t="inlineStr">
        <is>
          <t>상생</t>
        </is>
      </c>
      <c r="U486" s="3" t="n">
        <v>1</v>
      </c>
      <c r="V486" s="3" t="inlineStr">
        <is>
          <t>901(전망공간)</t>
        </is>
      </c>
      <c r="W486" s="4" t="n">
        <v>1987</v>
      </c>
      <c r="X486" s="3" t="inlineStr">
        <is>
          <t>철근콘크리트구조</t>
        </is>
      </c>
      <c r="Y486" s="3" t="inlineStr">
        <is>
          <t>제2종근린생활시설</t>
        </is>
      </c>
      <c r="Z486" s="3" t="inlineStr">
        <is>
          <t>-m</t>
        </is>
      </c>
      <c r="AA486" s="3" t="inlineStr">
        <is>
          <t>2021-08-20</t>
        </is>
      </c>
    </row>
    <row r="487">
      <c r="A487" s="3" t="inlineStr">
        <is>
          <t>세종특별자치시 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HYPERLINK("https://map.naver.com/p/search/세종특별자치시 나성동 829", "지도Link")</f>
        <v/>
      </c>
      <c r="S487" s="6">
        <f>HYPERLINK("http://www.eum.go.kr/web/ar/lu/luLandDet.jsp?pnu=3611010700108290000&amp;isNoScr=script&amp;mode=search", "토지이음")</f>
        <v/>
      </c>
      <c r="T487" s="3" t="inlineStr">
        <is>
          <t>교차로</t>
        </is>
      </c>
      <c r="U487" s="3" t="n">
        <v>1</v>
      </c>
      <c r="V487" s="3" t="inlineStr">
        <is>
          <t>전망공간 기계실</t>
        </is>
      </c>
      <c r="W487" s="4" t="n">
        <v>420</v>
      </c>
      <c r="X487" s="3" t="inlineStr">
        <is>
          <t>철근콘크리트구조</t>
        </is>
      </c>
      <c r="Y487" s="3" t="inlineStr">
        <is>
          <t>제2종근린생활시설</t>
        </is>
      </c>
      <c r="Z487" s="3" t="inlineStr">
        <is>
          <t>-m</t>
        </is>
      </c>
      <c r="AA487" s="3" t="inlineStr">
        <is>
          <t>2021-08-20</t>
        </is>
      </c>
    </row>
    <row r="488">
      <c r="A488" s="3" t="inlineStr">
        <is>
          <t>세종특별자치시 나성동 829</t>
        </is>
      </c>
      <c r="B488" s="3" t="inlineStr">
        <is>
          <t>중심상업지역</t>
        </is>
      </c>
      <c r="C488" s="3" t="inlineStr">
        <is>
          <t>대</t>
        </is>
      </c>
      <c r="D488" s="3" t="inlineStr">
        <is>
          <t>공장</t>
        </is>
      </c>
      <c r="E488" s="3" t="inlineStr">
        <is>
          <t>월세</t>
        </is>
      </c>
      <c r="F488" s="4" t="n">
        <v>4000</v>
      </c>
      <c r="G488" s="4" t="n">
        <v>380</v>
      </c>
      <c r="H488" s="4" t="n">
        <v>1500</v>
      </c>
      <c r="I488" s="4" t="n">
        <v>454</v>
      </c>
      <c r="J488" s="5" t="n">
        <v>0.8</v>
      </c>
      <c r="K488" s="4" t="n">
        <v>626</v>
      </c>
      <c r="L488" s="4" t="n">
        <v>189</v>
      </c>
      <c r="M488" s="5" t="n">
        <v>2</v>
      </c>
      <c r="N488" s="3" t="inlineStr">
        <is>
          <t>1</t>
        </is>
      </c>
      <c r="O488" s="3" t="inlineStr">
        <is>
          <t>-</t>
        </is>
      </c>
      <c r="P488" s="3" t="inlineStr">
        <is>
          <t>오창과학단지생활권,오창,증평i,c 10분 위치 저렴한임대료,전기,호이스트</t>
        </is>
      </c>
      <c r="Q488" s="6">
        <f>HYPERLINK("https://fin.land.naver.com/articles/2646741789", "매물Link")</f>
        <v/>
      </c>
      <c r="R488" s="6">
        <f>HYPERLINK("https://map.naver.com/p/search/세종특별자치시 나성동 829", "지도Link")</f>
        <v/>
      </c>
      <c r="S488" s="6">
        <f>HYPERLINK("http://www.eum.go.kr/web/ar/lu/luLandDet.jsp?pnu=3611010700108290000&amp;isNoScr=script&amp;mode=search", "토지이음")</f>
        <v/>
      </c>
      <c r="T488" s="3" t="inlineStr">
        <is>
          <t>공장365</t>
        </is>
      </c>
      <c r="U488" s="3" t="n">
        <v>1</v>
      </c>
      <c r="V488" s="3" t="inlineStr">
        <is>
          <t>803</t>
        </is>
      </c>
      <c r="W488" s="4" t="n">
        <v>626</v>
      </c>
      <c r="X488" s="3" t="inlineStr">
        <is>
          <t>철근콘크리트구조</t>
        </is>
      </c>
      <c r="Y488" s="3" t="inlineStr">
        <is>
          <t>제2종근린생활시설</t>
        </is>
      </c>
      <c r="Z488" s="3" t="inlineStr">
        <is>
          <t>-m</t>
        </is>
      </c>
      <c r="AA488" s="3" t="inlineStr">
        <is>
          <t>2021-08-20</t>
        </is>
      </c>
    </row>
    <row r="489">
      <c r="A489" s="3" t="inlineStr">
        <is>
          <t>세종특별자치시 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HYPERLINK("https://map.naver.com/p/search/세종특별자치시 나성동 829", "지도Link")</f>
        <v/>
      </c>
      <c r="S489" s="6">
        <f>HYPERLINK("http://www.eum.go.kr/web/ar/lu/luLandDet.jsp?pnu=3611010700108290000&amp;isNoScr=script&amp;mode=search", "토지이음")</f>
        <v/>
      </c>
      <c r="T489" s="3" t="inlineStr">
        <is>
          <t>공장365</t>
        </is>
      </c>
      <c r="U489" s="3" t="n">
        <v>1</v>
      </c>
      <c r="V489" s="3" t="inlineStr">
        <is>
          <t>802</t>
        </is>
      </c>
      <c r="W489" s="4" t="n">
        <v>6937</v>
      </c>
      <c r="X489" s="3" t="inlineStr">
        <is>
          <t>철근콘크리트구조</t>
        </is>
      </c>
      <c r="Y489" s="3" t="inlineStr">
        <is>
          <t>제2종근린생활시설</t>
        </is>
      </c>
      <c r="Z489" s="3" t="inlineStr">
        <is>
          <t>-m</t>
        </is>
      </c>
      <c r="AA489" s="3" t="inlineStr">
        <is>
          <t>2021-08-20</t>
        </is>
      </c>
    </row>
    <row r="490">
      <c r="A490" s="3" t="inlineStr">
        <is>
          <t>세종특별자치시 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HYPERLINK("https://map.naver.com/p/search/세종특별자치시 나성동 829", "지도Link")</f>
        <v/>
      </c>
      <c r="S490" s="6">
        <f>HYPERLINK("http://www.eum.go.kr/web/ar/lu/luLandDet.jsp?pnu=3611010700108290000&amp;isNoScr=script&amp;mode=search", "토지이음")</f>
        <v/>
      </c>
      <c r="T490" s="3" t="inlineStr">
        <is>
          <t>LBA리치아노합동사무소</t>
        </is>
      </c>
      <c r="U490" s="3" t="n">
        <v>1</v>
      </c>
      <c r="V490" s="3" t="inlineStr">
        <is>
          <t>701</t>
        </is>
      </c>
      <c r="W490" s="4" t="n">
        <v>182</v>
      </c>
      <c r="X490" s="3" t="inlineStr">
        <is>
          <t>철근콘크리트구조</t>
        </is>
      </c>
      <c r="Y490" s="3" t="inlineStr">
        <is>
          <t>판매시설</t>
        </is>
      </c>
      <c r="Z490" s="3" t="inlineStr">
        <is>
          <t>-m</t>
        </is>
      </c>
      <c r="AA490" s="3" t="inlineStr">
        <is>
          <t>2021-08-20</t>
        </is>
      </c>
    </row>
    <row r="491">
      <c r="A491" s="3" t="inlineStr">
        <is>
          <t>세종특별자치시 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HYPERLINK("https://map.naver.com/p/search/세종특별자치시 나성동 829", "지도Link")</f>
        <v/>
      </c>
      <c r="S491" s="6">
        <f>HYPERLINK("http://www.eum.go.kr/web/ar/lu/luLandDet.jsp?pnu=3611010700108290000&amp;isNoScr=script&amp;mode=search", "토지이음")</f>
        <v/>
      </c>
      <c r="T491" s="3" t="inlineStr">
        <is>
          <t>LBA리치아노합동사무소</t>
        </is>
      </c>
      <c r="U491" s="3" t="n">
        <v>1</v>
      </c>
      <c r="V491" s="3" t="inlineStr">
        <is>
          <t>공동주택 주민공동시설</t>
        </is>
      </c>
      <c r="W491" s="4" t="n">
        <v>198</v>
      </c>
      <c r="X491" s="3" t="inlineStr">
        <is>
          <t>철근콘크리트구조</t>
        </is>
      </c>
      <c r="Y491" s="3" t="inlineStr">
        <is>
          <t>공동주택</t>
        </is>
      </c>
      <c r="Z491" s="3" t="inlineStr">
        <is>
          <t>-m</t>
        </is>
      </c>
      <c r="AA491" s="3" t="inlineStr">
        <is>
          <t>2021-08-20</t>
        </is>
      </c>
    </row>
    <row r="492">
      <c r="A492" s="3" t="inlineStr">
        <is>
          <t>세종특별자치시 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HYPERLINK("https://map.naver.com/p/search/세종특별자치시 나성동 829", "지도Link")</f>
        <v/>
      </c>
      <c r="S492" s="6">
        <f>HYPERLINK("http://www.eum.go.kr/web/ar/lu/luLandDet.jsp?pnu=3611010700108290000&amp;isNoScr=script&amp;mode=search", "토지이음")</f>
        <v/>
      </c>
      <c r="T492" s="3" t="inlineStr">
        <is>
          <t>LBA리치아노합동사무소</t>
        </is>
      </c>
      <c r="U492" s="3" t="n">
        <v>1</v>
      </c>
      <c r="V492" s="3" t="inlineStr">
        <is>
          <t>공동주택 주민공동시설</t>
        </is>
      </c>
      <c r="W492" s="4" t="n">
        <v>197</v>
      </c>
      <c r="X492" s="3" t="inlineStr">
        <is>
          <t>철근콘크리트구조</t>
        </is>
      </c>
      <c r="Y492" s="3" t="inlineStr">
        <is>
          <t>공동주택</t>
        </is>
      </c>
      <c r="Z492" s="3" t="inlineStr">
        <is>
          <t>-m</t>
        </is>
      </c>
      <c r="AA492" s="3" t="inlineStr">
        <is>
          <t>2021-08-20</t>
        </is>
      </c>
    </row>
    <row r="493">
      <c r="A493" s="3" t="inlineStr">
        <is>
          <t>세종특별자치시 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HYPERLINK("https://map.naver.com/p/search/세종특별자치시 나성동 829", "지도Link")</f>
        <v/>
      </c>
      <c r="S493" s="6">
        <f>HYPERLINK("http://www.eum.go.kr/web/ar/lu/luLandDet.jsp?pnu=3611010700108290000&amp;isNoScr=script&amp;mode=search", "토지이음")</f>
        <v/>
      </c>
      <c r="T493" s="3" t="inlineStr">
        <is>
          <t>(주)미르</t>
        </is>
      </c>
      <c r="U493" s="3" t="n">
        <v>1</v>
      </c>
      <c r="V493" s="3" t="inlineStr">
        <is>
          <t>근린생활시설 지하주차장</t>
        </is>
      </c>
      <c r="W493" s="4" t="n">
        <v>2165</v>
      </c>
      <c r="X493" s="3" t="inlineStr">
        <is>
          <t>철근콘크리트구조</t>
        </is>
      </c>
      <c r="Y493" s="3" t="inlineStr">
        <is>
          <t>제2종근린생활시설</t>
        </is>
      </c>
      <c r="Z493" s="3" t="inlineStr">
        <is>
          <t>-m</t>
        </is>
      </c>
      <c r="AA493" s="3" t="inlineStr">
        <is>
          <t>2021-08-20</t>
        </is>
      </c>
    </row>
    <row r="494">
      <c r="A494" s="3" t="inlineStr">
        <is>
          <t>세종특별자치시 나성동 829</t>
        </is>
      </c>
      <c r="B494" s="3" t="inlineStr">
        <is>
          <t>중심상업지역</t>
        </is>
      </c>
      <c r="C494" s="3" t="inlineStr">
        <is>
          <t>대</t>
        </is>
      </c>
      <c r="D494" s="3" t="inlineStr">
        <is>
          <t>공장</t>
        </is>
      </c>
      <c r="E494" s="3" t="inlineStr">
        <is>
          <t>월세</t>
        </is>
      </c>
      <c r="F494" s="4" t="n">
        <v>2000</v>
      </c>
      <c r="G494" s="4" t="n">
        <v>180</v>
      </c>
      <c r="H494" s="4" t="n">
        <v>1000</v>
      </c>
      <c r="I494" s="4" t="n">
        <v>302</v>
      </c>
      <c r="J494" s="5" t="n">
        <v>0.6</v>
      </c>
      <c r="K494" s="4" t="n">
        <v>325</v>
      </c>
      <c r="L494" s="4" t="n">
        <v>98</v>
      </c>
      <c r="M494" s="5" t="n">
        <v>1.8</v>
      </c>
      <c r="N494" s="3" t="inlineStr">
        <is>
          <t>1</t>
        </is>
      </c>
      <c r="O494" s="3" t="inlineStr">
        <is>
          <t>-</t>
        </is>
      </c>
      <c r="P494" s="3" t="inlineStr">
        <is>
          <t>오창,창고,신축</t>
        </is>
      </c>
      <c r="Q494" s="6">
        <f>HYPERLINK("https://fin.land.naver.com/articles/2646721665", "매물Link")</f>
        <v/>
      </c>
      <c r="R494" s="6">
        <f>HYPERLINK("https://map.naver.com/p/search/세종특별자치시 나성동 829", "지도Link")</f>
        <v/>
      </c>
      <c r="S494" s="6">
        <f>HYPERLINK("http://www.eum.go.kr/web/ar/lu/luLandDet.jsp?pnu=3611010700108290000&amp;isNoScr=script&amp;mode=search", "토지이음")</f>
        <v/>
      </c>
      <c r="T494" s="3" t="inlineStr">
        <is>
          <t>LBA리치아노합동사무소</t>
        </is>
      </c>
      <c r="U494" s="3" t="n">
        <v>1</v>
      </c>
      <c r="V494" s="3" t="inlineStr">
        <is>
          <t>801</t>
        </is>
      </c>
      <c r="W494" s="4" t="n">
        <v>325</v>
      </c>
      <c r="X494" s="3" t="inlineStr">
        <is>
          <t>철근콘크리트구조</t>
        </is>
      </c>
      <c r="Y494" s="3" t="inlineStr">
        <is>
          <t>제2종근린생활시설</t>
        </is>
      </c>
      <c r="Z494" s="3" t="inlineStr">
        <is>
          <t>-m</t>
        </is>
      </c>
      <c r="AA494" s="3" t="inlineStr">
        <is>
          <t>2021-08-20</t>
        </is>
      </c>
    </row>
    <row r="495">
      <c r="A495" s="3" t="inlineStr">
        <is>
          <t>세종특별자치시 나성동 829</t>
        </is>
      </c>
      <c r="B495" s="3" t="inlineStr">
        <is>
          <t>중심상업지역</t>
        </is>
      </c>
      <c r="C495" s="3" t="inlineStr">
        <is>
          <t>대</t>
        </is>
      </c>
      <c r="D495" s="3" t="inlineStr">
        <is>
          <t>공장</t>
        </is>
      </c>
      <c r="E495" s="3" t="inlineStr">
        <is>
          <t>월세</t>
        </is>
      </c>
      <c r="F495" s="4" t="n">
        <v>3000</v>
      </c>
      <c r="G495" s="4" t="n">
        <v>330</v>
      </c>
      <c r="H495" s="4" t="n">
        <v>2317</v>
      </c>
      <c r="I495" s="4" t="n">
        <v>701</v>
      </c>
      <c r="J495" s="5" t="n">
        <v>0.5</v>
      </c>
      <c r="K495" s="4" t="n">
        <v>470</v>
      </c>
      <c r="L495" s="4" t="n">
        <v>142</v>
      </c>
      <c r="M495" s="5" t="n">
        <v>2.3</v>
      </c>
      <c r="N495" s="3" t="inlineStr">
        <is>
          <t>1</t>
        </is>
      </c>
      <c r="O495" s="3" t="inlineStr">
        <is>
          <t>-</t>
        </is>
      </c>
      <c r="P495" s="3" t="inlineStr">
        <is>
          <t>오창과학단지인근 호이스트2.8톤2기 전기80키로 마당넓음</t>
        </is>
      </c>
      <c r="Q495" s="6">
        <f>HYPERLINK("https://fin.land.naver.com/articles/2647432690", "매물Link")</f>
        <v/>
      </c>
      <c r="R495" s="6">
        <f>HYPERLINK("https://map.naver.com/p/search/세종특별자치시 나성동 829", "지도Link")</f>
        <v/>
      </c>
      <c r="S495" s="6">
        <f>HYPERLINK("http://www.eum.go.kr/web/ar/lu/luLandDet.jsp?pnu=3611010700108290000&amp;isNoScr=script&amp;mode=search", "토지이음")</f>
        <v/>
      </c>
      <c r="T495" s="3" t="inlineStr">
        <is>
          <t>공장365</t>
        </is>
      </c>
      <c r="U495" s="3" t="n">
        <v>1</v>
      </c>
      <c r="V495" s="3" t="inlineStr">
        <is>
          <t>전망공간 기계실</t>
        </is>
      </c>
      <c r="W495" s="4" t="n">
        <v>470</v>
      </c>
      <c r="X495" s="3" t="inlineStr">
        <is>
          <t>철근콘크리트구조</t>
        </is>
      </c>
      <c r="Y495" s="3" t="inlineStr">
        <is>
          <t>제2종근린생활시설</t>
        </is>
      </c>
      <c r="Z495" s="3" t="inlineStr">
        <is>
          <t>-m</t>
        </is>
      </c>
      <c r="AA495" s="3" t="inlineStr">
        <is>
          <t>2021-08-20</t>
        </is>
      </c>
    </row>
    <row r="496">
      <c r="A496" s="3" t="inlineStr">
        <is>
          <t>세종특별자치시 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HYPERLINK("https://map.naver.com/p/search/세종특별자치시 나성동 829", "지도Link")</f>
        <v/>
      </c>
      <c r="S496" s="6">
        <f>HYPERLINK("http://www.eum.go.kr/web/ar/lu/luLandDet.jsp?pnu=3611010700108290000&amp;isNoScr=script&amp;mode=search", "토지이음")</f>
        <v/>
      </c>
      <c r="T496" s="3" t="inlineStr">
        <is>
          <t>옥산리버자이</t>
        </is>
      </c>
      <c r="U496" s="3" t="n">
        <v>1</v>
      </c>
      <c r="V496" s="3" t="inlineStr">
        <is>
          <t>전망공간 기계실</t>
        </is>
      </c>
      <c r="W496" s="4" t="n">
        <v>432</v>
      </c>
      <c r="X496" s="3" t="inlineStr">
        <is>
          <t>철근콘크리트구조</t>
        </is>
      </c>
      <c r="Y496" s="3" t="inlineStr">
        <is>
          <t>제2종근린생활시설</t>
        </is>
      </c>
      <c r="Z496" s="3" t="inlineStr">
        <is>
          <t>-m</t>
        </is>
      </c>
      <c r="AA496" s="3" t="inlineStr">
        <is>
          <t>2021-08-20</t>
        </is>
      </c>
    </row>
    <row r="497">
      <c r="A497" s="3" t="inlineStr">
        <is>
          <t>세종특별자치시 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HYPERLINK("https://map.naver.com/p/search/세종특별자치시 나성동 829", "지도Link")</f>
        <v/>
      </c>
      <c r="S497" s="6">
        <f>HYPERLINK("http://www.eum.go.kr/web/ar/lu/luLandDet.jsp?pnu=3611010700108290000&amp;isNoScr=script&amp;mode=search", "토지이음")</f>
        <v/>
      </c>
      <c r="T497" s="3" t="inlineStr">
        <is>
          <t>LBA리치아노합동사무소</t>
        </is>
      </c>
      <c r="U497" s="3" t="n">
        <v>1</v>
      </c>
      <c r="V497" s="3" t="inlineStr">
        <is>
          <t>605</t>
        </is>
      </c>
      <c r="W497" s="4" t="n">
        <v>1425</v>
      </c>
      <c r="X497" s="3" t="inlineStr">
        <is>
          <t>철근콘크리트구조</t>
        </is>
      </c>
      <c r="Y497" s="3" t="inlineStr">
        <is>
          <t>공동주택</t>
        </is>
      </c>
      <c r="Z497" s="3" t="inlineStr">
        <is>
          <t>45.30m</t>
        </is>
      </c>
      <c r="AA497" s="3" t="inlineStr">
        <is>
          <t>2021-08-20</t>
        </is>
      </c>
    </row>
    <row r="498">
      <c r="A498" s="3" t="inlineStr">
        <is>
          <t>세종특별자치시 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HYPERLINK("https://map.naver.com/p/search/세종특별자치시 나성동 829", "지도Link")</f>
        <v/>
      </c>
      <c r="S498" s="6">
        <f>HYPERLINK("http://www.eum.go.kr/web/ar/lu/luLandDet.jsp?pnu=3611010700108290000&amp;isNoScr=script&amp;mode=search", "토지이음")</f>
        <v/>
      </c>
      <c r="T498" s="3" t="inlineStr">
        <is>
          <t>LBA리치아노합동사무소</t>
        </is>
      </c>
      <c r="U498" s="3" t="n">
        <v>1</v>
      </c>
      <c r="V498" s="3" t="inlineStr">
        <is>
          <t>802</t>
        </is>
      </c>
      <c r="W498" s="4" t="n">
        <v>3250</v>
      </c>
      <c r="X498" s="3" t="inlineStr">
        <is>
          <t>철근콘크리트구조</t>
        </is>
      </c>
      <c r="Y498" s="3" t="inlineStr">
        <is>
          <t>제2종근린생활시설</t>
        </is>
      </c>
      <c r="Z498" s="3" t="inlineStr">
        <is>
          <t>-m</t>
        </is>
      </c>
      <c r="AA498" s="3" t="inlineStr">
        <is>
          <t>2021-08-20</t>
        </is>
      </c>
    </row>
    <row r="499">
      <c r="A499" s="3" t="inlineStr">
        <is>
          <t>세종특별자치시 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HYPERLINK("https://map.naver.com/p/search/세종특별자치시 나성동 829", "지도Link")</f>
        <v/>
      </c>
      <c r="S499" s="6">
        <f>HYPERLINK("http://www.eum.go.kr/web/ar/lu/luLandDet.jsp?pnu=3611010700108290000&amp;isNoScr=script&amp;mode=search", "토지이음")</f>
        <v/>
      </c>
      <c r="T499" s="3" t="inlineStr">
        <is>
          <t>LBA리치아노합동사무소</t>
        </is>
      </c>
      <c r="U499" s="3" t="n">
        <v>1</v>
      </c>
      <c r="V499" s="3" t="inlineStr">
        <is>
          <t>전망공간 기계실</t>
        </is>
      </c>
      <c r="W499" s="4" t="n">
        <v>490</v>
      </c>
      <c r="X499" s="3" t="inlineStr">
        <is>
          <t>철근콘크리트구조</t>
        </is>
      </c>
      <c r="Y499" s="3" t="inlineStr">
        <is>
          <t>제2종근린생활시설</t>
        </is>
      </c>
      <c r="Z499" s="3" t="inlineStr">
        <is>
          <t>-m</t>
        </is>
      </c>
      <c r="AA499" s="3" t="inlineStr">
        <is>
          <t>2021-08-20</t>
        </is>
      </c>
    </row>
    <row r="500">
      <c r="A500" s="3" t="inlineStr">
        <is>
          <t>세종특별자치시 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HYPERLINK("https://map.naver.com/p/search/세종특별자치시 나성동 829", "지도Link")</f>
        <v/>
      </c>
      <c r="S500" s="6">
        <f>HYPERLINK("http://www.eum.go.kr/web/ar/lu/luLandDet.jsp?pnu=3611010700108290000&amp;isNoScr=script&amp;mode=search", "토지이음")</f>
        <v/>
      </c>
      <c r="T500" s="3" t="inlineStr">
        <is>
          <t>LBA리치아노합동사무소</t>
        </is>
      </c>
      <c r="U500" s="3" t="n">
        <v>1</v>
      </c>
      <c r="V500" s="3" t="inlineStr">
        <is>
          <t>판매시설 지하주차장</t>
        </is>
      </c>
      <c r="W500" s="4" t="n">
        <v>112</v>
      </c>
      <c r="X500" s="3" t="inlineStr">
        <is>
          <t>철근콘크리트구조</t>
        </is>
      </c>
      <c r="Y500" s="3" t="inlineStr">
        <is>
          <t>판매시설</t>
        </is>
      </c>
      <c r="Z500" s="3" t="inlineStr">
        <is>
          <t>-m</t>
        </is>
      </c>
      <c r="AA500" s="3" t="inlineStr">
        <is>
          <t>2021-08-20</t>
        </is>
      </c>
    </row>
    <row r="501">
      <c r="A501" s="3" t="inlineStr">
        <is>
          <t>세종특별자치시 나성동 829</t>
        </is>
      </c>
      <c r="B501" s="3" t="inlineStr">
        <is>
          <t>중심상업지역</t>
        </is>
      </c>
      <c r="C501" s="3" t="inlineStr">
        <is>
          <t>대</t>
        </is>
      </c>
      <c r="D501" s="3" t="inlineStr">
        <is>
          <t>공장</t>
        </is>
      </c>
      <c r="E501" s="3" t="inlineStr">
        <is>
          <t>월세</t>
        </is>
      </c>
      <c r="F501" s="4" t="n">
        <v>2000</v>
      </c>
      <c r="G501" s="4" t="n">
        <v>260</v>
      </c>
      <c r="H501" s="4" t="n">
        <v>2665</v>
      </c>
      <c r="I501" s="4" t="n">
        <v>806</v>
      </c>
      <c r="J501" s="5" t="n">
        <v>0.3</v>
      </c>
      <c r="K501" s="4" t="n">
        <v>493</v>
      </c>
      <c r="L501" s="4" t="n">
        <v>149</v>
      </c>
      <c r="M501" s="5" t="n">
        <v>1.7</v>
      </c>
      <c r="N501" s="3" t="inlineStr">
        <is>
          <t>1</t>
        </is>
      </c>
      <c r="O501" s="3" t="inlineStr">
        <is>
          <t>-</t>
        </is>
      </c>
      <c r="P501" s="3" t="inlineStr">
        <is>
          <t>오창,공장,임대</t>
        </is>
      </c>
      <c r="Q501" s="6">
        <f>HYPERLINK("https://fin.land.naver.com/articles/2646707584", "매물Link")</f>
        <v/>
      </c>
      <c r="R501" s="6">
        <f>HYPERLINK("https://map.naver.com/p/search/세종특별자치시 나성동 829", "지도Link")</f>
        <v/>
      </c>
      <c r="S501" s="6">
        <f>HYPERLINK("http://www.eum.go.kr/web/ar/lu/luLandDet.jsp?pnu=3611010700108290000&amp;isNoScr=script&amp;mode=search", "토지이음")</f>
        <v/>
      </c>
      <c r="T501" s="3" t="inlineStr">
        <is>
          <t>LBA리치아노합동사무소</t>
        </is>
      </c>
      <c r="U501" s="3" t="n">
        <v>1</v>
      </c>
      <c r="V501" s="3" t="inlineStr">
        <is>
          <t>전망공간 기계실</t>
        </is>
      </c>
      <c r="W501" s="4" t="n">
        <v>493</v>
      </c>
      <c r="X501" s="3" t="inlineStr">
        <is>
          <t>철근콘크리트구조</t>
        </is>
      </c>
      <c r="Y501" s="3" t="inlineStr">
        <is>
          <t>제2종근린생활시설</t>
        </is>
      </c>
      <c r="Z501" s="3" t="inlineStr">
        <is>
          <t>-m</t>
        </is>
      </c>
      <c r="AA501" s="3" t="inlineStr">
        <is>
          <t>2021-08-20</t>
        </is>
      </c>
    </row>
    <row r="502">
      <c r="A502" s="3" t="inlineStr">
        <is>
          <t>세종특별자치시 나성동 829</t>
        </is>
      </c>
      <c r="B502" s="3" t="inlineStr">
        <is>
          <t>중심상업지역</t>
        </is>
      </c>
      <c r="C502" s="3" t="inlineStr">
        <is>
          <t>대</t>
        </is>
      </c>
      <c r="D502" s="3" t="inlineStr">
        <is>
          <t>창고</t>
        </is>
      </c>
      <c r="E502" s="3" t="inlineStr">
        <is>
          <t>월세</t>
        </is>
      </c>
      <c r="F502" s="4" t="n">
        <v>1000</v>
      </c>
      <c r="G502" s="4" t="n">
        <v>150</v>
      </c>
      <c r="H502" s="4" t="n">
        <v>990</v>
      </c>
      <c r="I502" s="4" t="n">
        <v>299</v>
      </c>
      <c r="J502" s="5" t="n">
        <v>0.5</v>
      </c>
      <c r="K502" s="4" t="n">
        <v>197</v>
      </c>
      <c r="L502" s="4" t="n">
        <v>60</v>
      </c>
      <c r="M502" s="5" t="n">
        <v>2.5</v>
      </c>
      <c r="N502" s="3" t="inlineStr">
        <is>
          <t>1</t>
        </is>
      </c>
      <c r="O502" s="3" t="inlineStr">
        <is>
          <t>-</t>
        </is>
      </c>
      <c r="P502" s="3" t="inlineStr">
        <is>
          <t>오창,창고,광고효과좋음</t>
        </is>
      </c>
      <c r="Q502" s="6">
        <f>HYPERLINK("https://fin.land.naver.com/articles/2646703633", "매물Link")</f>
        <v/>
      </c>
      <c r="R502" s="6">
        <f>HYPERLINK("https://map.naver.com/p/search/세종특별자치시 나성동 829", "지도Link")</f>
        <v/>
      </c>
      <c r="S502" s="6">
        <f>HYPERLINK("http://www.eum.go.kr/web/ar/lu/luLandDet.jsp?pnu=3611010700108290000&amp;isNoScr=script&amp;mode=search", "토지이음")</f>
        <v/>
      </c>
      <c r="T502" s="3" t="inlineStr">
        <is>
          <t>LBA리치아노합동사무소</t>
        </is>
      </c>
      <c r="U502" s="3" t="n">
        <v>1</v>
      </c>
      <c r="V502" s="3" t="inlineStr">
        <is>
          <t>공동주택 주민공동시설</t>
        </is>
      </c>
      <c r="W502" s="4" t="n">
        <v>197</v>
      </c>
      <c r="X502" s="3" t="inlineStr">
        <is>
          <t>철근콘크리트구조</t>
        </is>
      </c>
      <c r="Y502" s="3" t="inlineStr">
        <is>
          <t>공동주택</t>
        </is>
      </c>
      <c r="Z502" s="3" t="inlineStr">
        <is>
          <t>-m</t>
        </is>
      </c>
      <c r="AA502" s="3" t="inlineStr">
        <is>
          <t>2021-08-20</t>
        </is>
      </c>
    </row>
    <row r="503">
      <c r="A503" s="3" t="inlineStr">
        <is>
          <t>세종특별자치시 나성동 829</t>
        </is>
      </c>
      <c r="B503" s="3" t="inlineStr">
        <is>
          <t>중심상업지역</t>
        </is>
      </c>
      <c r="C503" s="3" t="inlineStr">
        <is>
          <t>대</t>
        </is>
      </c>
      <c r="D503" s="3" t="inlineStr">
        <is>
          <t>창고</t>
        </is>
      </c>
      <c r="E503" s="3" t="inlineStr">
        <is>
          <t>월세</t>
        </is>
      </c>
      <c r="F503" s="4" t="n">
        <v>2000</v>
      </c>
      <c r="G503" s="4" t="n">
        <v>170</v>
      </c>
      <c r="H503" s="4" t="n">
        <v>927</v>
      </c>
      <c r="I503" s="4" t="n">
        <v>280</v>
      </c>
      <c r="J503" s="5" t="n">
        <v>0.6</v>
      </c>
      <c r="K503" s="4" t="n">
        <v>129</v>
      </c>
      <c r="L503" s="4" t="n">
        <v>39</v>
      </c>
      <c r="M503" s="5" t="n">
        <v>4.4</v>
      </c>
      <c r="N503" s="3" t="inlineStr">
        <is>
          <t>1</t>
        </is>
      </c>
      <c r="O503" s="3" t="inlineStr">
        <is>
          <t>-</t>
        </is>
      </c>
      <c r="P503" s="3" t="inlineStr">
        <is>
          <t>오창,창고,광고효과좋음</t>
        </is>
      </c>
      <c r="Q503" s="6">
        <f>HYPERLINK("https://fin.land.naver.com/articles/2646701342", "매물Link")</f>
        <v/>
      </c>
      <c r="R503" s="6">
        <f>HYPERLINK("https://map.naver.com/p/search/세종특별자치시 나성동 829", "지도Link")</f>
        <v/>
      </c>
      <c r="S503" s="6">
        <f>HYPERLINK("http://www.eum.go.kr/web/ar/lu/luLandDet.jsp?pnu=3611010700108290000&amp;isNoScr=script&amp;mode=search", "토지이음")</f>
        <v/>
      </c>
      <c r="T503" s="3" t="inlineStr">
        <is>
          <t>LBA리치아노합동사무소</t>
        </is>
      </c>
      <c r="U503" s="3" t="n">
        <v>1</v>
      </c>
      <c r="V503" s="3" t="inlineStr">
        <is>
          <t>판매시설 지하주차장</t>
        </is>
      </c>
      <c r="W503" s="4" t="n">
        <v>129</v>
      </c>
      <c r="X503" s="3" t="inlineStr">
        <is>
          <t>철근콘크리트구조</t>
        </is>
      </c>
      <c r="Y503" s="3" t="inlineStr">
        <is>
          <t>판매시설</t>
        </is>
      </c>
      <c r="Z503" s="3" t="inlineStr">
        <is>
          <t>-m</t>
        </is>
      </c>
      <c r="AA503" s="3" t="inlineStr">
        <is>
          <t>2021-08-20</t>
        </is>
      </c>
    </row>
    <row r="504">
      <c r="A504" s="3" t="inlineStr">
        <is>
          <t>세종특별자치시 나성동 829</t>
        </is>
      </c>
      <c r="B504" s="3" t="inlineStr">
        <is>
          <t>중심상업지역</t>
        </is>
      </c>
      <c r="C504" s="3" t="inlineStr">
        <is>
          <t>대</t>
        </is>
      </c>
      <c r="D504" s="3" t="inlineStr">
        <is>
          <t>공장</t>
        </is>
      </c>
      <c r="E504" s="3" t="inlineStr">
        <is>
          <t>월세</t>
        </is>
      </c>
      <c r="F504" s="4" t="n">
        <v>4000</v>
      </c>
      <c r="G504" s="4" t="n">
        <v>400</v>
      </c>
      <c r="H504" s="4" t="n">
        <v>4677</v>
      </c>
      <c r="I504" s="4" t="n">
        <v>1415</v>
      </c>
      <c r="J504" s="5" t="n">
        <v>0.3</v>
      </c>
      <c r="K504" s="4" t="n">
        <v>671</v>
      </c>
      <c r="L504" s="4" t="n">
        <v>203</v>
      </c>
      <c r="M504" s="5" t="n">
        <v>2</v>
      </c>
      <c r="N504" s="3" t="inlineStr">
        <is>
          <t>1</t>
        </is>
      </c>
      <c r="O504" s="3" t="inlineStr">
        <is>
          <t>-</t>
        </is>
      </c>
      <c r="P504" s="3" t="inlineStr">
        <is>
          <t>오창,공장및창고,호이스트,전력100kw</t>
        </is>
      </c>
      <c r="Q504" s="6">
        <f>HYPERLINK("https://fin.land.naver.com/articles/2646110540", "매물Link")</f>
        <v/>
      </c>
      <c r="R504" s="6">
        <f>HYPERLINK("https://map.naver.com/p/search/세종특별자치시 나성동 829", "지도Link")</f>
        <v/>
      </c>
      <c r="S504" s="6">
        <f>HYPERLINK("http://www.eum.go.kr/web/ar/lu/luLandDet.jsp?pnu=3611010700108290000&amp;isNoScr=script&amp;mode=search", "토지이음")</f>
        <v/>
      </c>
      <c r="T504" s="3" t="inlineStr">
        <is>
          <t>LBA리치아노합동사무소</t>
        </is>
      </c>
      <c r="U504" s="3" t="n">
        <v>1</v>
      </c>
      <c r="V504" s="3" t="inlineStr">
        <is>
          <t>803</t>
        </is>
      </c>
      <c r="W504" s="4" t="n">
        <v>671</v>
      </c>
      <c r="X504" s="3" t="inlineStr">
        <is>
          <t>철근콘크리트구조</t>
        </is>
      </c>
      <c r="Y504" s="3" t="inlineStr">
        <is>
          <t>제2종근린생활시설</t>
        </is>
      </c>
      <c r="Z504" s="3" t="inlineStr">
        <is>
          <t>-m</t>
        </is>
      </c>
      <c r="AA504" s="3" t="inlineStr">
        <is>
          <t>2021-08-20</t>
        </is>
      </c>
    </row>
    <row r="505">
      <c r="A505" s="3" t="inlineStr">
        <is>
          <t>세종특별자치시 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HYPERLINK("https://map.naver.com/p/search/세종특별자치시 나성동 829", "지도Link")</f>
        <v/>
      </c>
      <c r="S505" s="6">
        <f>HYPERLINK("http://www.eum.go.kr/web/ar/lu/luLandDet.jsp?pnu=3611010700108290000&amp;isNoScr=script&amp;mode=search", "토지이음")</f>
        <v/>
      </c>
      <c r="T505" s="3" t="inlineStr">
        <is>
          <t>LBA리치아노합동사무소</t>
        </is>
      </c>
      <c r="U505" s="3" t="n">
        <v>1</v>
      </c>
      <c r="V505" s="3" t="inlineStr">
        <is>
          <t>공동주택 휘트니스</t>
        </is>
      </c>
      <c r="W505" s="4" t="n">
        <v>822</v>
      </c>
      <c r="X505" s="3" t="inlineStr">
        <is>
          <t>철근콘크리트구조</t>
        </is>
      </c>
      <c r="Y505" s="3" t="inlineStr">
        <is>
          <t>공동주택</t>
        </is>
      </c>
      <c r="Z505" s="3" t="inlineStr">
        <is>
          <t>-m</t>
        </is>
      </c>
      <c r="AA505" s="3" t="inlineStr">
        <is>
          <t>2021-08-20</t>
        </is>
      </c>
    </row>
    <row r="506">
      <c r="A506" s="3" t="inlineStr">
        <is>
          <t>세종특별자치시 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HYPERLINK("https://map.naver.com/p/search/세종특별자치시 나성동 829", "지도Link")</f>
        <v/>
      </c>
      <c r="S506" s="6">
        <f>HYPERLINK("http://www.eum.go.kr/web/ar/lu/luLandDet.jsp?pnu=3611010700108290000&amp;isNoScr=script&amp;mode=search", "토지이음")</f>
        <v/>
      </c>
      <c r="T506" s="3" t="inlineStr">
        <is>
          <t>공장365</t>
        </is>
      </c>
      <c r="U506" s="3" t="n">
        <v>1</v>
      </c>
      <c r="V506" s="3" t="inlineStr">
        <is>
          <t>901(전망공간)</t>
        </is>
      </c>
      <c r="W506" s="4" t="n">
        <v>1818</v>
      </c>
      <c r="X506" s="3" t="inlineStr">
        <is>
          <t>철근콘크리트구조</t>
        </is>
      </c>
      <c r="Y506" s="3" t="inlineStr">
        <is>
          <t>제2종근린생활시설</t>
        </is>
      </c>
      <c r="Z506" s="3" t="inlineStr">
        <is>
          <t>-m</t>
        </is>
      </c>
      <c r="AA506" s="3" t="inlineStr">
        <is>
          <t>2021-08-20</t>
        </is>
      </c>
    </row>
    <row r="507">
      <c r="A507" s="3" t="inlineStr">
        <is>
          <t>세종특별자치시 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HYPERLINK("https://map.naver.com/p/search/세종특별자치시 나성동 829", "지도Link")</f>
        <v/>
      </c>
      <c r="S507" s="6">
        <f>HYPERLINK("http://www.eum.go.kr/web/ar/lu/luLandDet.jsp?pnu=3611010700108290000&amp;isNoScr=script&amp;mode=search", "토지이음")</f>
        <v/>
      </c>
      <c r="T507" s="3" t="inlineStr">
        <is>
          <t>더원</t>
        </is>
      </c>
      <c r="U507" s="3" t="n">
        <v>1</v>
      </c>
      <c r="V507" s="3" t="inlineStr">
        <is>
          <t>공동주택 지하주차장</t>
        </is>
      </c>
      <c r="W507" s="4" t="n">
        <v>87605</v>
      </c>
      <c r="X507" s="3" t="inlineStr">
        <is>
          <t>철근콘크리트구조</t>
        </is>
      </c>
      <c r="Y507" s="3" t="inlineStr">
        <is>
          <t>공동주택</t>
        </is>
      </c>
      <c r="Z507" s="3" t="inlineStr">
        <is>
          <t>-m</t>
        </is>
      </c>
      <c r="AA507" s="3" t="inlineStr">
        <is>
          <t>2021-08-20</t>
        </is>
      </c>
    </row>
    <row r="508">
      <c r="A508" s="3" t="inlineStr">
        <is>
          <t>세종특별자치시 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HYPERLINK("https://map.naver.com/p/search/세종특별자치시 나성동 829", "지도Link")</f>
        <v/>
      </c>
      <c r="S508" s="6">
        <f>HYPERLINK("http://www.eum.go.kr/web/ar/lu/luLandDet.jsp?pnu=3611010700108290000&amp;isNoScr=script&amp;mode=search", "토지이음")</f>
        <v/>
      </c>
      <c r="T508" s="3" t="inlineStr">
        <is>
          <t>더원</t>
        </is>
      </c>
      <c r="U508" s="3" t="n">
        <v>1</v>
      </c>
      <c r="V508" s="3" t="inlineStr">
        <is>
          <t>전망공간 지하주차장</t>
        </is>
      </c>
      <c r="W508" s="4" t="n">
        <v>970</v>
      </c>
      <c r="X508" s="3" t="inlineStr">
        <is>
          <t>철근콘크리트구조</t>
        </is>
      </c>
      <c r="Y508" s="3" t="inlineStr">
        <is>
          <t>제2종근린생활시설</t>
        </is>
      </c>
      <c r="Z508" s="3" t="inlineStr">
        <is>
          <t>4.50m</t>
        </is>
      </c>
      <c r="AA508" s="3" t="inlineStr">
        <is>
          <t>2021-08-20</t>
        </is>
      </c>
    </row>
    <row r="509">
      <c r="A509" s="3" t="inlineStr">
        <is>
          <t>세종특별자치시 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HYPERLINK("https://map.naver.com/p/search/세종특별자치시 나성동 829", "지도Link")</f>
        <v/>
      </c>
      <c r="S509" s="6">
        <f>HYPERLINK("http://www.eum.go.kr/web/ar/lu/luLandDet.jsp?pnu=3611010700108290000&amp;isNoScr=script&amp;mode=search", "토지이음")</f>
        <v/>
      </c>
      <c r="T509" s="3" t="inlineStr">
        <is>
          <t>더원</t>
        </is>
      </c>
      <c r="U509" s="3" t="n">
        <v>1</v>
      </c>
      <c r="V509" s="3" t="inlineStr">
        <is>
          <t>전망공간 기계실</t>
        </is>
      </c>
      <c r="W509" s="4" t="n">
        <v>485</v>
      </c>
      <c r="X509" s="3" t="inlineStr">
        <is>
          <t>철근콘크리트구조</t>
        </is>
      </c>
      <c r="Y509" s="3" t="inlineStr">
        <is>
          <t>제2종근린생활시설</t>
        </is>
      </c>
      <c r="Z509" s="3" t="inlineStr">
        <is>
          <t>-m</t>
        </is>
      </c>
      <c r="AA509" s="3" t="inlineStr">
        <is>
          <t>2021-08-20</t>
        </is>
      </c>
    </row>
    <row r="510">
      <c r="A510" s="3" t="inlineStr">
        <is>
          <t>세종특별자치시 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HYPERLINK("https://map.naver.com/p/search/세종특별자치시 나성동 829", "지도Link")</f>
        <v/>
      </c>
      <c r="S510" s="6">
        <f>HYPERLINK("http://www.eum.go.kr/web/ar/lu/luLandDet.jsp?pnu=3611010700108290000&amp;isNoScr=script&amp;mode=search", "토지이음")</f>
        <v/>
      </c>
      <c r="T510" s="3" t="inlineStr">
        <is>
          <t>더원</t>
        </is>
      </c>
      <c r="U510" s="3" t="n">
        <v>1</v>
      </c>
      <c r="V510" s="3" t="inlineStr">
        <is>
          <t>전망공간 기계실</t>
        </is>
      </c>
      <c r="W510" s="4" t="n">
        <v>485</v>
      </c>
      <c r="X510" s="3" t="inlineStr">
        <is>
          <t>철근콘크리트구조</t>
        </is>
      </c>
      <c r="Y510" s="3" t="inlineStr">
        <is>
          <t>제2종근린생활시설</t>
        </is>
      </c>
      <c r="Z510" s="3" t="inlineStr">
        <is>
          <t>-m</t>
        </is>
      </c>
      <c r="AA510" s="3" t="inlineStr">
        <is>
          <t>2021-08-20</t>
        </is>
      </c>
    </row>
    <row r="511">
      <c r="A511" s="3" t="inlineStr">
        <is>
          <t>세종특별자치시 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HYPERLINK("https://map.naver.com/p/search/세종특별자치시 나성동 829", "지도Link")</f>
        <v/>
      </c>
      <c r="S511" s="6">
        <f>HYPERLINK("http://www.eum.go.kr/web/ar/lu/luLandDet.jsp?pnu=3611010700108290000&amp;isNoScr=script&amp;mode=search", "토지이음")</f>
        <v/>
      </c>
      <c r="T511" s="3" t="inlineStr">
        <is>
          <t>더원</t>
        </is>
      </c>
      <c r="U511" s="3" t="n">
        <v>1</v>
      </c>
      <c r="V511" s="3" t="inlineStr">
        <is>
          <t>전망공간 지하주차장</t>
        </is>
      </c>
      <c r="W511" s="4" t="n">
        <v>901</v>
      </c>
      <c r="X511" s="3" t="inlineStr">
        <is>
          <t>철근콘크리트구조</t>
        </is>
      </c>
      <c r="Y511" s="3" t="inlineStr">
        <is>
          <t>제2종근린생활시설</t>
        </is>
      </c>
      <c r="Z511" s="3" t="inlineStr">
        <is>
          <t>4.50m</t>
        </is>
      </c>
      <c r="AA511" s="3" t="inlineStr">
        <is>
          <t>2021-08-20</t>
        </is>
      </c>
    </row>
    <row r="512">
      <c r="A512" s="3" t="inlineStr">
        <is>
          <t>세종특별자치시 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HYPERLINK("https://map.naver.com/p/search/세종특별자치시 나성동 829", "지도Link")</f>
        <v/>
      </c>
      <c r="S512" s="6">
        <f>HYPERLINK("http://www.eum.go.kr/web/ar/lu/luLandDet.jsp?pnu=3611010700108290000&amp;isNoScr=script&amp;mode=search", "토지이음")</f>
        <v/>
      </c>
      <c r="T512" s="3" t="inlineStr">
        <is>
          <t>더원</t>
        </is>
      </c>
      <c r="U512" s="3" t="n">
        <v>1</v>
      </c>
      <c r="V512" s="3" t="inlineStr">
        <is>
          <t>전망공간 기계실</t>
        </is>
      </c>
      <c r="W512" s="4" t="n">
        <v>485</v>
      </c>
      <c r="X512" s="3" t="inlineStr">
        <is>
          <t>철근콘크리트구조</t>
        </is>
      </c>
      <c r="Y512" s="3" t="inlineStr">
        <is>
          <t>제2종근린생활시설</t>
        </is>
      </c>
      <c r="Z512" s="3" t="inlineStr">
        <is>
          <t>-m</t>
        </is>
      </c>
      <c r="AA512" s="3" t="inlineStr">
        <is>
          <t>2021-08-20</t>
        </is>
      </c>
    </row>
    <row r="513">
      <c r="A513" s="3" t="inlineStr">
        <is>
          <t>세종특별자치시 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HYPERLINK("https://map.naver.com/p/search/세종특별자치시 나성동 829", "지도Link")</f>
        <v/>
      </c>
      <c r="S513" s="6">
        <f>HYPERLINK("http://www.eum.go.kr/web/ar/lu/luLandDet.jsp?pnu=3611010700108290000&amp;isNoScr=script&amp;mode=search", "토지이음")</f>
        <v/>
      </c>
      <c r="T513" s="3" t="inlineStr">
        <is>
          <t>더원</t>
        </is>
      </c>
      <c r="U513" s="3" t="n">
        <v>1</v>
      </c>
      <c r="V513" s="3" t="inlineStr">
        <is>
          <t>전망공간 지하주차장</t>
        </is>
      </c>
      <c r="W513" s="4" t="n">
        <v>970</v>
      </c>
      <c r="X513" s="3" t="inlineStr">
        <is>
          <t>철근콘크리트구조</t>
        </is>
      </c>
      <c r="Y513" s="3" t="inlineStr">
        <is>
          <t>제2종근린생활시설</t>
        </is>
      </c>
      <c r="Z513" s="3" t="inlineStr">
        <is>
          <t>4.50m</t>
        </is>
      </c>
      <c r="AA513" s="3" t="inlineStr">
        <is>
          <t>2021-08-20</t>
        </is>
      </c>
    </row>
    <row r="514">
      <c r="A514" s="3" t="inlineStr">
        <is>
          <t>세종특별자치시 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HYPERLINK("https://map.naver.com/p/search/세종특별자치시 나성동 829", "지도Link")</f>
        <v/>
      </c>
      <c r="S514" s="6">
        <f>HYPERLINK("http://www.eum.go.kr/web/ar/lu/luLandDet.jsp?pnu=3611010700108290000&amp;isNoScr=script&amp;mode=search", "토지이음")</f>
        <v/>
      </c>
      <c r="T514" s="3" t="inlineStr">
        <is>
          <t>더원</t>
        </is>
      </c>
      <c r="U514" s="3" t="n">
        <v>1</v>
      </c>
      <c r="V514" s="3" t="inlineStr">
        <is>
          <t>604</t>
        </is>
      </c>
      <c r="W514" s="4" t="n">
        <v>984</v>
      </c>
      <c r="X514" s="3" t="inlineStr">
        <is>
          <t>철근콘크리트구조</t>
        </is>
      </c>
      <c r="Y514" s="3" t="inlineStr">
        <is>
          <t>공동주택</t>
        </is>
      </c>
      <c r="Z514" s="3" t="inlineStr">
        <is>
          <t>38.30m</t>
        </is>
      </c>
      <c r="AA514" s="3" t="inlineStr">
        <is>
          <t>2021-08-20</t>
        </is>
      </c>
    </row>
    <row r="515">
      <c r="A515" s="3" t="inlineStr">
        <is>
          <t>세종특별자치시 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HYPERLINK("https://map.naver.com/p/search/세종특별자치시 나성동 829", "지도Link")</f>
        <v/>
      </c>
      <c r="S515" s="6">
        <f>HYPERLINK("http://www.eum.go.kr/web/ar/lu/luLandDet.jsp?pnu=3611010700108290000&amp;isNoScr=script&amp;mode=search", "토지이음")</f>
        <v/>
      </c>
      <c r="T515" s="3" t="inlineStr">
        <is>
          <t>더원</t>
        </is>
      </c>
      <c r="U515" s="3" t="n">
        <v>1</v>
      </c>
      <c r="V515" s="3" t="inlineStr">
        <is>
          <t>전망공간 기계실</t>
        </is>
      </c>
      <c r="W515" s="4" t="n">
        <v>485</v>
      </c>
      <c r="X515" s="3" t="inlineStr">
        <is>
          <t>철근콘크리트구조</t>
        </is>
      </c>
      <c r="Y515" s="3" t="inlineStr">
        <is>
          <t>제2종근린생활시설</t>
        </is>
      </c>
      <c r="Z515" s="3" t="inlineStr">
        <is>
          <t>-m</t>
        </is>
      </c>
      <c r="AA515" s="3" t="inlineStr">
        <is>
          <t>2021-08-20</t>
        </is>
      </c>
    </row>
    <row r="516">
      <c r="A516" s="3" t="inlineStr">
        <is>
          <t>세종특별자치시 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HYPERLINK("https://map.naver.com/p/search/세종특별자치시 나성동 829", "지도Link")</f>
        <v/>
      </c>
      <c r="S516" s="6">
        <f>HYPERLINK("http://www.eum.go.kr/web/ar/lu/luLandDet.jsp?pnu=3611010700108290000&amp;isNoScr=script&amp;mode=search", "토지이음")</f>
        <v/>
      </c>
      <c r="T516" s="3" t="inlineStr">
        <is>
          <t>더원</t>
        </is>
      </c>
      <c r="U516" s="3" t="n">
        <v>1</v>
      </c>
      <c r="V516" s="3" t="inlineStr">
        <is>
          <t>근린생활시설 지하주차장</t>
        </is>
      </c>
      <c r="W516" s="4" t="n">
        <v>2132</v>
      </c>
      <c r="X516" s="3" t="inlineStr">
        <is>
          <t>철근콘크리트구조</t>
        </is>
      </c>
      <c r="Y516" s="3" t="inlineStr">
        <is>
          <t>제2종근린생활시설</t>
        </is>
      </c>
      <c r="Z516" s="3" t="inlineStr">
        <is>
          <t>-m</t>
        </is>
      </c>
      <c r="AA516" s="3" t="inlineStr">
        <is>
          <t>2021-08-20</t>
        </is>
      </c>
    </row>
    <row r="517">
      <c r="A517" s="3" t="inlineStr">
        <is>
          <t>세종특별자치시 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HYPERLINK("https://map.naver.com/p/search/세종특별자치시 나성동 829", "지도Link")</f>
        <v/>
      </c>
      <c r="S517" s="6">
        <f>HYPERLINK("http://www.eum.go.kr/web/ar/lu/luLandDet.jsp?pnu=3611010700108290000&amp;isNoScr=script&amp;mode=search", "토지이음")</f>
        <v/>
      </c>
      <c r="T517" s="3" t="inlineStr">
        <is>
          <t>더원</t>
        </is>
      </c>
      <c r="U517" s="3" t="n">
        <v>1</v>
      </c>
      <c r="V517" s="3" t="inlineStr">
        <is>
          <t>전망공간 기계실</t>
        </is>
      </c>
      <c r="W517" s="4" t="n">
        <v>447</v>
      </c>
      <c r="X517" s="3" t="inlineStr">
        <is>
          <t>철근콘크리트구조</t>
        </is>
      </c>
      <c r="Y517" s="3" t="inlineStr">
        <is>
          <t>제2종근린생활시설</t>
        </is>
      </c>
      <c r="Z517" s="3" t="inlineStr">
        <is>
          <t>-m</t>
        </is>
      </c>
      <c r="AA517" s="3" t="inlineStr">
        <is>
          <t>2021-08-20</t>
        </is>
      </c>
    </row>
    <row r="518">
      <c r="A518" s="3" t="inlineStr">
        <is>
          <t>세종특별자치시 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HYPERLINK("https://map.naver.com/p/search/세종특별자치시 나성동 829", "지도Link")</f>
        <v/>
      </c>
      <c r="S518" s="6">
        <f>HYPERLINK("http://www.eum.go.kr/web/ar/lu/luLandDet.jsp?pnu=3611010700108290000&amp;isNoScr=script&amp;mode=search", "토지이음")</f>
        <v/>
      </c>
      <c r="T518" s="3" t="inlineStr">
        <is>
          <t>더원</t>
        </is>
      </c>
      <c r="U518" s="3" t="n">
        <v>1</v>
      </c>
      <c r="V518" s="3" t="inlineStr">
        <is>
          <t>공동주택 휘트니스</t>
        </is>
      </c>
      <c r="W518" s="4" t="n">
        <v>780</v>
      </c>
      <c r="X518" s="3" t="inlineStr">
        <is>
          <t>철근콘크리트구조</t>
        </is>
      </c>
      <c r="Y518" s="3" t="inlineStr">
        <is>
          <t>공동주택</t>
        </is>
      </c>
      <c r="Z518" s="3" t="inlineStr">
        <is>
          <t>-m</t>
        </is>
      </c>
      <c r="AA518" s="3" t="inlineStr">
        <is>
          <t>2021-08-20</t>
        </is>
      </c>
    </row>
    <row r="519">
      <c r="A519" s="3" t="inlineStr">
        <is>
          <t>세종특별자치시 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HYPERLINK("https://map.naver.com/p/search/세종특별자치시 나성동 829", "지도Link")</f>
        <v/>
      </c>
      <c r="S519" s="6">
        <f>HYPERLINK("http://www.eum.go.kr/web/ar/lu/luLandDet.jsp?pnu=3611010700108290000&amp;isNoScr=script&amp;mode=search", "토지이음")</f>
        <v/>
      </c>
      <c r="T519" s="3" t="inlineStr">
        <is>
          <t>더원</t>
        </is>
      </c>
      <c r="U519" s="3" t="n">
        <v>1</v>
      </c>
      <c r="V519" s="3" t="inlineStr">
        <is>
          <t>전망공간 기계실</t>
        </is>
      </c>
      <c r="W519" s="4" t="n">
        <v>495</v>
      </c>
      <c r="X519" s="3" t="inlineStr">
        <is>
          <t>철근콘크리트구조</t>
        </is>
      </c>
      <c r="Y519" s="3" t="inlineStr">
        <is>
          <t>제2종근린생활시설</t>
        </is>
      </c>
      <c r="Z519" s="3" t="inlineStr">
        <is>
          <t>-m</t>
        </is>
      </c>
      <c r="AA519" s="3" t="inlineStr">
        <is>
          <t>2021-08-20</t>
        </is>
      </c>
    </row>
    <row r="520">
      <c r="A520" s="3" t="inlineStr">
        <is>
          <t>세종특별자치시 나성동 829</t>
        </is>
      </c>
      <c r="B520" s="3" t="inlineStr">
        <is>
          <t>중심상업지역</t>
        </is>
      </c>
      <c r="C520" s="3" t="inlineStr">
        <is>
          <t>대</t>
        </is>
      </c>
      <c r="D520" s="3" t="inlineStr">
        <is>
          <t>공장</t>
        </is>
      </c>
      <c r="E520" s="3" t="inlineStr">
        <is>
          <t>월세</t>
        </is>
      </c>
      <c r="F520" s="4" t="n">
        <v>1500</v>
      </c>
      <c r="G520" s="4" t="n">
        <v>130</v>
      </c>
      <c r="H520" s="4" t="n">
        <v>7512</v>
      </c>
      <c r="I520" s="4" t="n">
        <v>2272</v>
      </c>
      <c r="J520" s="5" t="n">
        <v>0.1</v>
      </c>
      <c r="K520" s="4" t="n">
        <v>237</v>
      </c>
      <c r="L520" s="4" t="n">
        <v>72</v>
      </c>
      <c r="M520" s="5" t="n">
        <v>1.8</v>
      </c>
      <c r="N520" s="3" t="inlineStr">
        <is>
          <t>1</t>
        </is>
      </c>
      <c r="O520" s="3" t="inlineStr">
        <is>
          <t>-</t>
        </is>
      </c>
      <c r="P520" s="3" t="inlineStr">
        <is>
          <t>오창,공장및창고</t>
        </is>
      </c>
      <c r="Q520" s="6">
        <f>HYPERLINK("https://fin.land.naver.com/articles/2648120102", "매물Link")</f>
        <v/>
      </c>
      <c r="R520" s="6">
        <f>HYPERLINK("https://map.naver.com/p/search/세종특별자치시 나성동 829", "지도Link")</f>
        <v/>
      </c>
      <c r="S520" s="6">
        <f>HYPERLINK("http://www.eum.go.kr/web/ar/lu/luLandDet.jsp?pnu=3611010700108290000&amp;isNoScr=script&amp;mode=search", "토지이음")</f>
        <v/>
      </c>
      <c r="T520" s="3" t="inlineStr">
        <is>
          <t>LBA리치아노합동사무소</t>
        </is>
      </c>
      <c r="U520" s="3" t="n">
        <v>1</v>
      </c>
      <c r="V520" s="3" t="inlineStr">
        <is>
          <t>공동주택 보육시설</t>
        </is>
      </c>
      <c r="W520" s="4" t="n">
        <v>237</v>
      </c>
      <c r="X520" s="3" t="inlineStr">
        <is>
          <t>철근콘크리트구조</t>
        </is>
      </c>
      <c r="Y520" s="3" t="inlineStr">
        <is>
          <t>공동주택</t>
        </is>
      </c>
      <c r="Z520" s="3" t="inlineStr">
        <is>
          <t>-m</t>
        </is>
      </c>
      <c r="AA520" s="3" t="inlineStr">
        <is>
          <t>2021-08-20</t>
        </is>
      </c>
    </row>
    <row r="521">
      <c r="A521" s="3" t="inlineStr">
        <is>
          <t>세종특별자치시 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HYPERLINK("https://map.naver.com/p/search/세종특별자치시 나성동 829", "지도Link")</f>
        <v/>
      </c>
      <c r="S521" s="6">
        <f>HYPERLINK("http://www.eum.go.kr/web/ar/lu/luLandDet.jsp?pnu=3611010700108290000&amp;isNoScr=script&amp;mode=search", "토지이음")</f>
        <v/>
      </c>
      <c r="T521" s="3" t="inlineStr">
        <is>
          <t>LBA리치아노합동사무소</t>
        </is>
      </c>
      <c r="U521" s="3" t="n">
        <v>1</v>
      </c>
      <c r="V521" s="3" t="inlineStr">
        <is>
          <t>전망공간 지하주차장</t>
        </is>
      </c>
      <c r="W521" s="4" t="n">
        <v>950</v>
      </c>
      <c r="X521" s="3" t="inlineStr">
        <is>
          <t>철근콘크리트구조</t>
        </is>
      </c>
      <c r="Y521" s="3" t="inlineStr">
        <is>
          <t>제2종근린생활시설</t>
        </is>
      </c>
      <c r="Z521" s="3" t="inlineStr">
        <is>
          <t>4.50m</t>
        </is>
      </c>
      <c r="AA521" s="3" t="inlineStr">
        <is>
          <t>2021-08-20</t>
        </is>
      </c>
    </row>
    <row r="522">
      <c r="A522" s="3" t="inlineStr">
        <is>
          <t>세종특별자치시 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HYPERLINK("https://map.naver.com/p/search/세종특별자치시 나성동 829", "지도Link")</f>
        <v/>
      </c>
      <c r="S522" s="6">
        <f>HYPERLINK("http://www.eum.go.kr/web/ar/lu/luLandDet.jsp?pnu=3611010700108290000&amp;isNoScr=script&amp;mode=search", "토지이음")</f>
        <v/>
      </c>
      <c r="T522" s="3" t="inlineStr">
        <is>
          <t>LBA리치아노합동사무소</t>
        </is>
      </c>
      <c r="U522" s="3" t="n">
        <v>1</v>
      </c>
      <c r="V522" s="3" t="inlineStr">
        <is>
          <t>801</t>
        </is>
      </c>
      <c r="W522" s="4" t="n">
        <v>342</v>
      </c>
      <c r="X522" s="3" t="inlineStr">
        <is>
          <t>철근콘크리트구조</t>
        </is>
      </c>
      <c r="Y522" s="3" t="inlineStr">
        <is>
          <t>제2종근린생활시설</t>
        </is>
      </c>
      <c r="Z522" s="3" t="inlineStr">
        <is>
          <t>-m</t>
        </is>
      </c>
      <c r="AA522" s="3" t="inlineStr">
        <is>
          <t>2021-08-20</t>
        </is>
      </c>
    </row>
    <row r="523">
      <c r="A523" s="3" t="inlineStr">
        <is>
          <t>세종특별자치시 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HYPERLINK("https://map.naver.com/p/search/세종특별자치시 나성동 829", "지도Link")</f>
        <v/>
      </c>
      <c r="S523" s="6">
        <f>HYPERLINK("http://www.eum.go.kr/web/ar/lu/luLandDet.jsp?pnu=3611010700108290000&amp;isNoScr=script&amp;mode=search", "토지이음")</f>
        <v/>
      </c>
      <c r="T523" s="3" t="inlineStr">
        <is>
          <t>LBA리치아노합동사무소</t>
        </is>
      </c>
      <c r="U523" s="3" t="n">
        <v>1</v>
      </c>
      <c r="V523" s="3" t="inlineStr">
        <is>
          <t>근린생활시설 지하주차장</t>
        </is>
      </c>
      <c r="W523" s="4" t="n">
        <v>2164</v>
      </c>
      <c r="X523" s="3" t="inlineStr">
        <is>
          <t>철근콘크리트구조</t>
        </is>
      </c>
      <c r="Y523" s="3" t="inlineStr">
        <is>
          <t>제2종근린생활시설</t>
        </is>
      </c>
      <c r="Z523" s="3" t="inlineStr">
        <is>
          <t>-m</t>
        </is>
      </c>
      <c r="AA523" s="3" t="inlineStr">
        <is>
          <t>2021-08-20</t>
        </is>
      </c>
    </row>
    <row r="524">
      <c r="A524" s="3" t="inlineStr">
        <is>
          <t>세종특별자치시 나성동 829</t>
        </is>
      </c>
      <c r="B524" s="3" t="inlineStr">
        <is>
          <t>중심상업지역</t>
        </is>
      </c>
      <c r="C524" s="3" t="inlineStr">
        <is>
          <t>대</t>
        </is>
      </c>
      <c r="D524" s="3" t="inlineStr">
        <is>
          <t>공장</t>
        </is>
      </c>
      <c r="E524" s="3" t="inlineStr">
        <is>
          <t>월세</t>
        </is>
      </c>
      <c r="F524" s="4" t="n">
        <v>3000</v>
      </c>
      <c r="G524" s="4" t="n">
        <v>200</v>
      </c>
      <c r="H524" s="4" t="n">
        <v>1048</v>
      </c>
      <c r="I524" s="4" t="n">
        <v>317</v>
      </c>
      <c r="J524" s="5" t="n">
        <v>0.6</v>
      </c>
      <c r="K524" s="4" t="n">
        <v>334</v>
      </c>
      <c r="L524" s="4" t="n">
        <v>101</v>
      </c>
      <c r="M524" s="5" t="n">
        <v>2</v>
      </c>
      <c r="N524" s="3" t="inlineStr">
        <is>
          <t>1</t>
        </is>
      </c>
      <c r="O524" s="3" t="inlineStr">
        <is>
          <t>-</t>
        </is>
      </c>
      <c r="P524" s="3" t="inlineStr">
        <is>
          <t>오창,제조업소및창고</t>
        </is>
      </c>
      <c r="Q524" s="6">
        <f>HYPERLINK("https://fin.land.naver.com/articles/2649538527", "매물Link")</f>
        <v/>
      </c>
      <c r="R524" s="6">
        <f>HYPERLINK("https://map.naver.com/p/search/세종특별자치시 나성동 829", "지도Link")</f>
        <v/>
      </c>
      <c r="S524" s="6">
        <f>HYPERLINK("http://www.eum.go.kr/web/ar/lu/luLandDet.jsp?pnu=3611010700108290000&amp;isNoScr=script&amp;mode=search", "토지이음")</f>
        <v/>
      </c>
      <c r="T524" s="3" t="inlineStr">
        <is>
          <t>LBA리치아노합동사무소</t>
        </is>
      </c>
      <c r="U524" s="3" t="n">
        <v>1</v>
      </c>
      <c r="V524" s="3" t="inlineStr">
        <is>
          <t>801</t>
        </is>
      </c>
      <c r="W524" s="4" t="n">
        <v>334</v>
      </c>
      <c r="X524" s="3" t="inlineStr">
        <is>
          <t>철근콘크리트구조</t>
        </is>
      </c>
      <c r="Y524" s="3" t="inlineStr">
        <is>
          <t>제2종근린생활시설</t>
        </is>
      </c>
      <c r="Z524" s="3" t="inlineStr">
        <is>
          <t>-m</t>
        </is>
      </c>
      <c r="AA524" s="3" t="inlineStr">
        <is>
          <t>2021-08-20</t>
        </is>
      </c>
    </row>
    <row r="525">
      <c r="A525" s="3" t="inlineStr">
        <is>
          <t>세종특별자치시 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HYPERLINK("https://map.naver.com/p/search/세종특별자치시 나성동 829", "지도Link")</f>
        <v/>
      </c>
      <c r="S525" s="6">
        <f>HYPERLINK("http://www.eum.go.kr/web/ar/lu/luLandDet.jsp?pnu=3611010700108290000&amp;isNoScr=script&amp;mode=search", "토지이음")</f>
        <v/>
      </c>
      <c r="T525" s="3" t="inlineStr">
        <is>
          <t>LBA리치아노합동사무소</t>
        </is>
      </c>
      <c r="U525" s="3" t="n">
        <v>1</v>
      </c>
      <c r="V525" s="3" t="inlineStr">
        <is>
          <t>전망공간 기계실</t>
        </is>
      </c>
      <c r="W525" s="4" t="n">
        <v>419</v>
      </c>
      <c r="X525" s="3" t="inlineStr">
        <is>
          <t>철근콘크리트구조</t>
        </is>
      </c>
      <c r="Y525" s="3" t="inlineStr">
        <is>
          <t>제2종근린생활시설</t>
        </is>
      </c>
      <c r="Z525" s="3" t="inlineStr">
        <is>
          <t>-m</t>
        </is>
      </c>
      <c r="AA525" s="3" t="inlineStr">
        <is>
          <t>2021-08-20</t>
        </is>
      </c>
    </row>
    <row r="526">
      <c r="A526" s="3" t="inlineStr">
        <is>
          <t>세종특별자치시 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HYPERLINK("https://map.naver.com/p/search/세종특별자치시 나성동 829", "지도Link")</f>
        <v/>
      </c>
      <c r="S526" s="6">
        <f>HYPERLINK("http://www.eum.go.kr/web/ar/lu/luLandDet.jsp?pnu=3611010700108290000&amp;isNoScr=script&amp;mode=search", "토지이음")</f>
        <v/>
      </c>
      <c r="T526" s="3" t="inlineStr">
        <is>
          <t>더원</t>
        </is>
      </c>
      <c r="U526" s="3" t="n">
        <v>1</v>
      </c>
      <c r="V526" s="3" t="inlineStr">
        <is>
          <t>605</t>
        </is>
      </c>
      <c r="W526" s="4" t="n">
        <v>1489</v>
      </c>
      <c r="X526" s="3" t="inlineStr">
        <is>
          <t>철근콘크리트구조</t>
        </is>
      </c>
      <c r="Y526" s="3" t="inlineStr">
        <is>
          <t>공동주택</t>
        </is>
      </c>
      <c r="Z526" s="3" t="inlineStr">
        <is>
          <t>45.30m</t>
        </is>
      </c>
      <c r="AA526" s="3" t="inlineStr">
        <is>
          <t>2021-08-20</t>
        </is>
      </c>
    </row>
    <row r="527">
      <c r="A527" s="3" t="inlineStr">
        <is>
          <t>세종특별자치시 나성동 829</t>
        </is>
      </c>
      <c r="B527" s="3" t="inlineStr">
        <is>
          <t>중심상업지역</t>
        </is>
      </c>
      <c r="C527" s="3" t="inlineStr">
        <is>
          <t>대</t>
        </is>
      </c>
      <c r="D527" s="3" t="inlineStr">
        <is>
          <t>창고</t>
        </is>
      </c>
      <c r="E527" s="3" t="inlineStr">
        <is>
          <t>월세</t>
        </is>
      </c>
      <c r="F527" s="4" t="n">
        <v>1000</v>
      </c>
      <c r="G527" s="4" t="n">
        <v>80</v>
      </c>
      <c r="H527" s="4" t="n">
        <v>400</v>
      </c>
      <c r="I527" s="4" t="n">
        <v>121</v>
      </c>
      <c r="J527" s="5" t="n">
        <v>0.7</v>
      </c>
      <c r="K527" s="4" t="n">
        <v>149</v>
      </c>
      <c r="L527" s="4" t="n">
        <v>45</v>
      </c>
      <c r="M527" s="5" t="n">
        <v>1.8</v>
      </c>
      <c r="N527" s="3" t="inlineStr">
        <is>
          <t>1</t>
        </is>
      </c>
      <c r="O527" s="3" t="inlineStr">
        <is>
          <t>-</t>
        </is>
      </c>
      <c r="P527" s="3" t="inlineStr">
        <is>
          <t>오창,소형창고,내부사무실</t>
        </is>
      </c>
      <c r="Q527" s="6">
        <f>HYPERLINK("https://fin.land.naver.com/articles/2649535085", "매물Link")</f>
        <v/>
      </c>
      <c r="R527" s="6">
        <f>HYPERLINK("https://map.naver.com/p/search/세종특별자치시 나성동 829", "지도Link")</f>
        <v/>
      </c>
      <c r="S527" s="6">
        <f>HYPERLINK("http://www.eum.go.kr/web/ar/lu/luLandDet.jsp?pnu=3611010700108290000&amp;isNoScr=script&amp;mode=search", "토지이음")</f>
        <v/>
      </c>
      <c r="T527" s="3" t="inlineStr">
        <is>
          <t>LBA리치아노합동사무소</t>
        </is>
      </c>
      <c r="U527" s="3" t="n">
        <v>1</v>
      </c>
      <c r="V527" s="3" t="inlineStr">
        <is>
          <t>공동주택 경로당</t>
        </is>
      </c>
      <c r="W527" s="4" t="n">
        <v>149</v>
      </c>
      <c r="X527" s="3" t="inlineStr">
        <is>
          <t>철근콘크리트구조</t>
        </is>
      </c>
      <c r="Y527" s="3" t="inlineStr">
        <is>
          <t>공동주택</t>
        </is>
      </c>
      <c r="Z527" s="3" t="inlineStr">
        <is>
          <t>-m</t>
        </is>
      </c>
      <c r="AA527" s="3" t="inlineStr">
        <is>
          <t>2021-08-20</t>
        </is>
      </c>
    </row>
    <row r="528">
      <c r="A528" s="3" t="inlineStr">
        <is>
          <t>세종특별자치시 나성동 829</t>
        </is>
      </c>
      <c r="B528" s="3" t="inlineStr">
        <is>
          <t>중심상업지역</t>
        </is>
      </c>
      <c r="C528" s="3" t="inlineStr">
        <is>
          <t>대</t>
        </is>
      </c>
      <c r="D528" s="3" t="inlineStr">
        <is>
          <t>공장</t>
        </is>
      </c>
      <c r="E528" s="3" t="inlineStr">
        <is>
          <t>매매</t>
        </is>
      </c>
      <c r="F528" s="4" t="n">
        <v>700000</v>
      </c>
      <c r="G528" s="4" t="n">
        <v>0</v>
      </c>
      <c r="H528" s="4" t="n">
        <v>16938</v>
      </c>
      <c r="I528" s="4" t="n">
        <v>5124</v>
      </c>
      <c r="J528" s="5" t="n">
        <v>136.6</v>
      </c>
      <c r="K528" s="4" t="n">
        <v>11305</v>
      </c>
      <c r="L528" s="4" t="n">
        <v>3420</v>
      </c>
      <c r="M528" s="5" t="n">
        <v>204.7</v>
      </c>
      <c r="N528" s="3" t="inlineStr">
        <is>
          <t>3</t>
        </is>
      </c>
      <c r="O528" s="3" t="inlineStr">
        <is>
          <t>-</t>
        </is>
      </c>
      <c r="P528" s="3" t="inlineStr">
        <is>
          <t>증평IC에서 5분</t>
        </is>
      </c>
      <c r="Q528" s="6">
        <f>HYPERLINK("https://fin.land.naver.com/articles/2646086970", "매물Link")</f>
        <v/>
      </c>
      <c r="R528" s="6">
        <f>HYPERLINK("https://map.naver.com/p/search/세종특별자치시 나성동 829", "지도Link")</f>
        <v/>
      </c>
      <c r="S528" s="6">
        <f>HYPERLINK("http://www.eum.go.kr/web/ar/lu/luLandDet.jsp?pnu=3611010700108290000&amp;isNoScr=script&amp;mode=search", "토지이음")</f>
        <v/>
      </c>
      <c r="T528" s="3" t="inlineStr">
        <is>
          <t>미더스</t>
        </is>
      </c>
      <c r="U528" s="3" t="n">
        <v>2</v>
      </c>
      <c r="V528" s="3" t="inlineStr">
        <is>
          <t>603</t>
        </is>
      </c>
      <c r="W528" s="4" t="n">
        <v>11305</v>
      </c>
      <c r="X528" s="3" t="inlineStr">
        <is>
          <t>철근콘크리트구조</t>
        </is>
      </c>
      <c r="Y528" s="3" t="inlineStr">
        <is>
          <t>공동주택</t>
        </is>
      </c>
      <c r="Z528" s="3" t="inlineStr">
        <is>
          <t>94.45m</t>
        </is>
      </c>
      <c r="AA528" s="3" t="inlineStr">
        <is>
          <t>2021-08-20</t>
        </is>
      </c>
    </row>
    <row r="529">
      <c r="A529" s="3" t="inlineStr">
        <is>
          <t>세종특별자치시 나성동 829</t>
        </is>
      </c>
      <c r="B529" s="3" t="inlineStr">
        <is>
          <t>중심상업지역</t>
        </is>
      </c>
      <c r="C529" s="3" t="inlineStr">
        <is>
          <t>대</t>
        </is>
      </c>
      <c r="D529" s="3" t="inlineStr">
        <is>
          <t>공장</t>
        </is>
      </c>
      <c r="E529" s="3" t="inlineStr">
        <is>
          <t>월세</t>
        </is>
      </c>
      <c r="F529" s="4" t="n">
        <v>1000</v>
      </c>
      <c r="G529" s="4" t="n">
        <v>120</v>
      </c>
      <c r="H529" s="4" t="n">
        <v>145</v>
      </c>
      <c r="I529" s="4" t="n">
        <v>44</v>
      </c>
      <c r="J529" s="5" t="n">
        <v>2.7</v>
      </c>
      <c r="K529" s="4" t="n">
        <v>172</v>
      </c>
      <c r="L529" s="4" t="n">
        <v>52</v>
      </c>
      <c r="M529" s="5" t="n">
        <v>2.3</v>
      </c>
      <c r="N529" s="3" t="inlineStr">
        <is>
          <t>1</t>
        </is>
      </c>
      <c r="O529" s="3" t="inlineStr">
        <is>
          <t>-</t>
        </is>
      </c>
      <c r="P529" s="3" t="inlineStr">
        <is>
          <t>소형식품공장,2층사무실,시설권리유</t>
        </is>
      </c>
      <c r="Q529" s="6">
        <f>HYPERLINK("https://fin.land.naver.com/articles/2649534881", "매물Link")</f>
        <v/>
      </c>
      <c r="R529" s="6">
        <f>HYPERLINK("https://map.naver.com/p/search/세종특별자치시 나성동 829", "지도Link")</f>
        <v/>
      </c>
      <c r="S529" s="6">
        <f>HYPERLINK("http://www.eum.go.kr/web/ar/lu/luLandDet.jsp?pnu=3611010700108290000&amp;isNoScr=script&amp;mode=search", "토지이음")</f>
        <v/>
      </c>
      <c r="T529" s="3" t="inlineStr">
        <is>
          <t>LBA리치아노합동사무소</t>
        </is>
      </c>
      <c r="U529" s="3" t="n">
        <v>1</v>
      </c>
      <c r="V529" s="3" t="inlineStr">
        <is>
          <t>공동주택 작은도서관</t>
        </is>
      </c>
      <c r="W529" s="4" t="n">
        <v>172</v>
      </c>
      <c r="X529" s="3" t="inlineStr">
        <is>
          <t>철근콘크리트구조</t>
        </is>
      </c>
      <c r="Y529" s="3" t="inlineStr">
        <is>
          <t>공동주택</t>
        </is>
      </c>
      <c r="Z529" s="3" t="inlineStr">
        <is>
          <t>-m</t>
        </is>
      </c>
      <c r="AA529" s="3" t="inlineStr">
        <is>
          <t>2021-08-20</t>
        </is>
      </c>
    </row>
    <row r="530">
      <c r="A530" s="3" t="inlineStr">
        <is>
          <t>세종특별자치시 나성동 829</t>
        </is>
      </c>
      <c r="B530" s="3" t="inlineStr">
        <is>
          <t>중심상업지역</t>
        </is>
      </c>
      <c r="C530" s="3" t="inlineStr">
        <is>
          <t>대</t>
        </is>
      </c>
      <c r="D530" s="3" t="inlineStr">
        <is>
          <t>공장</t>
        </is>
      </c>
      <c r="E530" s="3" t="inlineStr">
        <is>
          <t>월세</t>
        </is>
      </c>
      <c r="F530" s="4" t="n">
        <v>500</v>
      </c>
      <c r="G530" s="4" t="n">
        <v>90</v>
      </c>
      <c r="H530" s="4" t="n">
        <v>400</v>
      </c>
      <c r="I530" s="4" t="n">
        <v>121</v>
      </c>
      <c r="J530" s="5" t="n">
        <v>0.7</v>
      </c>
      <c r="K530" s="4" t="n">
        <v>148</v>
      </c>
      <c r="L530" s="4" t="n">
        <v>45</v>
      </c>
      <c r="M530" s="5" t="n">
        <v>2</v>
      </c>
      <c r="N530" s="3" t="inlineStr">
        <is>
          <t>1</t>
        </is>
      </c>
      <c r="O530" s="3" t="inlineStr">
        <is>
          <t>-</t>
        </is>
      </c>
      <c r="P530" s="3" t="inlineStr">
        <is>
          <t>오창,공장및창고,임대</t>
        </is>
      </c>
      <c r="Q530" s="6">
        <f>HYPERLINK("https://fin.land.naver.com/articles/2649532068", "매물Link")</f>
        <v/>
      </c>
      <c r="R530" s="6">
        <f>HYPERLINK("https://map.naver.com/p/search/세종특별자치시 나성동 829", "지도Link")</f>
        <v/>
      </c>
      <c r="S530" s="6">
        <f>HYPERLINK("http://www.eum.go.kr/web/ar/lu/luLandDet.jsp?pnu=3611010700108290000&amp;isNoScr=script&amp;mode=search", "토지이음")</f>
        <v/>
      </c>
      <c r="T530" s="3" t="inlineStr">
        <is>
          <t>LBA리치아노합동사무소</t>
        </is>
      </c>
      <c r="U530" s="3" t="n">
        <v>1</v>
      </c>
      <c r="V530" s="3" t="inlineStr">
        <is>
          <t>공동주택 경로당</t>
        </is>
      </c>
      <c r="W530" s="4" t="n">
        <v>148</v>
      </c>
      <c r="X530" s="3" t="inlineStr">
        <is>
          <t>철근콘크리트구조</t>
        </is>
      </c>
      <c r="Y530" s="3" t="inlineStr">
        <is>
          <t>공동주택</t>
        </is>
      </c>
      <c r="Z530" s="3" t="inlineStr">
        <is>
          <t>-m</t>
        </is>
      </c>
      <c r="AA530" s="3" t="inlineStr">
        <is>
          <t>2021-08-20</t>
        </is>
      </c>
    </row>
    <row r="531">
      <c r="A531" s="3" t="inlineStr">
        <is>
          <t>세종특별자치시 나성동 829</t>
        </is>
      </c>
      <c r="B531" s="3" t="inlineStr">
        <is>
          <t>중심상업지역</t>
        </is>
      </c>
      <c r="C531" s="3" t="inlineStr">
        <is>
          <t>대</t>
        </is>
      </c>
      <c r="D531" s="3" t="inlineStr">
        <is>
          <t>공장</t>
        </is>
      </c>
      <c r="E531" s="3" t="inlineStr">
        <is>
          <t>월세</t>
        </is>
      </c>
      <c r="F531" s="4" t="n">
        <v>20000</v>
      </c>
      <c r="G531" s="4" t="n">
        <v>0</v>
      </c>
      <c r="H531" s="4" t="n">
        <v>4746</v>
      </c>
      <c r="I531" s="4" t="n">
        <v>1436</v>
      </c>
      <c r="J531" s="5" t="n">
        <v>0</v>
      </c>
      <c r="K531" s="4" t="n">
        <v>3255</v>
      </c>
      <c r="L531" s="4" t="n">
        <v>985</v>
      </c>
      <c r="M531" s="5" t="n">
        <v>0</v>
      </c>
      <c r="N531" s="3" t="inlineStr">
        <is>
          <t>1</t>
        </is>
      </c>
      <c r="O531" s="3" t="inlineStr">
        <is>
          <t>-</t>
        </is>
      </c>
      <c r="P531" s="3" t="inlineStr">
        <is>
          <t>오창,공장및창고,임대</t>
        </is>
      </c>
      <c r="Q531" s="6">
        <f>HYPERLINK("https://fin.land.naver.com/articles/2648130710", "매물Link")</f>
        <v/>
      </c>
      <c r="R531" s="6">
        <f>HYPERLINK("https://map.naver.com/p/search/세종특별자치시 나성동 829", "지도Link")</f>
        <v/>
      </c>
      <c r="S531" s="6">
        <f>HYPERLINK("http://www.eum.go.kr/web/ar/lu/luLandDet.jsp?pnu=3611010700108290000&amp;isNoScr=script&amp;mode=search", "토지이음")</f>
        <v/>
      </c>
      <c r="T531" s="3" t="inlineStr">
        <is>
          <t>LBA리치아노합동사무소</t>
        </is>
      </c>
      <c r="U531" s="3" t="n">
        <v>1</v>
      </c>
      <c r="V531" s="3" t="inlineStr">
        <is>
          <t>802</t>
        </is>
      </c>
      <c r="W531" s="4" t="n">
        <v>3255</v>
      </c>
      <c r="X531" s="3" t="inlineStr">
        <is>
          <t>철근콘크리트구조</t>
        </is>
      </c>
      <c r="Y531" s="3" t="inlineStr">
        <is>
          <t>제2종근린생활시설</t>
        </is>
      </c>
      <c r="Z531" s="3" t="inlineStr">
        <is>
          <t>-m</t>
        </is>
      </c>
      <c r="AA531" s="3" t="inlineStr">
        <is>
          <t>2021-08-20</t>
        </is>
      </c>
    </row>
    <row r="532">
      <c r="A532" s="3" t="inlineStr">
        <is>
          <t>세종특별자치시 나성동 829</t>
        </is>
      </c>
      <c r="B532" s="3" t="inlineStr">
        <is>
          <t>중심상업지역</t>
        </is>
      </c>
      <c r="C532" s="3" t="inlineStr">
        <is>
          <t>대</t>
        </is>
      </c>
      <c r="D532" s="3" t="inlineStr">
        <is>
          <t>공장</t>
        </is>
      </c>
      <c r="E532" s="3" t="inlineStr">
        <is>
          <t>월세</t>
        </is>
      </c>
      <c r="F532" s="4" t="n">
        <v>3000</v>
      </c>
      <c r="G532" s="4" t="n">
        <v>300</v>
      </c>
      <c r="H532" s="4" t="n">
        <v>1485</v>
      </c>
      <c r="I532" s="4" t="n">
        <v>449</v>
      </c>
      <c r="J532" s="5" t="n">
        <v>0.7</v>
      </c>
      <c r="K532" s="4" t="n">
        <v>489</v>
      </c>
      <c r="L532" s="4" t="n">
        <v>148</v>
      </c>
      <c r="M532" s="5" t="n">
        <v>2</v>
      </c>
      <c r="N532" s="3" t="inlineStr">
        <is>
          <t>1</t>
        </is>
      </c>
      <c r="O532" s="3" t="inlineStr">
        <is>
          <t>-</t>
        </is>
      </c>
      <c r="P532" s="3" t="inlineStr">
        <is>
          <t>오창,제조업소및창고,호이스트3톤,2층사무실,입주협의</t>
        </is>
      </c>
      <c r="Q532" s="6">
        <f>HYPERLINK("https://fin.land.naver.com/articles/2648132638", "매물Link")</f>
        <v/>
      </c>
      <c r="R532" s="6">
        <f>HYPERLINK("https://map.naver.com/p/search/세종특별자치시 나성동 829", "지도Link")</f>
        <v/>
      </c>
      <c r="S532" s="6">
        <f>HYPERLINK("http://www.eum.go.kr/web/ar/lu/luLandDet.jsp?pnu=3611010700108290000&amp;isNoScr=script&amp;mode=search", "토지이음")</f>
        <v/>
      </c>
      <c r="T532" s="3" t="inlineStr">
        <is>
          <t>LBA리치아노합동사무소</t>
        </is>
      </c>
      <c r="U532" s="3" t="n">
        <v>1</v>
      </c>
      <c r="V532" s="3" t="inlineStr">
        <is>
          <t>전망공간 기계실</t>
        </is>
      </c>
      <c r="W532" s="4" t="n">
        <v>489</v>
      </c>
      <c r="X532" s="3" t="inlineStr">
        <is>
          <t>철근콘크리트구조</t>
        </is>
      </c>
      <c r="Y532" s="3" t="inlineStr">
        <is>
          <t>제2종근린생활시설</t>
        </is>
      </c>
      <c r="Z532" s="3" t="inlineStr">
        <is>
          <t>-m</t>
        </is>
      </c>
      <c r="AA532" s="3" t="inlineStr">
        <is>
          <t>2021-08-20</t>
        </is>
      </c>
    </row>
    <row r="533">
      <c r="A533" s="3" t="inlineStr">
        <is>
          <t>세종특별자치시 나성동 829</t>
        </is>
      </c>
      <c r="B533" s="3" t="inlineStr">
        <is>
          <t>중심상업지역</t>
        </is>
      </c>
      <c r="C533" s="3" t="inlineStr">
        <is>
          <t>대</t>
        </is>
      </c>
      <c r="D533" s="3" t="inlineStr">
        <is>
          <t>공장</t>
        </is>
      </c>
      <c r="E533" s="3" t="inlineStr">
        <is>
          <t>월세</t>
        </is>
      </c>
      <c r="F533" s="4" t="n">
        <v>1000</v>
      </c>
      <c r="G533" s="4" t="n">
        <v>144</v>
      </c>
      <c r="H533" s="4" t="n">
        <v>1316</v>
      </c>
      <c r="I533" s="4" t="n">
        <v>398</v>
      </c>
      <c r="J533" s="5" t="n">
        <v>0.4</v>
      </c>
      <c r="K533" s="4" t="n">
        <v>264</v>
      </c>
      <c r="L533" s="4" t="n">
        <v>80</v>
      </c>
      <c r="M533" s="5" t="n">
        <v>1.8</v>
      </c>
      <c r="N533" s="3" t="inlineStr">
        <is>
          <t>1</t>
        </is>
      </c>
      <c r="O533" s="3" t="inlineStr">
        <is>
          <t>-</t>
        </is>
      </c>
      <c r="P533" s="3" t="inlineStr">
        <is>
          <t>오창,공장</t>
        </is>
      </c>
      <c r="Q533" s="6">
        <f>HYPERLINK("https://fin.land.naver.com/articles/2648133869", "매물Link")</f>
        <v/>
      </c>
      <c r="R533" s="6">
        <f>HYPERLINK("https://map.naver.com/p/search/세종특별자치시 나성동 829", "지도Link")</f>
        <v/>
      </c>
      <c r="S533" s="6">
        <f>HYPERLINK("http://www.eum.go.kr/web/ar/lu/luLandDet.jsp?pnu=3611010700108290000&amp;isNoScr=script&amp;mode=search", "토지이음")</f>
        <v/>
      </c>
      <c r="T533" s="3" t="inlineStr">
        <is>
          <t>LBA리치아노합동사무소</t>
        </is>
      </c>
      <c r="U533" s="3" t="n">
        <v>1</v>
      </c>
      <c r="V533" s="3" t="inlineStr">
        <is>
          <t>근린생활시설 기계실</t>
        </is>
      </c>
      <c r="W533" s="4" t="n">
        <v>264</v>
      </c>
      <c r="X533" s="3" t="inlineStr">
        <is>
          <t>철근콘크리트구조</t>
        </is>
      </c>
      <c r="Y533" s="3" t="inlineStr">
        <is>
          <t>제2종근린생활시설</t>
        </is>
      </c>
      <c r="Z533" s="3" t="inlineStr">
        <is>
          <t>-m</t>
        </is>
      </c>
      <c r="AA533" s="3" t="inlineStr">
        <is>
          <t>2021-08-20</t>
        </is>
      </c>
    </row>
    <row r="534">
      <c r="A534" s="3" t="inlineStr">
        <is>
          <t>세종특별자치시 나성동 829</t>
        </is>
      </c>
      <c r="B534" s="3" t="inlineStr">
        <is>
          <t>중심상업지역</t>
        </is>
      </c>
      <c r="C534" s="3" t="inlineStr">
        <is>
          <t>대</t>
        </is>
      </c>
      <c r="D534" s="3" t="inlineStr">
        <is>
          <t>공장</t>
        </is>
      </c>
      <c r="E534" s="3" t="inlineStr">
        <is>
          <t>매매</t>
        </is>
      </c>
      <c r="F534" s="4" t="n">
        <v>170000</v>
      </c>
      <c r="G534" s="4" t="n">
        <v>0</v>
      </c>
      <c r="H534" s="4" t="n">
        <v>2873</v>
      </c>
      <c r="I534" s="4" t="n">
        <v>869</v>
      </c>
      <c r="J534" s="5" t="n">
        <v>195.6</v>
      </c>
      <c r="K534" s="4" t="n">
        <v>936</v>
      </c>
      <c r="L534" s="4" t="n">
        <v>283</v>
      </c>
      <c r="M534" s="5" t="n">
        <v>600.7</v>
      </c>
      <c r="N534" s="3" t="inlineStr">
        <is>
          <t>1</t>
        </is>
      </c>
      <c r="O534" s="3" t="inlineStr">
        <is>
          <t>-</t>
        </is>
      </c>
      <c r="P534" s="3" t="inlineStr">
        <is>
          <t>오창읍 가좌리 단독공장 매매 실내사무실 층고10미터</t>
        </is>
      </c>
      <c r="Q534" s="6">
        <f>HYPERLINK("https://fin.land.naver.com/articles/2648134015", "매물Link")</f>
        <v/>
      </c>
      <c r="R534" s="6">
        <f>HYPERLINK("https://map.naver.com/p/search/세종특별자치시 나성동 829", "지도Link")</f>
        <v/>
      </c>
      <c r="S534" s="6">
        <f>HYPERLINK("http://www.eum.go.kr/web/ar/lu/luLandDet.jsp?pnu=3611010700108290000&amp;isNoScr=script&amp;mode=search", "토지이음")</f>
        <v/>
      </c>
      <c r="T534" s="3" t="inlineStr">
        <is>
          <t>공장365</t>
        </is>
      </c>
      <c r="U534" s="3" t="n">
        <v>1</v>
      </c>
      <c r="V534" s="3" t="inlineStr">
        <is>
          <t>전망공간 지하주차장</t>
        </is>
      </c>
      <c r="W534" s="4" t="n">
        <v>936</v>
      </c>
      <c r="X534" s="3" t="inlineStr">
        <is>
          <t>철근콘크리트구조</t>
        </is>
      </c>
      <c r="Y534" s="3" t="inlineStr">
        <is>
          <t>제2종근린생활시설</t>
        </is>
      </c>
      <c r="Z534" s="3" t="inlineStr">
        <is>
          <t>4.50m</t>
        </is>
      </c>
      <c r="AA534" s="3" t="inlineStr">
        <is>
          <t>2021-08-20</t>
        </is>
      </c>
    </row>
    <row r="535">
      <c r="A535" s="3" t="inlineStr">
        <is>
          <t>세종특별자치시 나성동 829</t>
        </is>
      </c>
      <c r="B535" s="3" t="inlineStr">
        <is>
          <t>중심상업지역</t>
        </is>
      </c>
      <c r="C535" s="3" t="inlineStr">
        <is>
          <t>대</t>
        </is>
      </c>
      <c r="D535" s="3" t="inlineStr">
        <is>
          <t>공장</t>
        </is>
      </c>
      <c r="E535" s="3" t="inlineStr">
        <is>
          <t>매매</t>
        </is>
      </c>
      <c r="F535" s="4" t="n">
        <v>300000</v>
      </c>
      <c r="G535" s="4" t="n">
        <v>0</v>
      </c>
      <c r="H535" s="4" t="n">
        <v>4985</v>
      </c>
      <c r="I535" s="4" t="n">
        <v>1508</v>
      </c>
      <c r="J535" s="5" t="n">
        <v>198.9</v>
      </c>
      <c r="K535" s="4" t="n">
        <v>788</v>
      </c>
      <c r="L535" s="4" t="n">
        <v>238</v>
      </c>
      <c r="M535" s="5" t="n">
        <v>1260.5</v>
      </c>
      <c r="N535" s="3" t="inlineStr">
        <is>
          <t>1</t>
        </is>
      </c>
      <c r="O535" s="3" t="inlineStr">
        <is>
          <t>-</t>
        </is>
      </c>
      <c r="P535" s="3" t="inlineStr">
        <is>
          <t>건폐율20 마당활용 최적 오창 증평간 산업도로바로진입</t>
        </is>
      </c>
      <c r="Q535" s="6">
        <f>HYPERLINK("https://fin.land.naver.com/articles/2648137572", "매물Link")</f>
        <v/>
      </c>
      <c r="R535" s="6">
        <f>HYPERLINK("https://map.naver.com/p/search/세종특별자치시 나성동 829", "지도Link")</f>
        <v/>
      </c>
      <c r="S535" s="6">
        <f>HYPERLINK("http://www.eum.go.kr/web/ar/lu/luLandDet.jsp?pnu=3611010700108290000&amp;isNoScr=script&amp;mode=search", "토지이음")</f>
        <v/>
      </c>
      <c r="T535" s="3" t="inlineStr">
        <is>
          <t>공장365</t>
        </is>
      </c>
      <c r="U535" s="3" t="n">
        <v>1</v>
      </c>
      <c r="V535" s="3" t="inlineStr">
        <is>
          <t>공동주택 휘트니스</t>
        </is>
      </c>
      <c r="W535" s="4" t="n">
        <v>788</v>
      </c>
      <c r="X535" s="3" t="inlineStr">
        <is>
          <t>철근콘크리트구조</t>
        </is>
      </c>
      <c r="Y535" s="3" t="inlineStr">
        <is>
          <t>공동주택</t>
        </is>
      </c>
      <c r="Z535" s="3" t="inlineStr">
        <is>
          <t>-m</t>
        </is>
      </c>
      <c r="AA535" s="3" t="inlineStr">
        <is>
          <t>2021-08-20</t>
        </is>
      </c>
    </row>
    <row r="536">
      <c r="A536" s="3" t="inlineStr">
        <is>
          <t>세종특별자치시 나성동 829</t>
        </is>
      </c>
      <c r="B536" s="3" t="inlineStr">
        <is>
          <t>중심상업지역</t>
        </is>
      </c>
      <c r="C536" s="3" t="inlineStr">
        <is>
          <t>대</t>
        </is>
      </c>
      <c r="D536" s="3" t="inlineStr">
        <is>
          <t>창고</t>
        </is>
      </c>
      <c r="E536" s="3" t="inlineStr">
        <is>
          <t>월세</t>
        </is>
      </c>
      <c r="F536" s="4" t="n">
        <v>1500</v>
      </c>
      <c r="G536" s="4" t="n">
        <v>130</v>
      </c>
      <c r="H536" s="4" t="n">
        <v>998</v>
      </c>
      <c r="I536" s="4" t="n">
        <v>302</v>
      </c>
      <c r="J536" s="5" t="n">
        <v>0.4</v>
      </c>
      <c r="K536" s="4" t="n">
        <v>197</v>
      </c>
      <c r="L536" s="4" t="n">
        <v>60</v>
      </c>
      <c r="M536" s="5" t="n">
        <v>2.2</v>
      </c>
      <c r="N536" s="3" t="inlineStr">
        <is>
          <t>1</t>
        </is>
      </c>
      <c r="O536" s="3" t="inlineStr">
        <is>
          <t>-</t>
        </is>
      </c>
      <c r="P536" s="3" t="inlineStr">
        <is>
          <t>오창,창고,신축</t>
        </is>
      </c>
      <c r="Q536" s="6">
        <f>HYPERLINK("https://fin.land.naver.com/articles/2648155119", "매물Link")</f>
        <v/>
      </c>
      <c r="R536" s="6">
        <f>HYPERLINK("https://map.naver.com/p/search/세종특별자치시 나성동 829", "지도Link")</f>
        <v/>
      </c>
      <c r="S536" s="6">
        <f>HYPERLINK("http://www.eum.go.kr/web/ar/lu/luLandDet.jsp?pnu=3611010700108290000&amp;isNoScr=script&amp;mode=search", "토지이음")</f>
        <v/>
      </c>
      <c r="T536" s="3" t="inlineStr">
        <is>
          <t>LBA리치아노합동사무소</t>
        </is>
      </c>
      <c r="U536" s="3" t="n">
        <v>1</v>
      </c>
      <c r="V536" s="3" t="inlineStr">
        <is>
          <t>공동주택 주민공동시설</t>
        </is>
      </c>
      <c r="W536" s="4" t="n">
        <v>197</v>
      </c>
      <c r="X536" s="3" t="inlineStr">
        <is>
          <t>철근콘크리트구조</t>
        </is>
      </c>
      <c r="Y536" s="3" t="inlineStr">
        <is>
          <t>공동주택</t>
        </is>
      </c>
      <c r="Z536" s="3" t="inlineStr">
        <is>
          <t>-m</t>
        </is>
      </c>
      <c r="AA536" s="3" t="inlineStr">
        <is>
          <t>2021-08-20</t>
        </is>
      </c>
    </row>
    <row r="537">
      <c r="A537" s="3" t="inlineStr">
        <is>
          <t>세종특별자치시 나성동 829</t>
        </is>
      </c>
      <c r="B537" s="3" t="inlineStr">
        <is>
          <t>중심상업지역</t>
        </is>
      </c>
      <c r="C537" s="3" t="inlineStr">
        <is>
          <t>대</t>
        </is>
      </c>
      <c r="D537" s="3" t="inlineStr">
        <is>
          <t>공장</t>
        </is>
      </c>
      <c r="E537" s="3" t="inlineStr">
        <is>
          <t>월세</t>
        </is>
      </c>
      <c r="F537" s="4" t="n">
        <v>2000</v>
      </c>
      <c r="G537" s="4" t="n">
        <v>180</v>
      </c>
      <c r="H537" s="4" t="n">
        <v>1404</v>
      </c>
      <c r="I537" s="4" t="n">
        <v>425</v>
      </c>
      <c r="J537" s="5" t="n">
        <v>0.4</v>
      </c>
      <c r="K537" s="4" t="n">
        <v>247</v>
      </c>
      <c r="L537" s="4" t="n">
        <v>75</v>
      </c>
      <c r="M537" s="5" t="n">
        <v>2.4</v>
      </c>
      <c r="N537" s="3" t="inlineStr">
        <is>
          <t>1</t>
        </is>
      </c>
      <c r="O537" s="3" t="inlineStr">
        <is>
          <t>-</t>
        </is>
      </c>
      <c r="P537" s="3" t="inlineStr">
        <is>
          <t>nan</t>
        </is>
      </c>
      <c r="Q537" s="6">
        <f>HYPERLINK("https://fin.land.naver.com/articles/2648194183", "매물Link")</f>
        <v/>
      </c>
      <c r="R537" s="6">
        <f>HYPERLINK("https://map.naver.com/p/search/세종특별자치시 나성동 829", "지도Link")</f>
        <v/>
      </c>
      <c r="S537" s="6">
        <f>HYPERLINK("http://www.eum.go.kr/web/ar/lu/luLandDet.jsp?pnu=3611010700108290000&amp;isNoScr=script&amp;mode=search", "토지이음")</f>
        <v/>
      </c>
      <c r="T537" s="3" t="inlineStr">
        <is>
          <t>공장365</t>
        </is>
      </c>
      <c r="U537" s="3" t="n">
        <v>1</v>
      </c>
      <c r="V537" s="3" t="inlineStr">
        <is>
          <t>공동주택 보육시설</t>
        </is>
      </c>
      <c r="W537" s="4" t="n">
        <v>247</v>
      </c>
      <c r="X537" s="3" t="inlineStr">
        <is>
          <t>철근콘크리트구조</t>
        </is>
      </c>
      <c r="Y537" s="3" t="inlineStr">
        <is>
          <t>공동주택</t>
        </is>
      </c>
      <c r="Z537" s="3" t="inlineStr">
        <is>
          <t>-m</t>
        </is>
      </c>
      <c r="AA537" s="3" t="inlineStr">
        <is>
          <t>2021-08-20</t>
        </is>
      </c>
    </row>
    <row r="538">
      <c r="A538" s="3" t="inlineStr">
        <is>
          <t>세종특별자치시 나성동 829</t>
        </is>
      </c>
      <c r="B538" s="3" t="inlineStr">
        <is>
          <t>중심상업지역</t>
        </is>
      </c>
      <c r="C538" s="3" t="inlineStr">
        <is>
          <t>대</t>
        </is>
      </c>
      <c r="D538" s="3" t="inlineStr">
        <is>
          <t>공장</t>
        </is>
      </c>
      <c r="E538" s="3" t="inlineStr">
        <is>
          <t>월세</t>
        </is>
      </c>
      <c r="F538" s="4" t="n">
        <v>3000</v>
      </c>
      <c r="G538" s="4" t="n">
        <v>300</v>
      </c>
      <c r="H538" s="4" t="n">
        <v>4665</v>
      </c>
      <c r="I538" s="4" t="n">
        <v>1411</v>
      </c>
      <c r="J538" s="5" t="n">
        <v>0.2</v>
      </c>
      <c r="K538" s="4" t="n">
        <v>495</v>
      </c>
      <c r="L538" s="4" t="n">
        <v>150</v>
      </c>
      <c r="M538" s="5" t="n">
        <v>2</v>
      </c>
      <c r="N538" s="3" t="inlineStr">
        <is>
          <t>1</t>
        </is>
      </c>
      <c r="O538" s="3" t="inlineStr">
        <is>
          <t>-</t>
        </is>
      </c>
      <c r="P538" s="3" t="inlineStr">
        <is>
          <t>nan</t>
        </is>
      </c>
      <c r="Q538" s="6">
        <f>HYPERLINK("https://fin.land.naver.com/articles/2648477131", "매물Link")</f>
        <v/>
      </c>
      <c r="R538" s="6">
        <f>HYPERLINK("https://map.naver.com/p/search/세종특별자치시 나성동 829", "지도Link")</f>
        <v/>
      </c>
      <c r="S538" s="6">
        <f>HYPERLINK("http://www.eum.go.kr/web/ar/lu/luLandDet.jsp?pnu=3611010700108290000&amp;isNoScr=script&amp;mode=search", "토지이음")</f>
        <v/>
      </c>
      <c r="T538" s="3" t="inlineStr">
        <is>
          <t>공장365</t>
        </is>
      </c>
      <c r="U538" s="3" t="n">
        <v>1</v>
      </c>
      <c r="V538" s="3" t="inlineStr">
        <is>
          <t>전망공간 기계실</t>
        </is>
      </c>
      <c r="W538" s="4" t="n">
        <v>495</v>
      </c>
      <c r="X538" s="3" t="inlineStr">
        <is>
          <t>철근콘크리트구조</t>
        </is>
      </c>
      <c r="Y538" s="3" t="inlineStr">
        <is>
          <t>제2종근린생활시설</t>
        </is>
      </c>
      <c r="Z538" s="3" t="inlineStr">
        <is>
          <t>-m</t>
        </is>
      </c>
      <c r="AA538" s="3" t="inlineStr">
        <is>
          <t>2021-08-20</t>
        </is>
      </c>
    </row>
    <row r="539">
      <c r="A539" s="3" t="inlineStr">
        <is>
          <t>세종특별자치시 나성동 829</t>
        </is>
      </c>
      <c r="B539" s="3" t="inlineStr">
        <is>
          <t>중심상업지역</t>
        </is>
      </c>
      <c r="C539" s="3" t="inlineStr">
        <is>
          <t>대</t>
        </is>
      </c>
      <c r="D539" s="3" t="inlineStr">
        <is>
          <t>창고</t>
        </is>
      </c>
      <c r="E539" s="3" t="inlineStr">
        <is>
          <t>월세</t>
        </is>
      </c>
      <c r="F539" s="4" t="n">
        <v>1500</v>
      </c>
      <c r="G539" s="4" t="n">
        <v>150</v>
      </c>
      <c r="H539" s="4" t="n">
        <v>906</v>
      </c>
      <c r="I539" s="4" t="n">
        <v>274</v>
      </c>
      <c r="J539" s="5" t="n">
        <v>0.5</v>
      </c>
      <c r="K539" s="4" t="n">
        <v>180</v>
      </c>
      <c r="L539" s="4" t="n">
        <v>54</v>
      </c>
      <c r="M539" s="5" t="n">
        <v>2.8</v>
      </c>
      <c r="N539" s="3" t="inlineStr">
        <is>
          <t>1</t>
        </is>
      </c>
      <c r="O539" s="3" t="inlineStr">
        <is>
          <t>-</t>
        </is>
      </c>
      <c r="P539" s="3" t="inlineStr">
        <is>
          <t>오창,창고,신축,단독</t>
        </is>
      </c>
      <c r="Q539" s="6">
        <f>HYPERLINK("https://fin.land.naver.com/articles/2648843041", "매물Link")</f>
        <v/>
      </c>
      <c r="R539" s="6">
        <f>HYPERLINK("https://map.naver.com/p/search/세종특별자치시 나성동 829", "지도Link")</f>
        <v/>
      </c>
      <c r="S539" s="6">
        <f>HYPERLINK("http://www.eum.go.kr/web/ar/lu/luLandDet.jsp?pnu=3611010700108290000&amp;isNoScr=script&amp;mode=search", "토지이음")</f>
        <v/>
      </c>
      <c r="T539" s="3" t="inlineStr">
        <is>
          <t>LBA리치아노합동사무소</t>
        </is>
      </c>
      <c r="U539" s="3" t="n">
        <v>1</v>
      </c>
      <c r="V539" s="3" t="inlineStr">
        <is>
          <t>701</t>
        </is>
      </c>
      <c r="W539" s="4" t="n">
        <v>180</v>
      </c>
      <c r="X539" s="3" t="inlineStr">
        <is>
          <t>철근콘크리트구조</t>
        </is>
      </c>
      <c r="Y539" s="3" t="inlineStr">
        <is>
          <t>판매시설</t>
        </is>
      </c>
      <c r="Z539" s="3" t="inlineStr">
        <is>
          <t>-m</t>
        </is>
      </c>
      <c r="AA539" s="3" t="inlineStr">
        <is>
          <t>2021-08-20</t>
        </is>
      </c>
    </row>
    <row r="540">
      <c r="A540" s="3" t="inlineStr">
        <is>
          <t>세종특별자치시 나성동 829</t>
        </is>
      </c>
      <c r="B540" s="3" t="inlineStr">
        <is>
          <t>중심상업지역</t>
        </is>
      </c>
      <c r="C540" s="3" t="inlineStr">
        <is>
          <t>대</t>
        </is>
      </c>
      <c r="D540" s="3" t="inlineStr">
        <is>
          <t>공장</t>
        </is>
      </c>
      <c r="E540" s="3" t="inlineStr">
        <is>
          <t>월세</t>
        </is>
      </c>
      <c r="F540" s="4" t="n">
        <v>3000</v>
      </c>
      <c r="G540" s="4" t="n">
        <v>300</v>
      </c>
      <c r="H540" s="4" t="n">
        <v>1802</v>
      </c>
      <c r="I540" s="4" t="n">
        <v>545</v>
      </c>
      <c r="J540" s="5" t="n">
        <v>0.6</v>
      </c>
      <c r="K540" s="4" t="n">
        <v>494</v>
      </c>
      <c r="L540" s="4" t="n">
        <v>149</v>
      </c>
      <c r="M540" s="5" t="n">
        <v>2</v>
      </c>
      <c r="N540" s="3" t="inlineStr">
        <is>
          <t>1</t>
        </is>
      </c>
      <c r="O540" s="3" t="inlineStr">
        <is>
          <t>-</t>
        </is>
      </c>
      <c r="P540" s="3" t="inlineStr">
        <is>
          <t>오창,전력200kw,호이스트3톤,제조업소및창고</t>
        </is>
      </c>
      <c r="Q540" s="6">
        <f>HYPERLINK("https://fin.land.naver.com/articles/2648847034", "매물Link")</f>
        <v/>
      </c>
      <c r="R540" s="6">
        <f>HYPERLINK("https://map.naver.com/p/search/세종특별자치시 나성동 829", "지도Link")</f>
        <v/>
      </c>
      <c r="S540" s="6">
        <f>HYPERLINK("http://www.eum.go.kr/web/ar/lu/luLandDet.jsp?pnu=3611010700108290000&amp;isNoScr=script&amp;mode=search", "토지이음")</f>
        <v/>
      </c>
      <c r="T540" s="3" t="inlineStr">
        <is>
          <t>LBA리치아노합동사무소</t>
        </is>
      </c>
      <c r="U540" s="3" t="n">
        <v>1</v>
      </c>
      <c r="V540" s="3" t="inlineStr">
        <is>
          <t>전망공간 기계실</t>
        </is>
      </c>
      <c r="W540" s="4" t="n">
        <v>494</v>
      </c>
      <c r="X540" s="3" t="inlineStr">
        <is>
          <t>철근콘크리트구조</t>
        </is>
      </c>
      <c r="Y540" s="3" t="inlineStr">
        <is>
          <t>제2종근린생활시설</t>
        </is>
      </c>
      <c r="Z540" s="3" t="inlineStr">
        <is>
          <t>-m</t>
        </is>
      </c>
      <c r="AA540" s="3" t="inlineStr">
        <is>
          <t>2021-08-20</t>
        </is>
      </c>
    </row>
    <row r="541">
      <c r="A541" s="3" t="inlineStr">
        <is>
          <t>세종특별자치시 나성동 829</t>
        </is>
      </c>
      <c r="B541" s="3" t="inlineStr">
        <is>
          <t>중심상업지역</t>
        </is>
      </c>
      <c r="C541" s="3" t="inlineStr">
        <is>
          <t>대</t>
        </is>
      </c>
      <c r="D541" s="3" t="inlineStr">
        <is>
          <t>공장</t>
        </is>
      </c>
      <c r="E541" s="3" t="inlineStr">
        <is>
          <t>월세</t>
        </is>
      </c>
      <c r="F541" s="4" t="n">
        <v>3500</v>
      </c>
      <c r="G541" s="4" t="n">
        <v>345</v>
      </c>
      <c r="H541" s="4" t="n">
        <v>1440</v>
      </c>
      <c r="I541" s="4" t="n">
        <v>436</v>
      </c>
      <c r="J541" s="5" t="n">
        <v>0.8</v>
      </c>
      <c r="K541" s="4" t="n">
        <v>495</v>
      </c>
      <c r="L541" s="4" t="n">
        <v>150</v>
      </c>
      <c r="M541" s="5" t="n">
        <v>2.3</v>
      </c>
      <c r="N541" s="3" t="inlineStr">
        <is>
          <t>1</t>
        </is>
      </c>
      <c r="O541" s="3" t="inlineStr">
        <is>
          <t>-</t>
        </is>
      </c>
      <c r="P541" s="3" t="inlineStr">
        <is>
          <t>오창i,c 10분 오창과학단지생활권 단독공장등록가</t>
        </is>
      </c>
      <c r="Q541" s="6">
        <f>HYPERLINK("https://fin.land.naver.com/articles/2648978273", "매물Link")</f>
        <v/>
      </c>
      <c r="R541" s="6">
        <f>HYPERLINK("https://map.naver.com/p/search/세종특별자치시 나성동 829", "지도Link")</f>
        <v/>
      </c>
      <c r="S541" s="6">
        <f>HYPERLINK("http://www.eum.go.kr/web/ar/lu/luLandDet.jsp?pnu=3611010700108290000&amp;isNoScr=script&amp;mode=search", "토지이음")</f>
        <v/>
      </c>
      <c r="T541" s="3" t="inlineStr">
        <is>
          <t>공장365</t>
        </is>
      </c>
      <c r="U541" s="3" t="n">
        <v>1</v>
      </c>
      <c r="V541" s="3" t="inlineStr">
        <is>
          <t>전망공간 기계실</t>
        </is>
      </c>
      <c r="W541" s="4" t="n">
        <v>495</v>
      </c>
      <c r="X541" s="3" t="inlineStr">
        <is>
          <t>철근콘크리트구조</t>
        </is>
      </c>
      <c r="Y541" s="3" t="inlineStr">
        <is>
          <t>제2종근린생활시설</t>
        </is>
      </c>
      <c r="Z541" s="3" t="inlineStr">
        <is>
          <t>-m</t>
        </is>
      </c>
      <c r="AA541" s="3" t="inlineStr">
        <is>
          <t>2021-08-20</t>
        </is>
      </c>
    </row>
    <row r="542">
      <c r="A542" s="3" t="inlineStr">
        <is>
          <t>세종특별자치시 나성동 829</t>
        </is>
      </c>
      <c r="B542" s="3" t="inlineStr">
        <is>
          <t>중심상업지역</t>
        </is>
      </c>
      <c r="C542" s="3" t="inlineStr">
        <is>
          <t>대</t>
        </is>
      </c>
      <c r="D542" s="3" t="inlineStr">
        <is>
          <t>공장</t>
        </is>
      </c>
      <c r="E542" s="3" t="inlineStr">
        <is>
          <t>매매</t>
        </is>
      </c>
      <c r="F542" s="4" t="n">
        <v>40000</v>
      </c>
      <c r="G542" s="4" t="n">
        <v>0</v>
      </c>
      <c r="H542" s="4" t="n">
        <v>475</v>
      </c>
      <c r="I542" s="4" t="n">
        <v>144</v>
      </c>
      <c r="J542" s="5" t="n">
        <v>277.8</v>
      </c>
      <c r="K542" s="4" t="n">
        <v>164</v>
      </c>
      <c r="L542" s="4" t="n">
        <v>50</v>
      </c>
      <c r="M542" s="5" t="n">
        <v>800</v>
      </c>
      <c r="N542" s="3" t="inlineStr">
        <is>
          <t>1</t>
        </is>
      </c>
      <c r="O542" s="3" t="inlineStr">
        <is>
          <t>-</t>
        </is>
      </c>
      <c r="P542" s="3" t="inlineStr">
        <is>
          <t>6M도로 접한 위치의 신축급 소형공장매매</t>
        </is>
      </c>
      <c r="Q542" s="6">
        <f>HYPERLINK("https://fin.land.naver.com/articles/2649015503", "매물Link")</f>
        <v/>
      </c>
      <c r="R542" s="6">
        <f>HYPERLINK("https://map.naver.com/p/search/세종특별자치시 나성동 829", "지도Link")</f>
        <v/>
      </c>
      <c r="S542" s="6">
        <f>HYPERLINK("http://www.eum.go.kr/web/ar/lu/luLandDet.jsp?pnu=3611010700108290000&amp;isNoScr=script&amp;mode=search", "토지이음")</f>
        <v/>
      </c>
      <c r="T542" s="3" t="inlineStr">
        <is>
          <t>더원</t>
        </is>
      </c>
      <c r="U542" s="3" t="n">
        <v>1</v>
      </c>
      <c r="V542" s="3" t="inlineStr">
        <is>
          <t>공동주택 관리사무소</t>
        </is>
      </c>
      <c r="W542" s="4" t="n">
        <v>164</v>
      </c>
      <c r="X542" s="3" t="inlineStr">
        <is>
          <t>철근콘크리트구조</t>
        </is>
      </c>
      <c r="Y542" s="3" t="inlineStr">
        <is>
          <t>공동주택</t>
        </is>
      </c>
      <c r="Z542" s="3" t="inlineStr">
        <is>
          <t>-m</t>
        </is>
      </c>
      <c r="AA542" s="3" t="inlineStr">
        <is>
          <t>2021-08-20</t>
        </is>
      </c>
    </row>
    <row r="543">
      <c r="A543" s="3" t="inlineStr">
        <is>
          <t>세종특별자치시 나성동 829</t>
        </is>
      </c>
      <c r="B543" s="3" t="inlineStr">
        <is>
          <t>중심상업지역</t>
        </is>
      </c>
      <c r="C543" s="3" t="inlineStr">
        <is>
          <t>대</t>
        </is>
      </c>
      <c r="D543" s="3" t="inlineStr">
        <is>
          <t>공장</t>
        </is>
      </c>
      <c r="E543" s="3" t="inlineStr">
        <is>
          <t>매매</t>
        </is>
      </c>
      <c r="F543" s="4" t="n">
        <v>1550000</v>
      </c>
      <c r="G543" s="4" t="n">
        <v>0</v>
      </c>
      <c r="H543" s="4" t="n">
        <v>8081</v>
      </c>
      <c r="I543" s="4" t="n">
        <v>2445</v>
      </c>
      <c r="J543" s="5" t="n">
        <v>633.9</v>
      </c>
      <c r="K543" s="4" t="n">
        <v>9031</v>
      </c>
      <c r="L543" s="4" t="n">
        <v>2732</v>
      </c>
      <c r="M543" s="5" t="n">
        <v>567.3</v>
      </c>
      <c r="N543" s="3" t="inlineStr">
        <is>
          <t>4</t>
        </is>
      </c>
      <c r="O543" s="3" t="inlineStr">
        <is>
          <t>-</t>
        </is>
      </c>
      <c r="P543" s="3" t="inlineStr">
        <is>
          <t>오창IC인근으로 대형차 진출입 편리한 오창산업단지의 대형공장</t>
        </is>
      </c>
      <c r="Q543" s="6">
        <f>HYPERLINK("https://fin.land.naver.com/articles/2649085213", "매물Link")</f>
        <v/>
      </c>
      <c r="R543" s="6">
        <f>HYPERLINK("https://map.naver.com/p/search/세종특별자치시 나성동 829", "지도Link")</f>
        <v/>
      </c>
      <c r="S543" s="6">
        <f>HYPERLINK("http://www.eum.go.kr/web/ar/lu/luLandDet.jsp?pnu=3611010700108290000&amp;isNoScr=script&amp;mode=search", "토지이음")</f>
        <v/>
      </c>
      <c r="T543" s="3" t="inlineStr">
        <is>
          <t>(주)미르</t>
        </is>
      </c>
      <c r="U543" s="3" t="n">
        <v>1</v>
      </c>
      <c r="V543" s="3" t="inlineStr">
        <is>
          <t>603</t>
        </is>
      </c>
      <c r="W543" s="4" t="n">
        <v>9031</v>
      </c>
      <c r="X543" s="3" t="inlineStr">
        <is>
          <t>철근콘크리트구조</t>
        </is>
      </c>
      <c r="Y543" s="3" t="inlineStr">
        <is>
          <t>공동주택</t>
        </is>
      </c>
      <c r="Z543" s="3" t="inlineStr">
        <is>
          <t>94.45m</t>
        </is>
      </c>
      <c r="AA543" s="3" t="inlineStr">
        <is>
          <t>2021-08-20</t>
        </is>
      </c>
    </row>
    <row r="544">
      <c r="A544" s="3" t="inlineStr">
        <is>
          <t>세종특별자치시 나성동 829</t>
        </is>
      </c>
      <c r="B544" s="3" t="inlineStr">
        <is>
          <t>중심상업지역</t>
        </is>
      </c>
      <c r="C544" s="3" t="inlineStr">
        <is>
          <t>대</t>
        </is>
      </c>
      <c r="D544" s="3" t="inlineStr">
        <is>
          <t>공장</t>
        </is>
      </c>
      <c r="E544" s="3" t="inlineStr">
        <is>
          <t>매매</t>
        </is>
      </c>
      <c r="F544" s="4" t="n">
        <v>125000</v>
      </c>
      <c r="G544" s="4" t="n">
        <v>0</v>
      </c>
      <c r="H544" s="4" t="n">
        <v>1815</v>
      </c>
      <c r="I544" s="4" t="n">
        <v>549</v>
      </c>
      <c r="J544" s="5" t="n">
        <v>227.7</v>
      </c>
      <c r="K544" s="4" t="n">
        <v>432</v>
      </c>
      <c r="L544" s="4" t="n">
        <v>131</v>
      </c>
      <c r="M544" s="5" t="n">
        <v>954.2</v>
      </c>
      <c r="N544" s="3" t="inlineStr">
        <is>
          <t>1</t>
        </is>
      </c>
      <c r="O544" s="3" t="inlineStr">
        <is>
          <t>-</t>
        </is>
      </c>
      <c r="P544" s="3" t="inlineStr">
        <is>
          <t>오창과학단지 인근 공장 매매 민원발생없는곳 저렴한 매매</t>
        </is>
      </c>
      <c r="Q544" s="6">
        <f>HYPERLINK("https://fin.land.naver.com/articles/2648069144", "매물Link")</f>
        <v/>
      </c>
      <c r="R544" s="6">
        <f>HYPERLINK("https://map.naver.com/p/search/세종특별자치시 나성동 829", "지도Link")</f>
        <v/>
      </c>
      <c r="S544" s="6">
        <f>HYPERLINK("http://www.eum.go.kr/web/ar/lu/luLandDet.jsp?pnu=3611010700108290000&amp;isNoScr=script&amp;mode=search", "토지이음")</f>
        <v/>
      </c>
      <c r="T544" s="3" t="inlineStr">
        <is>
          <t>옥산리버자이</t>
        </is>
      </c>
      <c r="U544" s="3" t="n">
        <v>1</v>
      </c>
      <c r="V544" s="3" t="inlineStr">
        <is>
          <t>전망공간 기계실</t>
        </is>
      </c>
      <c r="W544" s="4" t="n">
        <v>432</v>
      </c>
      <c r="X544" s="3" t="inlineStr">
        <is>
          <t>철근콘크리트구조</t>
        </is>
      </c>
      <c r="Y544" s="3" t="inlineStr">
        <is>
          <t>제2종근린생활시설</t>
        </is>
      </c>
      <c r="Z544" s="3" t="inlineStr">
        <is>
          <t>-m</t>
        </is>
      </c>
      <c r="AA544" s="3" t="inlineStr">
        <is>
          <t>2021-08-20</t>
        </is>
      </c>
    </row>
    <row r="545">
      <c r="A545" s="3" t="inlineStr">
        <is>
          <t>세종특별자치시 나성동 829</t>
        </is>
      </c>
      <c r="B545" s="3" t="inlineStr">
        <is>
          <t>중심상업지역</t>
        </is>
      </c>
      <c r="C545" s="3" t="inlineStr">
        <is>
          <t>대</t>
        </is>
      </c>
      <c r="D545" s="3" t="inlineStr">
        <is>
          <t>공장</t>
        </is>
      </c>
      <c r="E545" s="3" t="inlineStr">
        <is>
          <t>월세</t>
        </is>
      </c>
      <c r="F545" s="4" t="n">
        <v>2000</v>
      </c>
      <c r="G545" s="4" t="n">
        <v>338</v>
      </c>
      <c r="H545" s="4" t="n">
        <v>1251</v>
      </c>
      <c r="I545" s="4" t="n">
        <v>378</v>
      </c>
      <c r="J545" s="5" t="n">
        <v>0.9</v>
      </c>
      <c r="K545" s="4" t="n">
        <v>430</v>
      </c>
      <c r="L545" s="4" t="n">
        <v>130</v>
      </c>
      <c r="M545" s="5" t="n">
        <v>2.6</v>
      </c>
      <c r="N545" s="3" t="inlineStr">
        <is>
          <t>1</t>
        </is>
      </c>
      <c r="O545" s="3" t="inlineStr">
        <is>
          <t>-</t>
        </is>
      </c>
      <c r="P545" s="3" t="inlineStr">
        <is>
          <t>오창IC,제조업소및창고</t>
        </is>
      </c>
      <c r="Q545" s="6">
        <f>HYPERLINK("https://fin.land.naver.com/articles/2649530708", "매물Link")</f>
        <v/>
      </c>
      <c r="R545" s="6">
        <f>HYPERLINK("https://map.naver.com/p/search/세종특별자치시 나성동 829", "지도Link")</f>
        <v/>
      </c>
      <c r="S545" s="6">
        <f>HYPERLINK("http://www.eum.go.kr/web/ar/lu/luLandDet.jsp?pnu=3611010700108290000&amp;isNoScr=script&amp;mode=search", "토지이음")</f>
        <v/>
      </c>
      <c r="T545" s="3" t="inlineStr">
        <is>
          <t>LBA리치아노합동사무소</t>
        </is>
      </c>
      <c r="U545" s="3" t="n">
        <v>1</v>
      </c>
      <c r="V545" s="3" t="inlineStr">
        <is>
          <t>전망공간 기계실</t>
        </is>
      </c>
      <c r="W545" s="4" t="n">
        <v>430</v>
      </c>
      <c r="X545" s="3" t="inlineStr">
        <is>
          <t>철근콘크리트구조</t>
        </is>
      </c>
      <c r="Y545" s="3" t="inlineStr">
        <is>
          <t>제2종근린생활시설</t>
        </is>
      </c>
      <c r="Z545" s="3" t="inlineStr">
        <is>
          <t>-m</t>
        </is>
      </c>
      <c r="AA545" s="3" t="inlineStr">
        <is>
          <t>2021-08-20</t>
        </is>
      </c>
    </row>
    <row r="546">
      <c r="A546" s="3" t="inlineStr">
        <is>
          <t>세종특별자치시 나성동 829</t>
        </is>
      </c>
      <c r="B546" s="3" t="inlineStr">
        <is>
          <t>중심상업지역</t>
        </is>
      </c>
      <c r="C546" s="3" t="inlineStr">
        <is>
          <t>대</t>
        </is>
      </c>
      <c r="D546" s="3" t="inlineStr">
        <is>
          <t>공장</t>
        </is>
      </c>
      <c r="E546" s="3" t="inlineStr">
        <is>
          <t>월세</t>
        </is>
      </c>
      <c r="F546" s="4" t="n">
        <v>3000</v>
      </c>
      <c r="G546" s="4" t="n">
        <v>330</v>
      </c>
      <c r="H546" s="4" t="n">
        <v>2282</v>
      </c>
      <c r="I546" s="4" t="n">
        <v>690</v>
      </c>
      <c r="J546" s="5" t="n">
        <v>0.5</v>
      </c>
      <c r="K546" s="4" t="n">
        <v>501</v>
      </c>
      <c r="L546" s="4" t="n">
        <v>152</v>
      </c>
      <c r="M546" s="5" t="n">
        <v>2.2</v>
      </c>
      <c r="N546" s="3" t="inlineStr">
        <is>
          <t>1</t>
        </is>
      </c>
      <c r="O546" s="3" t="inlineStr">
        <is>
          <t>-</t>
        </is>
      </c>
      <c r="P546" s="3" t="inlineStr">
        <is>
          <t>오창,공장,호이스트3톤,별도사무동</t>
        </is>
      </c>
      <c r="Q546" s="6">
        <f>HYPERLINK("https://fin.land.naver.com/articles/2649532221", "매물Link")</f>
        <v/>
      </c>
      <c r="R546" s="6">
        <f>HYPERLINK("https://map.naver.com/p/search/세종특별자치시 나성동 829", "지도Link")</f>
        <v/>
      </c>
      <c r="S546" s="6">
        <f>HYPERLINK("http://www.eum.go.kr/web/ar/lu/luLandDet.jsp?pnu=3611010700108290000&amp;isNoScr=script&amp;mode=search", "토지이음")</f>
        <v/>
      </c>
      <c r="T546" s="3" t="inlineStr">
        <is>
          <t>LBA리치아노합동사무소</t>
        </is>
      </c>
      <c r="U546" s="3" t="n">
        <v>1</v>
      </c>
      <c r="V546" s="3" t="inlineStr">
        <is>
          <t>전망공간 기계실</t>
        </is>
      </c>
      <c r="W546" s="4" t="n">
        <v>501</v>
      </c>
      <c r="X546" s="3" t="inlineStr">
        <is>
          <t>철근콘크리트구조</t>
        </is>
      </c>
      <c r="Y546" s="3" t="inlineStr">
        <is>
          <t>제2종근린생활시설</t>
        </is>
      </c>
      <c r="Z546" s="3" t="inlineStr">
        <is>
          <t>-m</t>
        </is>
      </c>
      <c r="AA546" s="3" t="inlineStr">
        <is>
          <t>2021-08-20</t>
        </is>
      </c>
    </row>
    <row r="547">
      <c r="A547" s="3" t="inlineStr">
        <is>
          <t>세종특별자치시 나성동 829</t>
        </is>
      </c>
      <c r="B547" s="3" t="inlineStr">
        <is>
          <t>중심상업지역</t>
        </is>
      </c>
      <c r="C547" s="3" t="inlineStr">
        <is>
          <t>대</t>
        </is>
      </c>
      <c r="D547" s="3" t="inlineStr">
        <is>
          <t>공장</t>
        </is>
      </c>
      <c r="E547" s="3" t="inlineStr">
        <is>
          <t>월세</t>
        </is>
      </c>
      <c r="F547" s="4" t="n">
        <v>3500</v>
      </c>
      <c r="G547" s="4" t="n">
        <v>350</v>
      </c>
      <c r="H547" s="4" t="n">
        <v>2390</v>
      </c>
      <c r="I547" s="4" t="n">
        <v>723</v>
      </c>
      <c r="J547" s="5" t="n">
        <v>0.5</v>
      </c>
      <c r="K547" s="4" t="n">
        <v>499</v>
      </c>
      <c r="L547" s="4" t="n">
        <v>151</v>
      </c>
      <c r="M547" s="5" t="n">
        <v>2.3</v>
      </c>
      <c r="N547" s="3" t="inlineStr">
        <is>
          <t>1</t>
        </is>
      </c>
      <c r="O547" s="3" t="inlineStr">
        <is>
          <t>-</t>
        </is>
      </c>
      <c r="P547" s="3" t="inlineStr">
        <is>
          <t>오창,제조업소및창고,호이스트5톤</t>
        </is>
      </c>
      <c r="Q547" s="6">
        <f>HYPERLINK("https://fin.land.naver.com/articles/2646073654", "매물Link")</f>
        <v/>
      </c>
      <c r="R547" s="6">
        <f>HYPERLINK("https://map.naver.com/p/search/세종특별자치시 나성동 829", "지도Link")</f>
        <v/>
      </c>
      <c r="S547" s="6">
        <f>HYPERLINK("http://www.eum.go.kr/web/ar/lu/luLandDet.jsp?pnu=3611010700108290000&amp;isNoScr=script&amp;mode=search", "토지이음")</f>
        <v/>
      </c>
      <c r="T547" s="3" t="inlineStr">
        <is>
          <t>LBA리치아노합동사무소</t>
        </is>
      </c>
      <c r="U547" s="3" t="n">
        <v>1</v>
      </c>
      <c r="V547" s="3" t="inlineStr">
        <is>
          <t>전망공간 기계실</t>
        </is>
      </c>
      <c r="W547" s="4" t="n">
        <v>499</v>
      </c>
      <c r="X547" s="3" t="inlineStr">
        <is>
          <t>철근콘크리트구조</t>
        </is>
      </c>
      <c r="Y547" s="3" t="inlineStr">
        <is>
          <t>제2종근린생활시설</t>
        </is>
      </c>
      <c r="Z547" s="3" t="inlineStr">
        <is>
          <t>-m</t>
        </is>
      </c>
      <c r="AA547" s="3" t="inlineStr">
        <is>
          <t>2021-08-20</t>
        </is>
      </c>
    </row>
    <row r="548">
      <c r="A548" s="3" t="inlineStr">
        <is>
          <t>세종특별자치시 나성동 829</t>
        </is>
      </c>
      <c r="B548" s="3" t="inlineStr">
        <is>
          <t>중심상업지역</t>
        </is>
      </c>
      <c r="C548" s="3" t="inlineStr">
        <is>
          <t>대</t>
        </is>
      </c>
      <c r="D548" s="3" t="inlineStr">
        <is>
          <t>공장</t>
        </is>
      </c>
      <c r="E548" s="3" t="inlineStr">
        <is>
          <t>월세</t>
        </is>
      </c>
      <c r="F548" s="4" t="n">
        <v>1500</v>
      </c>
      <c r="G548" s="4" t="n">
        <v>150</v>
      </c>
      <c r="H548" s="4" t="n">
        <v>4193</v>
      </c>
      <c r="I548" s="4" t="n">
        <v>1268</v>
      </c>
      <c r="J548" s="5" t="n">
        <v>0.1</v>
      </c>
      <c r="K548" s="4" t="n">
        <v>892</v>
      </c>
      <c r="L548" s="4" t="n">
        <v>270</v>
      </c>
      <c r="M548" s="5" t="n">
        <v>0.6</v>
      </c>
      <c r="N548" s="3" t="inlineStr">
        <is>
          <t>1</t>
        </is>
      </c>
      <c r="O548" s="3" t="inlineStr">
        <is>
          <t>-</t>
        </is>
      </c>
      <c r="P548" s="3" t="inlineStr">
        <is>
          <t>오창,2층공장및창고</t>
        </is>
      </c>
      <c r="Q548" s="6">
        <f>HYPERLINK("https://fin.land.naver.com/articles/2646057636", "매물Link")</f>
        <v/>
      </c>
      <c r="R548" s="6">
        <f>HYPERLINK("https://map.naver.com/p/search/세종특별자치시 나성동 829", "지도Link")</f>
        <v/>
      </c>
      <c r="S548" s="6">
        <f>HYPERLINK("http://www.eum.go.kr/web/ar/lu/luLandDet.jsp?pnu=3611010700108290000&amp;isNoScr=script&amp;mode=search", "토지이음")</f>
        <v/>
      </c>
      <c r="T548" s="3" t="inlineStr">
        <is>
          <t>LBA리치아노합동사무소</t>
        </is>
      </c>
      <c r="U548" s="3" t="n">
        <v>1</v>
      </c>
      <c r="V548" s="3" t="inlineStr">
        <is>
          <t>전망공간 지하주차장</t>
        </is>
      </c>
      <c r="W548" s="4" t="n">
        <v>892</v>
      </c>
      <c r="X548" s="3" t="inlineStr">
        <is>
          <t>철근콘크리트구조</t>
        </is>
      </c>
      <c r="Y548" s="3" t="inlineStr">
        <is>
          <t>제2종근린생활시설</t>
        </is>
      </c>
      <c r="Z548" s="3" t="inlineStr">
        <is>
          <t>4.50m</t>
        </is>
      </c>
      <c r="AA548" s="3" t="inlineStr">
        <is>
          <t>2021-08-20</t>
        </is>
      </c>
    </row>
    <row r="549">
      <c r="A549" s="3" t="inlineStr">
        <is>
          <t>세종특별자치시 나성동 829</t>
        </is>
      </c>
      <c r="B549" s="3" t="inlineStr">
        <is>
          <t>중심상업지역</t>
        </is>
      </c>
      <c r="C549" s="3" t="inlineStr">
        <is>
          <t>대</t>
        </is>
      </c>
      <c r="D549" s="3" t="inlineStr">
        <is>
          <t>공장</t>
        </is>
      </c>
      <c r="E549" s="3" t="inlineStr">
        <is>
          <t>매매</t>
        </is>
      </c>
      <c r="F549" s="4" t="n">
        <v>155000</v>
      </c>
      <c r="G549" s="4" t="n">
        <v>0</v>
      </c>
      <c r="H549" s="4" t="n">
        <v>3851</v>
      </c>
      <c r="I549" s="4" t="n">
        <v>1165</v>
      </c>
      <c r="J549" s="5" t="n">
        <v>133</v>
      </c>
      <c r="K549" s="4" t="n">
        <v>1616</v>
      </c>
      <c r="L549" s="4" t="n">
        <v>489</v>
      </c>
      <c r="M549" s="5" t="n">
        <v>317</v>
      </c>
      <c r="N549" s="3" t="inlineStr">
        <is>
          <t>2</t>
        </is>
      </c>
      <c r="O549" s="3" t="inlineStr">
        <is>
          <t>-</t>
        </is>
      </c>
      <c r="P549" s="3" t="inlineStr">
        <is>
          <t>식품공장 육가공공장 추천 오창,증평ic인근 자체폐수처리장 보유</t>
        </is>
      </c>
      <c r="Q549" s="6">
        <f>HYPERLINK("https://fin.land.naver.com/articles/2648089838", "매물Link")</f>
        <v/>
      </c>
      <c r="R549" s="6">
        <f>HYPERLINK("https://map.naver.com/p/search/세종특별자치시 나성동 829", "지도Link")</f>
        <v/>
      </c>
      <c r="S549" s="6">
        <f>HYPERLINK("http://www.eum.go.kr/web/ar/lu/luLandDet.jsp?pnu=3611010700108290000&amp;isNoScr=script&amp;mode=search", "토지이음")</f>
        <v/>
      </c>
      <c r="T549" s="3" t="inlineStr">
        <is>
          <t>더원</t>
        </is>
      </c>
      <c r="U549" s="3" t="n">
        <v>1</v>
      </c>
      <c r="V549" s="3" t="inlineStr">
        <is>
          <t>901(전망공간)</t>
        </is>
      </c>
      <c r="W549" s="4" t="n">
        <v>1616</v>
      </c>
      <c r="X549" s="3" t="inlineStr">
        <is>
          <t>철근콘크리트구조</t>
        </is>
      </c>
      <c r="Y549" s="3" t="inlineStr">
        <is>
          <t>제2종근린생활시설</t>
        </is>
      </c>
      <c r="Z549" s="3" t="inlineStr">
        <is>
          <t>-m</t>
        </is>
      </c>
      <c r="AA549" s="3" t="inlineStr">
        <is>
          <t>2021-08-20</t>
        </is>
      </c>
    </row>
    <row r="550">
      <c r="A550" s="3" t="inlineStr">
        <is>
          <t>세종특별자치시 나성동 829</t>
        </is>
      </c>
      <c r="B550" s="3" t="inlineStr">
        <is>
          <t>중심상업지역</t>
        </is>
      </c>
      <c r="C550" s="3" t="inlineStr">
        <is>
          <t>대</t>
        </is>
      </c>
      <c r="D550" s="3" t="inlineStr">
        <is>
          <t>공장</t>
        </is>
      </c>
      <c r="E550" s="3" t="inlineStr">
        <is>
          <t>월세</t>
        </is>
      </c>
      <c r="F550" s="4" t="n">
        <v>3000</v>
      </c>
      <c r="G550" s="4" t="n">
        <v>250</v>
      </c>
      <c r="H550" s="4" t="n">
        <v>926</v>
      </c>
      <c r="I550" s="4" t="n">
        <v>280</v>
      </c>
      <c r="J550" s="5" t="n">
        <v>0.9</v>
      </c>
      <c r="K550" s="4" t="n">
        <v>369</v>
      </c>
      <c r="L550" s="4" t="n">
        <v>112</v>
      </c>
      <c r="M550" s="5" t="n">
        <v>2.2</v>
      </c>
      <c r="N550" s="3" t="inlineStr">
        <is>
          <t>1</t>
        </is>
      </c>
      <c r="O550" s="3" t="inlineStr">
        <is>
          <t>-</t>
        </is>
      </c>
      <c r="P550" s="3" t="inlineStr">
        <is>
          <t>2차선도로변 신축공장 창고 임대 증평ic 5분거리 고속도로 접근성 좋음</t>
        </is>
      </c>
      <c r="Q550" s="6">
        <f>HYPERLINK("https://fin.land.naver.com/articles/2648089849", "매물Link")</f>
        <v/>
      </c>
      <c r="R550" s="6">
        <f>HYPERLINK("https://map.naver.com/p/search/세종특별자치시 나성동 829", "지도Link")</f>
        <v/>
      </c>
      <c r="S550" s="6">
        <f>HYPERLINK("http://www.eum.go.kr/web/ar/lu/luLandDet.jsp?pnu=3611010700108290000&amp;isNoScr=script&amp;mode=search", "토지이음")</f>
        <v/>
      </c>
      <c r="T550" s="3" t="inlineStr">
        <is>
          <t>더원</t>
        </is>
      </c>
      <c r="U550" s="3" t="n">
        <v>1</v>
      </c>
      <c r="V550" s="3" t="inlineStr">
        <is>
          <t>전망공간 기계실</t>
        </is>
      </c>
      <c r="W550" s="4" t="n">
        <v>369</v>
      </c>
      <c r="X550" s="3" t="inlineStr">
        <is>
          <t>철근콘크리트구조</t>
        </is>
      </c>
      <c r="Y550" s="3" t="inlineStr">
        <is>
          <t>제2종근린생활시설</t>
        </is>
      </c>
      <c r="Z550" s="3" t="inlineStr">
        <is>
          <t>-m</t>
        </is>
      </c>
      <c r="AA550" s="3" t="inlineStr">
        <is>
          <t>2021-08-20</t>
        </is>
      </c>
    </row>
    <row r="551">
      <c r="A551" s="3" t="inlineStr">
        <is>
          <t>세종특별자치시 나성동 829</t>
        </is>
      </c>
      <c r="B551" s="3" t="inlineStr">
        <is>
          <t>중심상업지역</t>
        </is>
      </c>
      <c r="C551" s="3" t="inlineStr">
        <is>
          <t>대</t>
        </is>
      </c>
      <c r="D551" s="3" t="inlineStr">
        <is>
          <t>공장</t>
        </is>
      </c>
      <c r="E551" s="3" t="inlineStr">
        <is>
          <t>월세</t>
        </is>
      </c>
      <c r="F551" s="4" t="n">
        <v>3000</v>
      </c>
      <c r="G551" s="4" t="n">
        <v>320</v>
      </c>
      <c r="H551" s="4" t="n">
        <v>4995</v>
      </c>
      <c r="I551" s="4" t="n">
        <v>1511</v>
      </c>
      <c r="J551" s="5" t="n">
        <v>0.2</v>
      </c>
      <c r="K551" s="4" t="n">
        <v>528</v>
      </c>
      <c r="L551" s="4" t="n">
        <v>160</v>
      </c>
      <c r="M551" s="5" t="n">
        <v>2</v>
      </c>
      <c r="N551" s="3" t="inlineStr">
        <is>
          <t>1</t>
        </is>
      </c>
      <c r="O551" s="3" t="inlineStr">
        <is>
          <t>-</t>
        </is>
      </c>
      <c r="P551" s="3" t="inlineStr">
        <is>
          <t>증평ic 접근성좋은 위치의 민원걱정없는 공장 층고높음</t>
        </is>
      </c>
      <c r="Q551" s="6">
        <f>HYPERLINK("https://fin.land.naver.com/articles/2648089910", "매물Link")</f>
        <v/>
      </c>
      <c r="R551" s="6">
        <f>HYPERLINK("https://map.naver.com/p/search/세종특별자치시 나성동 829", "지도Link")</f>
        <v/>
      </c>
      <c r="S551" s="6">
        <f>HYPERLINK("http://www.eum.go.kr/web/ar/lu/luLandDet.jsp?pnu=3611010700108290000&amp;isNoScr=script&amp;mode=search", "토지이음")</f>
        <v/>
      </c>
      <c r="T551" s="3" t="inlineStr">
        <is>
          <t>더원</t>
        </is>
      </c>
      <c r="U551" s="3" t="n">
        <v>1</v>
      </c>
      <c r="V551" s="3" t="inlineStr">
        <is>
          <t>전망공간 기계실</t>
        </is>
      </c>
      <c r="W551" s="4" t="n">
        <v>528</v>
      </c>
      <c r="X551" s="3" t="inlineStr">
        <is>
          <t>철근콘크리트구조</t>
        </is>
      </c>
      <c r="Y551" s="3" t="inlineStr">
        <is>
          <t>제2종근린생활시설</t>
        </is>
      </c>
      <c r="Z551" s="3" t="inlineStr">
        <is>
          <t>-m</t>
        </is>
      </c>
      <c r="AA551" s="3" t="inlineStr">
        <is>
          <t>2021-08-20</t>
        </is>
      </c>
    </row>
    <row r="552">
      <c r="A552" s="3" t="inlineStr">
        <is>
          <t>세종특별자치시 나성동 829</t>
        </is>
      </c>
      <c r="B552" s="3" t="inlineStr">
        <is>
          <t>중심상업지역</t>
        </is>
      </c>
      <c r="C552" s="3" t="inlineStr">
        <is>
          <t>대</t>
        </is>
      </c>
      <c r="D552" s="3" t="inlineStr">
        <is>
          <t>공장</t>
        </is>
      </c>
      <c r="E552" s="3" t="inlineStr">
        <is>
          <t>매매</t>
        </is>
      </c>
      <c r="F552" s="4" t="n">
        <v>75000</v>
      </c>
      <c r="G552" s="4" t="n">
        <v>0</v>
      </c>
      <c r="H552" s="4" t="n">
        <v>999</v>
      </c>
      <c r="I552" s="4" t="n">
        <v>302</v>
      </c>
      <c r="J552" s="5" t="n">
        <v>248.3</v>
      </c>
      <c r="K552" s="4" t="n">
        <v>398</v>
      </c>
      <c r="L552" s="4" t="n">
        <v>120</v>
      </c>
      <c r="M552" s="5" t="n">
        <v>625</v>
      </c>
      <c r="N552" s="3" t="inlineStr">
        <is>
          <t>1</t>
        </is>
      </c>
      <c r="O552" s="3" t="inlineStr">
        <is>
          <t>-</t>
        </is>
      </c>
      <c r="P552" s="3" t="inlineStr">
        <is>
          <t>증평ic 5 분거리 2차선도로진입 호이스트3톤 전기 10kw</t>
        </is>
      </c>
      <c r="Q552" s="6">
        <f>HYPERLINK("https://fin.land.naver.com/articles/2648089933", "매물Link")</f>
        <v/>
      </c>
      <c r="R552" s="6">
        <f>HYPERLINK("https://map.naver.com/p/search/세종특별자치시 나성동 829", "지도Link")</f>
        <v/>
      </c>
      <c r="S552" s="6">
        <f>HYPERLINK("http://www.eum.go.kr/web/ar/lu/luLandDet.jsp?pnu=3611010700108290000&amp;isNoScr=script&amp;mode=search", "토지이음")</f>
        <v/>
      </c>
      <c r="T552" s="3" t="inlineStr">
        <is>
          <t>더원</t>
        </is>
      </c>
      <c r="U552" s="3" t="n">
        <v>1</v>
      </c>
      <c r="V552" s="3" t="inlineStr">
        <is>
          <t>전망공간 기계실</t>
        </is>
      </c>
      <c r="W552" s="4" t="n">
        <v>398</v>
      </c>
      <c r="X552" s="3" t="inlineStr">
        <is>
          <t>철근콘크리트구조</t>
        </is>
      </c>
      <c r="Y552" s="3" t="inlineStr">
        <is>
          <t>제2종근린생활시설</t>
        </is>
      </c>
      <c r="Z552" s="3" t="inlineStr">
        <is>
          <t>-m</t>
        </is>
      </c>
      <c r="AA552" s="3" t="inlineStr">
        <is>
          <t>2021-08-20</t>
        </is>
      </c>
    </row>
    <row r="553">
      <c r="A553" s="3" t="inlineStr">
        <is>
          <t>세종특별자치시 나성동 829</t>
        </is>
      </c>
      <c r="B553" s="3" t="inlineStr">
        <is>
          <t>중심상업지역</t>
        </is>
      </c>
      <c r="C553" s="3" t="inlineStr">
        <is>
          <t>대</t>
        </is>
      </c>
      <c r="D553" s="3" t="inlineStr">
        <is>
          <t>공장</t>
        </is>
      </c>
      <c r="E553" s="3" t="inlineStr">
        <is>
          <t>월세</t>
        </is>
      </c>
      <c r="F553" s="4" t="n">
        <v>9000</v>
      </c>
      <c r="G553" s="4" t="n">
        <v>900</v>
      </c>
      <c r="H553" s="4" t="n">
        <v>4906</v>
      </c>
      <c r="I553" s="4" t="n">
        <v>1484</v>
      </c>
      <c r="J553" s="5" t="n">
        <v>0.6</v>
      </c>
      <c r="K553" s="4" t="n">
        <v>980</v>
      </c>
      <c r="L553" s="4" t="n">
        <v>296</v>
      </c>
      <c r="M553" s="5" t="n">
        <v>3</v>
      </c>
      <c r="N553" s="3" t="inlineStr">
        <is>
          <t>1</t>
        </is>
      </c>
      <c r="O553" s="3" t="inlineStr">
        <is>
          <t>-</t>
        </is>
      </c>
      <c r="P553" s="3" t="inlineStr">
        <is>
          <t>증평ic 6 km 접근성 좋은 위치의 신축공장 창고  대형마당</t>
        </is>
      </c>
      <c r="Q553" s="6">
        <f>HYPERLINK("https://fin.land.naver.com/articles/2648090030", "매물Link")</f>
        <v/>
      </c>
      <c r="R553" s="6">
        <f>HYPERLINK("https://map.naver.com/p/search/세종특별자치시 나성동 829", "지도Link")</f>
        <v/>
      </c>
      <c r="S553" s="6">
        <f>HYPERLINK("http://www.eum.go.kr/web/ar/lu/luLandDet.jsp?pnu=3611010700108290000&amp;isNoScr=script&amp;mode=search", "토지이음")</f>
        <v/>
      </c>
      <c r="T553" s="3" t="inlineStr">
        <is>
          <t>더원</t>
        </is>
      </c>
      <c r="U553" s="3" t="n">
        <v>1</v>
      </c>
      <c r="V553" s="3" t="inlineStr">
        <is>
          <t>604</t>
        </is>
      </c>
      <c r="W553" s="4" t="n">
        <v>980</v>
      </c>
      <c r="X553" s="3" t="inlineStr">
        <is>
          <t>철근콘크리트구조</t>
        </is>
      </c>
      <c r="Y553" s="3" t="inlineStr">
        <is>
          <t>공동주택</t>
        </is>
      </c>
      <c r="Z553" s="3" t="inlineStr">
        <is>
          <t>38.30m</t>
        </is>
      </c>
      <c r="AA553" s="3" t="inlineStr">
        <is>
          <t>2021-08-20</t>
        </is>
      </c>
    </row>
    <row r="554">
      <c r="A554" s="3" t="inlineStr">
        <is>
          <t>세종특별자치시 나성동 829</t>
        </is>
      </c>
      <c r="B554" s="3" t="inlineStr">
        <is>
          <t>중심상업지역</t>
        </is>
      </c>
      <c r="C554" s="3" t="inlineStr">
        <is>
          <t>대</t>
        </is>
      </c>
      <c r="D554" s="3" t="inlineStr">
        <is>
          <t>공장</t>
        </is>
      </c>
      <c r="E554" s="3" t="inlineStr">
        <is>
          <t>월세</t>
        </is>
      </c>
      <c r="F554" s="4" t="n">
        <v>7000</v>
      </c>
      <c r="G554" s="4" t="n">
        <v>700</v>
      </c>
      <c r="H554" s="4" t="n">
        <v>3180</v>
      </c>
      <c r="I554" s="4" t="n">
        <v>962</v>
      </c>
      <c r="J554" s="5" t="n">
        <v>0.7</v>
      </c>
      <c r="K554" s="4" t="n">
        <v>968</v>
      </c>
      <c r="L554" s="4" t="n">
        <v>293</v>
      </c>
      <c r="M554" s="5" t="n">
        <v>2.4</v>
      </c>
      <c r="N554" s="3" t="inlineStr">
        <is>
          <t>1</t>
        </is>
      </c>
      <c r="O554" s="3" t="inlineStr">
        <is>
          <t>-</t>
        </is>
      </c>
      <c r="P554" s="3" t="inlineStr">
        <is>
          <t>충청내륙로와 접하여 광고효과 최상 왕복4차선에서 바로진입 대형차진출입용이</t>
        </is>
      </c>
      <c r="Q554" s="6">
        <f>HYPERLINK("https://fin.land.naver.com/articles/2648090051", "매물Link")</f>
        <v/>
      </c>
      <c r="R554" s="6">
        <f>HYPERLINK("https://map.naver.com/p/search/세종특별자치시 나성동 829", "지도Link")</f>
        <v/>
      </c>
      <c r="S554" s="6">
        <f>HYPERLINK("http://www.eum.go.kr/web/ar/lu/luLandDet.jsp?pnu=3611010700108290000&amp;isNoScr=script&amp;mode=search", "토지이음")</f>
        <v/>
      </c>
      <c r="T554" s="3" t="inlineStr">
        <is>
          <t>더원</t>
        </is>
      </c>
      <c r="U554" s="3" t="n">
        <v>1</v>
      </c>
      <c r="V554" s="3" t="inlineStr">
        <is>
          <t>전망공간 지하주차장</t>
        </is>
      </c>
      <c r="W554" s="4" t="n">
        <v>968</v>
      </c>
      <c r="X554" s="3" t="inlineStr">
        <is>
          <t>철근콘크리트구조</t>
        </is>
      </c>
      <c r="Y554" s="3" t="inlineStr">
        <is>
          <t>제2종근린생활시설</t>
        </is>
      </c>
      <c r="Z554" s="3" t="inlineStr">
        <is>
          <t>4.50m</t>
        </is>
      </c>
      <c r="AA554" s="3" t="inlineStr">
        <is>
          <t>2021-08-20</t>
        </is>
      </c>
    </row>
    <row r="555">
      <c r="A555" s="3" t="inlineStr">
        <is>
          <t>세종특별자치시 나성동 829</t>
        </is>
      </c>
      <c r="B555" s="3" t="inlineStr">
        <is>
          <t>중심상업지역</t>
        </is>
      </c>
      <c r="C555" s="3" t="inlineStr">
        <is>
          <t>대</t>
        </is>
      </c>
      <c r="D555" s="3" t="inlineStr">
        <is>
          <t>공장</t>
        </is>
      </c>
      <c r="E555" s="3" t="inlineStr">
        <is>
          <t>월세</t>
        </is>
      </c>
      <c r="F555" s="4" t="n">
        <v>1000</v>
      </c>
      <c r="G555" s="4" t="n">
        <v>100</v>
      </c>
      <c r="H555" s="4" t="n">
        <v>1076</v>
      </c>
      <c r="I555" s="4" t="n">
        <v>325</v>
      </c>
      <c r="J555" s="5" t="n">
        <v>0.3</v>
      </c>
      <c r="K555" s="4" t="n">
        <v>203</v>
      </c>
      <c r="L555" s="4" t="n">
        <v>61</v>
      </c>
      <c r="M555" s="5" t="n">
        <v>1.6</v>
      </c>
      <c r="N555" s="3" t="inlineStr">
        <is>
          <t>1</t>
        </is>
      </c>
      <c r="O555" s="3" t="inlineStr">
        <is>
          <t>-</t>
        </is>
      </c>
      <c r="P555" s="3" t="inlineStr">
        <is>
          <t>제조업소및창고,내부사무실</t>
        </is>
      </c>
      <c r="Q555" s="6">
        <f>HYPERLINK("https://fin.land.naver.com/articles/2648111172", "매물Link")</f>
        <v/>
      </c>
      <c r="R555" s="6">
        <f>HYPERLINK("https://map.naver.com/p/search/세종특별자치시 나성동 829", "지도Link")</f>
        <v/>
      </c>
      <c r="S555" s="6">
        <f>HYPERLINK("http://www.eum.go.kr/web/ar/lu/luLandDet.jsp?pnu=3611010700108290000&amp;isNoScr=script&amp;mode=search", "토지이음")</f>
        <v/>
      </c>
      <c r="T555" s="3" t="inlineStr">
        <is>
          <t>LBA리치아노합동사무소</t>
        </is>
      </c>
      <c r="U555" s="3" t="n">
        <v>1</v>
      </c>
      <c r="V555" s="3" t="inlineStr">
        <is>
          <t>공동주택 주민공동시설</t>
        </is>
      </c>
      <c r="W555" s="4" t="n">
        <v>203</v>
      </c>
      <c r="X555" s="3" t="inlineStr">
        <is>
          <t>철근콘크리트구조</t>
        </is>
      </c>
      <c r="Y555" s="3" t="inlineStr">
        <is>
          <t>공동주택</t>
        </is>
      </c>
      <c r="Z555" s="3" t="inlineStr">
        <is>
          <t>-m</t>
        </is>
      </c>
      <c r="AA555" s="3" t="inlineStr">
        <is>
          <t>2021-08-20</t>
        </is>
      </c>
    </row>
    <row r="556">
      <c r="A556" s="3" t="inlineStr">
        <is>
          <t>세종특별자치시 나성동 829</t>
        </is>
      </c>
      <c r="B556" s="3" t="inlineStr">
        <is>
          <t>중심상업지역</t>
        </is>
      </c>
      <c r="C556" s="3" t="inlineStr">
        <is>
          <t>대</t>
        </is>
      </c>
      <c r="D556" s="3" t="inlineStr">
        <is>
          <t>공장</t>
        </is>
      </c>
      <c r="E556" s="3" t="inlineStr">
        <is>
          <t>월세</t>
        </is>
      </c>
      <c r="F556" s="4" t="n">
        <v>20000</v>
      </c>
      <c r="G556" s="4" t="n">
        <v>0</v>
      </c>
      <c r="H556" s="4" t="n">
        <v>8739</v>
      </c>
      <c r="I556" s="4" t="n">
        <v>2644</v>
      </c>
      <c r="J556" s="5" t="n">
        <v>0</v>
      </c>
      <c r="K556" s="4" t="n">
        <v>2687</v>
      </c>
      <c r="L556" s="4" t="n">
        <v>813</v>
      </c>
      <c r="M556" s="5" t="n">
        <v>0</v>
      </c>
      <c r="N556" s="3" t="inlineStr">
        <is>
          <t>1</t>
        </is>
      </c>
      <c r="O556" s="3" t="inlineStr">
        <is>
          <t>-</t>
        </is>
      </c>
      <c r="P556" s="3" t="inlineStr">
        <is>
          <t>청주,공장및창고,단독,전력1500KW</t>
        </is>
      </c>
      <c r="Q556" s="6">
        <f>HYPERLINK("https://fin.land.naver.com/articles/2648113481", "매물Link")</f>
        <v/>
      </c>
      <c r="R556" s="6">
        <f>HYPERLINK("https://map.naver.com/p/search/세종특별자치시 나성동 829", "지도Link")</f>
        <v/>
      </c>
      <c r="S556" s="6">
        <f>HYPERLINK("http://www.eum.go.kr/web/ar/lu/luLandDet.jsp?pnu=3611010700108290000&amp;isNoScr=script&amp;mode=search", "토지이음")</f>
        <v/>
      </c>
      <c r="T556" s="3" t="inlineStr">
        <is>
          <t>LBA리치아노합동사무소</t>
        </is>
      </c>
      <c r="U556" s="3" t="n">
        <v>1</v>
      </c>
      <c r="V556" s="3" t="inlineStr">
        <is>
          <t>802</t>
        </is>
      </c>
      <c r="W556" s="4" t="n">
        <v>2687</v>
      </c>
      <c r="X556" s="3" t="inlineStr">
        <is>
          <t>철근콘크리트구조</t>
        </is>
      </c>
      <c r="Y556" s="3" t="inlineStr">
        <is>
          <t>제2종근린생활시설</t>
        </is>
      </c>
      <c r="Z556" s="3" t="inlineStr">
        <is>
          <t>-m</t>
        </is>
      </c>
      <c r="AA556" s="3" t="inlineStr">
        <is>
          <t>2021-08-20</t>
        </is>
      </c>
    </row>
    <row r="557">
      <c r="A557" s="3" t="inlineStr">
        <is>
          <t>세종특별자치시 나성동 829</t>
        </is>
      </c>
      <c r="B557" s="3" t="inlineStr">
        <is>
          <t>중심상업지역</t>
        </is>
      </c>
      <c r="C557" s="3" t="inlineStr">
        <is>
          <t>대</t>
        </is>
      </c>
      <c r="D557" s="3" t="inlineStr">
        <is>
          <t>창고</t>
        </is>
      </c>
      <c r="E557" s="3" t="inlineStr">
        <is>
          <t>매매</t>
        </is>
      </c>
      <c r="F557" s="4" t="n">
        <v>180000</v>
      </c>
      <c r="G557" s="4" t="n">
        <v>0</v>
      </c>
      <c r="H557" s="4" t="n">
        <v>3945</v>
      </c>
      <c r="I557" s="4" t="n">
        <v>1193</v>
      </c>
      <c r="J557" s="5" t="n">
        <v>150.9</v>
      </c>
      <c r="K557" s="4" t="n">
        <v>950</v>
      </c>
      <c r="L557" s="4" t="n">
        <v>287</v>
      </c>
      <c r="M557" s="5" t="n">
        <v>627.2</v>
      </c>
      <c r="N557" s="3" t="inlineStr">
        <is>
          <t>1</t>
        </is>
      </c>
      <c r="O557" s="3" t="inlineStr">
        <is>
          <t>-</t>
        </is>
      </c>
      <c r="P557" s="3" t="inlineStr">
        <is>
          <t>증평ic 7분거리 청주 및 증평 접근성 좋은 위치의 창고 매매</t>
        </is>
      </c>
      <c r="Q557" s="6">
        <f>HYPERLINK("https://fin.land.naver.com/articles/2646423117", "매물Link")</f>
        <v/>
      </c>
      <c r="R557" s="6">
        <f>HYPERLINK("https://map.naver.com/p/search/세종특별자치시 나성동 829", "지도Link")</f>
        <v/>
      </c>
      <c r="S557" s="6">
        <f>HYPERLINK("http://www.eum.go.kr/web/ar/lu/luLandDet.jsp?pnu=3611010700108290000&amp;isNoScr=script&amp;mode=search", "토지이음")</f>
        <v/>
      </c>
      <c r="T557" s="3" t="inlineStr">
        <is>
          <t>더원</t>
        </is>
      </c>
      <c r="U557" s="3" t="n">
        <v>1</v>
      </c>
      <c r="V557" s="3" t="inlineStr">
        <is>
          <t>전망공간 지하주차장</t>
        </is>
      </c>
      <c r="W557" s="4" t="n">
        <v>950</v>
      </c>
      <c r="X557" s="3" t="inlineStr">
        <is>
          <t>철근콘크리트구조</t>
        </is>
      </c>
      <c r="Y557" s="3" t="inlineStr">
        <is>
          <t>제2종근린생활시설</t>
        </is>
      </c>
      <c r="Z557" s="3" t="inlineStr">
        <is>
          <t>4.50m</t>
        </is>
      </c>
      <c r="AA557" s="3" t="inlineStr">
        <is>
          <t>2021-08-20</t>
        </is>
      </c>
    </row>
    <row r="558">
      <c r="A558" s="3" t="inlineStr">
        <is>
          <t>세종특별자치시 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HYPERLINK("https://map.naver.com/p/search/세종특별자치시 나성동 829", "지도Link")</f>
        <v/>
      </c>
      <c r="S558" s="6">
        <f>HYPERLINK("http://www.eum.go.kr/web/ar/lu/luLandDet.jsp?pnu=3611010700108290000&amp;isNoScr=script&amp;mode=search", "토지이음")</f>
        <v/>
      </c>
      <c r="T558" s="3" t="inlineStr">
        <is>
          <t>공장365</t>
        </is>
      </c>
      <c r="U558" s="3" t="n">
        <v>2</v>
      </c>
      <c r="V558" s="3" t="inlineStr">
        <is>
          <t>공동주택 주민공동시설</t>
        </is>
      </c>
      <c r="W558" s="4" t="n">
        <v>198</v>
      </c>
      <c r="X558" s="3" t="inlineStr">
        <is>
          <t>철근콘크리트구조</t>
        </is>
      </c>
      <c r="Y558" s="3" t="inlineStr">
        <is>
          <t>공동주택</t>
        </is>
      </c>
      <c r="Z558" s="3" t="inlineStr">
        <is>
          <t>-m</t>
        </is>
      </c>
      <c r="AA558" s="3" t="inlineStr">
        <is>
          <t>2021-08-20</t>
        </is>
      </c>
    </row>
    <row r="559">
      <c r="A559" s="3" t="inlineStr">
        <is>
          <t>세종특별자치시 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HYPERLINK("https://map.naver.com/p/search/세종특별자치시 나성동 829", "지도Link")</f>
        <v/>
      </c>
      <c r="S559" s="6">
        <f>HYPERLINK("http://www.eum.go.kr/web/ar/lu/luLandDet.jsp?pnu=3611010700108290000&amp;isNoScr=script&amp;mode=search", "토지이음")</f>
        <v/>
      </c>
      <c r="T559" s="3" t="inlineStr">
        <is>
          <t>LBA리치아노합동사무소</t>
        </is>
      </c>
      <c r="U559" s="3" t="n">
        <v>1</v>
      </c>
      <c r="V559" s="3" t="inlineStr">
        <is>
          <t>701</t>
        </is>
      </c>
      <c r="W559" s="4" t="n">
        <v>191</v>
      </c>
      <c r="X559" s="3" t="inlineStr">
        <is>
          <t>철근콘크리트구조</t>
        </is>
      </c>
      <c r="Y559" s="3" t="inlineStr">
        <is>
          <t>판매시설</t>
        </is>
      </c>
      <c r="Z559" s="3" t="inlineStr">
        <is>
          <t>-m</t>
        </is>
      </c>
      <c r="AA559" s="3" t="inlineStr">
        <is>
          <t>2021-08-20</t>
        </is>
      </c>
    </row>
    <row r="560">
      <c r="A560" s="3" t="inlineStr">
        <is>
          <t>세종특별자치시 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HYPERLINK("https://map.naver.com/p/search/세종특별자치시 나성동 829", "지도Link")</f>
        <v/>
      </c>
      <c r="S560" s="6">
        <f>HYPERLINK("http://www.eum.go.kr/web/ar/lu/luLandDet.jsp?pnu=3611010700108290000&amp;isNoScr=script&amp;mode=search", "토지이음")</f>
        <v/>
      </c>
      <c r="T560" s="3" t="inlineStr">
        <is>
          <t>더원</t>
        </is>
      </c>
      <c r="U560" s="3" t="n">
        <v>1</v>
      </c>
      <c r="V560" s="3" t="inlineStr">
        <is>
          <t>605</t>
        </is>
      </c>
      <c r="W560" s="4" t="n">
        <v>1375</v>
      </c>
      <c r="X560" s="3" t="inlineStr">
        <is>
          <t>철근콘크리트구조</t>
        </is>
      </c>
      <c r="Y560" s="3" t="inlineStr">
        <is>
          <t>공동주택</t>
        </is>
      </c>
      <c r="Z560" s="3" t="inlineStr">
        <is>
          <t>45.30m</t>
        </is>
      </c>
      <c r="AA560" s="3" t="inlineStr">
        <is>
          <t>2021-08-20</t>
        </is>
      </c>
    </row>
    <row r="561">
      <c r="A561" s="3" t="inlineStr">
        <is>
          <t>세종특별자치시 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HYPERLINK("https://map.naver.com/p/search/세종특별자치시 나성동 829", "지도Link")</f>
        <v/>
      </c>
      <c r="S561" s="6">
        <f>HYPERLINK("http://www.eum.go.kr/web/ar/lu/luLandDet.jsp?pnu=3611010700108290000&amp;isNoScr=script&amp;mode=search", "토지이음")</f>
        <v/>
      </c>
      <c r="T561" s="3" t="inlineStr">
        <is>
          <t>LBA리치아노합동사무소</t>
        </is>
      </c>
      <c r="U561" s="3" t="n">
        <v>1</v>
      </c>
      <c r="V561" s="3" t="inlineStr">
        <is>
          <t>공동주택 연결통로</t>
        </is>
      </c>
      <c r="W561" s="4" t="n">
        <v>92</v>
      </c>
      <c r="X561" s="3" t="inlineStr">
        <is>
          <t>철근콘크리트구조</t>
        </is>
      </c>
      <c r="Y561" s="3" t="inlineStr">
        <is>
          <t>공동주택</t>
        </is>
      </c>
      <c r="Z561" s="3" t="inlineStr">
        <is>
          <t>-m</t>
        </is>
      </c>
      <c r="AA561" s="3" t="inlineStr">
        <is>
          <t>2021-08-20</t>
        </is>
      </c>
    </row>
    <row r="562">
      <c r="A562" s="3" t="inlineStr">
        <is>
          <t>세종특별자치시 나성동 829</t>
        </is>
      </c>
      <c r="B562" s="3" t="inlineStr">
        <is>
          <t>중심상업지역</t>
        </is>
      </c>
      <c r="C562" s="3" t="inlineStr">
        <is>
          <t>대</t>
        </is>
      </c>
      <c r="D562" s="3" t="inlineStr">
        <is>
          <t>공장</t>
        </is>
      </c>
      <c r="E562" s="3" t="inlineStr">
        <is>
          <t>월세</t>
        </is>
      </c>
      <c r="F562" s="4" t="n">
        <v>3000</v>
      </c>
      <c r="G562" s="4" t="n">
        <v>250</v>
      </c>
      <c r="H562" s="4" t="n">
        <v>835</v>
      </c>
      <c r="I562" s="4" t="n">
        <v>253</v>
      </c>
      <c r="J562" s="5" t="n">
        <v>1</v>
      </c>
      <c r="K562" s="4" t="n">
        <v>330</v>
      </c>
      <c r="L562" s="4" t="n">
        <v>100</v>
      </c>
      <c r="M562" s="5" t="n">
        <v>2.5</v>
      </c>
      <c r="N562" s="3" t="inlineStr">
        <is>
          <t>1</t>
        </is>
      </c>
      <c r="O562" s="3" t="inlineStr">
        <is>
          <t>-</t>
        </is>
      </c>
      <c r="P562" s="3" t="inlineStr">
        <is>
          <t>제조업소및창고,호이스트3톤,내부사무실</t>
        </is>
      </c>
      <c r="Q562" s="6">
        <f>HYPERLINK("https://fin.land.naver.com/articles/2648133292", "매물Link")</f>
        <v/>
      </c>
      <c r="R562" s="6">
        <f>HYPERLINK("https://map.naver.com/p/search/세종특별자치시 나성동 829", "지도Link")</f>
        <v/>
      </c>
      <c r="S562" s="6">
        <f>HYPERLINK("http://www.eum.go.kr/web/ar/lu/luLandDet.jsp?pnu=3611010700108290000&amp;isNoScr=script&amp;mode=search", "토지이음")</f>
        <v/>
      </c>
      <c r="T562" s="3" t="inlineStr">
        <is>
          <t>LBA리치아노합동사무소</t>
        </is>
      </c>
      <c r="U562" s="3" t="n">
        <v>1</v>
      </c>
      <c r="V562" s="3" t="inlineStr">
        <is>
          <t>801</t>
        </is>
      </c>
      <c r="W562" s="4" t="n">
        <v>330</v>
      </c>
      <c r="X562" s="3" t="inlineStr">
        <is>
          <t>철근콘크리트구조</t>
        </is>
      </c>
      <c r="Y562" s="3" t="inlineStr">
        <is>
          <t>제2종근린생활시설</t>
        </is>
      </c>
      <c r="Z562" s="3" t="inlineStr">
        <is>
          <t>-m</t>
        </is>
      </c>
      <c r="AA562" s="3" t="inlineStr">
        <is>
          <t>2021-08-20</t>
        </is>
      </c>
    </row>
    <row r="563">
      <c r="A563" s="3" t="inlineStr">
        <is>
          <t>세종특별자치시 나성동 829</t>
        </is>
      </c>
      <c r="B563" s="3" t="inlineStr">
        <is>
          <t>중심상업지역</t>
        </is>
      </c>
      <c r="C563" s="3" t="inlineStr">
        <is>
          <t>대</t>
        </is>
      </c>
      <c r="D563" s="3" t="inlineStr">
        <is>
          <t>공장</t>
        </is>
      </c>
      <c r="E563" s="3" t="inlineStr">
        <is>
          <t>매매</t>
        </is>
      </c>
      <c r="F563" s="4" t="n">
        <v>400000</v>
      </c>
      <c r="G563" s="4" t="n">
        <v>0</v>
      </c>
      <c r="H563" s="4" t="n">
        <v>7995</v>
      </c>
      <c r="I563" s="4" t="n">
        <v>2418</v>
      </c>
      <c r="J563" s="5" t="n">
        <v>165.4</v>
      </c>
      <c r="K563" s="4" t="n">
        <v>1327</v>
      </c>
      <c r="L563" s="4" t="n">
        <v>401</v>
      </c>
      <c r="M563" s="5" t="n">
        <v>997.5</v>
      </c>
      <c r="N563" s="3" t="inlineStr">
        <is>
          <t>1</t>
        </is>
      </c>
      <c r="O563" s="3" t="inlineStr">
        <is>
          <t>-</t>
        </is>
      </c>
      <c r="P563" s="3" t="inlineStr">
        <is>
          <t>증평IC인근에 위치, 활용도 좋은 넓은 토지, 호이스트다수</t>
        </is>
      </c>
      <c r="Q563" s="6">
        <f>HYPERLINK("https://fin.land.naver.com/articles/2646887543", "매물Link")</f>
        <v/>
      </c>
      <c r="R563" s="6">
        <f>HYPERLINK("https://map.naver.com/p/search/세종특별자치시 나성동 829", "지도Link")</f>
        <v/>
      </c>
      <c r="S563" s="6">
        <f>HYPERLINK("http://www.eum.go.kr/web/ar/lu/luLandDet.jsp?pnu=3611010700108290000&amp;isNoScr=script&amp;mode=search", "토지이음")</f>
        <v/>
      </c>
      <c r="T563" s="3" t="inlineStr">
        <is>
          <t>(주)미르</t>
        </is>
      </c>
      <c r="U563" s="3" t="n">
        <v>1</v>
      </c>
      <c r="V563" s="3" t="inlineStr">
        <is>
          <t>605</t>
        </is>
      </c>
      <c r="W563" s="4" t="n">
        <v>1327</v>
      </c>
      <c r="X563" s="3" t="inlineStr">
        <is>
          <t>철근콘크리트구조</t>
        </is>
      </c>
      <c r="Y563" s="3" t="inlineStr">
        <is>
          <t>공동주택</t>
        </is>
      </c>
      <c r="Z563" s="3" t="inlineStr">
        <is>
          <t>45.30m</t>
        </is>
      </c>
      <c r="AA563" s="3" t="inlineStr">
        <is>
          <t>2021-08-20</t>
        </is>
      </c>
    </row>
    <row r="564">
      <c r="A564" s="3" t="inlineStr">
        <is>
          <t>세종특별자치시 나성동 829</t>
        </is>
      </c>
      <c r="B564" s="3" t="inlineStr">
        <is>
          <t>중심상업지역</t>
        </is>
      </c>
      <c r="C564" s="3" t="inlineStr">
        <is>
          <t>대</t>
        </is>
      </c>
      <c r="D564" s="3" t="inlineStr">
        <is>
          <t>창고</t>
        </is>
      </c>
      <c r="E564" s="3" t="inlineStr">
        <is>
          <t>월세</t>
        </is>
      </c>
      <c r="F564" s="4" t="n">
        <v>2000</v>
      </c>
      <c r="G564" s="4" t="n">
        <v>180</v>
      </c>
      <c r="H564" s="4" t="n">
        <v>4570</v>
      </c>
      <c r="I564" s="4" t="n">
        <v>1382</v>
      </c>
      <c r="J564" s="5" t="n">
        <v>0.1</v>
      </c>
      <c r="K564" s="4" t="n">
        <v>200</v>
      </c>
      <c r="L564" s="4" t="n">
        <v>60</v>
      </c>
      <c r="M564" s="5" t="n">
        <v>3</v>
      </c>
      <c r="N564" s="3" t="inlineStr">
        <is>
          <t>1</t>
        </is>
      </c>
      <c r="O564" s="3" t="inlineStr">
        <is>
          <t>-</t>
        </is>
      </c>
      <c r="P564" s="3" t="inlineStr">
        <is>
          <t>북이면,창고</t>
        </is>
      </c>
      <c r="Q564" s="6">
        <f>HYPERLINK("https://fin.land.naver.com/articles/2646757691", "매물Link")</f>
        <v/>
      </c>
      <c r="R564" s="6">
        <f>HYPERLINK("https://map.naver.com/p/search/세종특별자치시 나성동 829", "지도Link")</f>
        <v/>
      </c>
      <c r="S564" s="6">
        <f>HYPERLINK("http://www.eum.go.kr/web/ar/lu/luLandDet.jsp?pnu=3611010700108290000&amp;isNoScr=script&amp;mode=search", "토지이음")</f>
        <v/>
      </c>
      <c r="T564" s="3" t="inlineStr">
        <is>
          <t>LBA리치아노합동사무소</t>
        </is>
      </c>
      <c r="U564" s="3" t="n">
        <v>1</v>
      </c>
      <c r="V564" s="3" t="inlineStr">
        <is>
          <t>공동주택 주민공동시설</t>
        </is>
      </c>
      <c r="W564" s="4" t="n">
        <v>200</v>
      </c>
      <c r="X564" s="3" t="inlineStr">
        <is>
          <t>철근콘크리트구조</t>
        </is>
      </c>
      <c r="Y564" s="3" t="inlineStr">
        <is>
          <t>공동주택</t>
        </is>
      </c>
      <c r="Z564" s="3" t="inlineStr">
        <is>
          <t>-m</t>
        </is>
      </c>
      <c r="AA564" s="3" t="inlineStr">
        <is>
          <t>2021-08-20</t>
        </is>
      </c>
    </row>
    <row r="565">
      <c r="A565" s="3" t="inlineStr">
        <is>
          <t>세종특별자치시 나성동 829</t>
        </is>
      </c>
      <c r="B565" s="3" t="inlineStr">
        <is>
          <t>중심상업지역</t>
        </is>
      </c>
      <c r="C565" s="3" t="inlineStr">
        <is>
          <t>대</t>
        </is>
      </c>
      <c r="D565" s="3" t="inlineStr">
        <is>
          <t>공장</t>
        </is>
      </c>
      <c r="E565" s="3" t="inlineStr">
        <is>
          <t>월세</t>
        </is>
      </c>
      <c r="F565" s="4" t="n">
        <v>3000</v>
      </c>
      <c r="G565" s="4" t="n">
        <v>330</v>
      </c>
      <c r="H565" s="4" t="n">
        <v>1201</v>
      </c>
      <c r="I565" s="4" t="n">
        <v>363</v>
      </c>
      <c r="J565" s="5" t="n">
        <v>0.9</v>
      </c>
      <c r="K565" s="4" t="n">
        <v>479</v>
      </c>
      <c r="L565" s="4" t="n">
        <v>145</v>
      </c>
      <c r="M565" s="5" t="n">
        <v>2.3</v>
      </c>
      <c r="N565" s="3" t="inlineStr">
        <is>
          <t>1</t>
        </is>
      </c>
      <c r="O565" s="3" t="inlineStr">
        <is>
          <t>-</t>
        </is>
      </c>
      <c r="P565" s="3" t="inlineStr">
        <is>
          <t>증평ic5분거리 신축공장 층고7m 2종근생제조업 ,창고가능</t>
        </is>
      </c>
      <c r="Q565" s="6">
        <f>HYPERLINK("https://fin.land.naver.com/articles/2644663308", "매물Link")</f>
        <v/>
      </c>
      <c r="R565" s="6">
        <f>HYPERLINK("https://map.naver.com/p/search/세종특별자치시 나성동 829", "지도Link")</f>
        <v/>
      </c>
      <c r="S565" s="6">
        <f>HYPERLINK("http://www.eum.go.kr/web/ar/lu/luLandDet.jsp?pnu=3611010700108290000&amp;isNoScr=script&amp;mode=search", "토지이음")</f>
        <v/>
      </c>
      <c r="T565" s="3" t="inlineStr">
        <is>
          <t>더원</t>
        </is>
      </c>
      <c r="U565" s="3" t="n">
        <v>1</v>
      </c>
      <c r="V565" s="3" t="inlineStr">
        <is>
          <t>전망공간 기계실</t>
        </is>
      </c>
      <c r="W565" s="4" t="n">
        <v>479</v>
      </c>
      <c r="X565" s="3" t="inlineStr">
        <is>
          <t>철근콘크리트구조</t>
        </is>
      </c>
      <c r="Y565" s="3" t="inlineStr">
        <is>
          <t>제2종근린생활시설</t>
        </is>
      </c>
      <c r="Z565" s="3" t="inlineStr">
        <is>
          <t>-m</t>
        </is>
      </c>
      <c r="AA565" s="3" t="inlineStr">
        <is>
          <t>2021-08-20</t>
        </is>
      </c>
    </row>
    <row r="566">
      <c r="A566" s="3" t="inlineStr">
        <is>
          <t>세종특별자치시 나성동 829</t>
        </is>
      </c>
      <c r="B566" s="3" t="inlineStr">
        <is>
          <t>중심상업지역</t>
        </is>
      </c>
      <c r="C566" s="3" t="inlineStr">
        <is>
          <t>대</t>
        </is>
      </c>
      <c r="D566" s="3" t="inlineStr">
        <is>
          <t>공장</t>
        </is>
      </c>
      <c r="E566" s="3" t="inlineStr">
        <is>
          <t>매매</t>
        </is>
      </c>
      <c r="F566" s="4" t="n">
        <v>270000</v>
      </c>
      <c r="G566" s="4" t="n">
        <v>0</v>
      </c>
      <c r="H566" s="4" t="n">
        <v>4492</v>
      </c>
      <c r="I566" s="4" t="n">
        <v>1359</v>
      </c>
      <c r="J566" s="5" t="n">
        <v>198.7</v>
      </c>
      <c r="K566" s="4" t="n">
        <v>1316</v>
      </c>
      <c r="L566" s="4" t="n">
        <v>398</v>
      </c>
      <c r="M566" s="5" t="n">
        <v>678.4</v>
      </c>
      <c r="N566" s="3" t="inlineStr">
        <is>
          <t>2</t>
        </is>
      </c>
      <c r="O566" s="3" t="inlineStr">
        <is>
          <t>-</t>
        </is>
      </c>
      <c r="P566" s="3" t="inlineStr">
        <is>
          <t>4차선대로변 인접한 위치의공장 대형차 진출입용이 호이스트설치</t>
        </is>
      </c>
      <c r="Q566" s="6">
        <f>HYPERLINK("https://fin.land.naver.com/articles/2644663431", "매물Link")</f>
        <v/>
      </c>
      <c r="R566" s="6">
        <f>HYPERLINK("https://map.naver.com/p/search/세종특별자치시 나성동 829", "지도Link")</f>
        <v/>
      </c>
      <c r="S566" s="6">
        <f>HYPERLINK("http://www.eum.go.kr/web/ar/lu/luLandDet.jsp?pnu=3611010700108290000&amp;isNoScr=script&amp;mode=search", "토지이음")</f>
        <v/>
      </c>
      <c r="T566" s="3" t="inlineStr">
        <is>
          <t>더원</t>
        </is>
      </c>
      <c r="U566" s="3" t="n">
        <v>1</v>
      </c>
      <c r="V566" s="3" t="inlineStr">
        <is>
          <t>605</t>
        </is>
      </c>
      <c r="W566" s="4" t="n">
        <v>1316</v>
      </c>
      <c r="X566" s="3" t="inlineStr">
        <is>
          <t>철근콘크리트구조</t>
        </is>
      </c>
      <c r="Y566" s="3" t="inlineStr">
        <is>
          <t>공동주택</t>
        </is>
      </c>
      <c r="Z566" s="3" t="inlineStr">
        <is>
          <t>45.30m</t>
        </is>
      </c>
      <c r="AA566" s="3" t="inlineStr">
        <is>
          <t>2021-08-20</t>
        </is>
      </c>
    </row>
    <row r="567">
      <c r="A567" s="3" t="inlineStr">
        <is>
          <t>세종특별자치시 나성동 829</t>
        </is>
      </c>
      <c r="B567" s="3" t="inlineStr">
        <is>
          <t>중심상업지역</t>
        </is>
      </c>
      <c r="C567" s="3" t="inlineStr">
        <is>
          <t>대</t>
        </is>
      </c>
      <c r="D567" s="3" t="inlineStr">
        <is>
          <t>공장</t>
        </is>
      </c>
      <c r="E567" s="3" t="inlineStr">
        <is>
          <t>월세</t>
        </is>
      </c>
      <c r="F567" s="4" t="n">
        <v>3000</v>
      </c>
      <c r="G567" s="4" t="n">
        <v>300</v>
      </c>
      <c r="H567" s="4" t="n">
        <v>1239</v>
      </c>
      <c r="I567" s="4" t="n">
        <v>375</v>
      </c>
      <c r="J567" s="5" t="n">
        <v>0.8</v>
      </c>
      <c r="K567" s="4" t="n">
        <v>493</v>
      </c>
      <c r="L567" s="4" t="n">
        <v>149</v>
      </c>
      <c r="M567" s="5" t="n">
        <v>2</v>
      </c>
      <c r="N567" s="3" t="inlineStr">
        <is>
          <t>1</t>
        </is>
      </c>
      <c r="O567" s="3" t="inlineStr">
        <is>
          <t>-</t>
        </is>
      </c>
      <c r="P567" s="3" t="inlineStr">
        <is>
          <t>단독공장 2차선도로변 대형차진출입용이 전력80kw층고8m</t>
        </is>
      </c>
      <c r="Q567" s="6">
        <f>HYPERLINK("https://fin.land.naver.com/articles/2644664056", "매물Link")</f>
        <v/>
      </c>
      <c r="R567" s="6">
        <f>HYPERLINK("https://map.naver.com/p/search/세종특별자치시 나성동 829", "지도Link")</f>
        <v/>
      </c>
      <c r="S567" s="6">
        <f>HYPERLINK("http://www.eum.go.kr/web/ar/lu/luLandDet.jsp?pnu=3611010700108290000&amp;isNoScr=script&amp;mode=search", "토지이음")</f>
        <v/>
      </c>
      <c r="T567" s="3" t="inlineStr">
        <is>
          <t>더원</t>
        </is>
      </c>
      <c r="U567" s="3" t="n">
        <v>1</v>
      </c>
      <c r="V567" s="3" t="inlineStr">
        <is>
          <t>전망공간 기계실</t>
        </is>
      </c>
      <c r="W567" s="4" t="n">
        <v>493</v>
      </c>
      <c r="X567" s="3" t="inlineStr">
        <is>
          <t>철근콘크리트구조</t>
        </is>
      </c>
      <c r="Y567" s="3" t="inlineStr">
        <is>
          <t>제2종근린생활시설</t>
        </is>
      </c>
      <c r="Z567" s="3" t="inlineStr">
        <is>
          <t>-m</t>
        </is>
      </c>
      <c r="AA567" s="3" t="inlineStr">
        <is>
          <t>2021-08-20</t>
        </is>
      </c>
    </row>
    <row r="568">
      <c r="A568" s="3" t="inlineStr">
        <is>
          <t>세종특별자치시 나성동 829</t>
        </is>
      </c>
      <c r="B568" s="3" t="inlineStr">
        <is>
          <t>중심상업지역</t>
        </is>
      </c>
      <c r="C568" s="3" t="inlineStr">
        <is>
          <t>대</t>
        </is>
      </c>
      <c r="D568" s="3" t="inlineStr">
        <is>
          <t>공장</t>
        </is>
      </c>
      <c r="E568" s="3" t="inlineStr">
        <is>
          <t>매매</t>
        </is>
      </c>
      <c r="F568" s="4" t="n">
        <v>350000</v>
      </c>
      <c r="G568" s="4" t="n">
        <v>0</v>
      </c>
      <c r="H568" s="4" t="n">
        <v>7010</v>
      </c>
      <c r="I568" s="4" t="n">
        <v>2121</v>
      </c>
      <c r="J568" s="5" t="n">
        <v>165</v>
      </c>
      <c r="K568" s="4" t="n">
        <v>1313</v>
      </c>
      <c r="L568" s="4" t="n">
        <v>397</v>
      </c>
      <c r="M568" s="5" t="n">
        <v>881.6</v>
      </c>
      <c r="N568" s="3" t="inlineStr">
        <is>
          <t>1</t>
        </is>
      </c>
      <c r="O568" s="3" t="inlineStr">
        <is>
          <t>-</t>
        </is>
      </c>
      <c r="P568" s="3" t="inlineStr">
        <is>
          <t>4차선대로변 인접 공장지역 민원걱정없음 공장,물류창고 추천 호이스트설치</t>
        </is>
      </c>
      <c r="Q568" s="6">
        <f>HYPERLINK("https://fin.land.naver.com/articles/2644664087", "매물Link")</f>
        <v/>
      </c>
      <c r="R568" s="6">
        <f>HYPERLINK("https://map.naver.com/p/search/세종특별자치시 나성동 829", "지도Link")</f>
        <v/>
      </c>
      <c r="S568" s="6">
        <f>HYPERLINK("http://www.eum.go.kr/web/ar/lu/luLandDet.jsp?pnu=3611010700108290000&amp;isNoScr=script&amp;mode=search", "토지이음")</f>
        <v/>
      </c>
      <c r="T568" s="3" t="inlineStr">
        <is>
          <t>더원</t>
        </is>
      </c>
      <c r="U568" s="3" t="n">
        <v>1</v>
      </c>
      <c r="V568" s="3" t="inlineStr">
        <is>
          <t>605</t>
        </is>
      </c>
      <c r="W568" s="4" t="n">
        <v>1313</v>
      </c>
      <c r="X568" s="3" t="inlineStr">
        <is>
          <t>철근콘크리트구조</t>
        </is>
      </c>
      <c r="Y568" s="3" t="inlineStr">
        <is>
          <t>공동주택</t>
        </is>
      </c>
      <c r="Z568" s="3" t="inlineStr">
        <is>
          <t>45.30m</t>
        </is>
      </c>
      <c r="AA568" s="3" t="inlineStr">
        <is>
          <t>2021-08-20</t>
        </is>
      </c>
    </row>
    <row r="569">
      <c r="A569" s="3" t="inlineStr">
        <is>
          <t>세종특별자치시 나성동 829</t>
        </is>
      </c>
      <c r="B569" s="3" t="inlineStr">
        <is>
          <t>중심상업지역</t>
        </is>
      </c>
      <c r="C569" s="3" t="inlineStr">
        <is>
          <t>대</t>
        </is>
      </c>
      <c r="D569" s="3" t="inlineStr">
        <is>
          <t>공장</t>
        </is>
      </c>
      <c r="E569" s="3" t="inlineStr">
        <is>
          <t>매매</t>
        </is>
      </c>
      <c r="F569" s="4" t="n">
        <v>85000</v>
      </c>
      <c r="G569" s="4" t="n">
        <v>0</v>
      </c>
      <c r="H569" s="4" t="n">
        <v>1239</v>
      </c>
      <c r="I569" s="4" t="n">
        <v>375</v>
      </c>
      <c r="J569" s="5" t="n">
        <v>226.7</v>
      </c>
      <c r="K569" s="4" t="n">
        <v>493</v>
      </c>
      <c r="L569" s="4" t="n">
        <v>149</v>
      </c>
      <c r="M569" s="5" t="n">
        <v>570.5</v>
      </c>
      <c r="N569" s="3" t="inlineStr">
        <is>
          <t>1</t>
        </is>
      </c>
      <c r="O569" s="3" t="inlineStr">
        <is>
          <t>-</t>
        </is>
      </c>
      <c r="P569" s="3" t="inlineStr">
        <is>
          <t>증평IC 10분 2차선도로접 대형차 진출입 원활  전력80kW</t>
        </is>
      </c>
      <c r="Q569" s="6">
        <f>HYPERLINK("https://fin.land.naver.com/articles/2646022125", "매물Link")</f>
        <v/>
      </c>
      <c r="R569" s="6">
        <f>HYPERLINK("https://map.naver.com/p/search/세종특별자치시 나성동 829", "지도Link")</f>
        <v/>
      </c>
      <c r="S569" s="6">
        <f>HYPERLINK("http://www.eum.go.kr/web/ar/lu/luLandDet.jsp?pnu=3611010700108290000&amp;isNoScr=script&amp;mode=search", "토지이음")</f>
        <v/>
      </c>
      <c r="T569" s="3" t="inlineStr">
        <is>
          <t>더원</t>
        </is>
      </c>
      <c r="U569" s="3" t="n">
        <v>1</v>
      </c>
      <c r="V569" s="3" t="inlineStr">
        <is>
          <t>전망공간 기계실</t>
        </is>
      </c>
      <c r="W569" s="4" t="n">
        <v>493</v>
      </c>
      <c r="X569" s="3" t="inlineStr">
        <is>
          <t>철근콘크리트구조</t>
        </is>
      </c>
      <c r="Y569" s="3" t="inlineStr">
        <is>
          <t>제2종근린생활시설</t>
        </is>
      </c>
      <c r="Z569" s="3" t="inlineStr">
        <is>
          <t>-m</t>
        </is>
      </c>
      <c r="AA569" s="3" t="inlineStr">
        <is>
          <t>2021-08-20</t>
        </is>
      </c>
    </row>
    <row r="570">
      <c r="A570" s="3" t="inlineStr">
        <is>
          <t>세종특별자치시 나성동 829</t>
        </is>
      </c>
      <c r="B570" s="3" t="inlineStr">
        <is>
          <t>중심상업지역</t>
        </is>
      </c>
      <c r="C570" s="3" t="inlineStr">
        <is>
          <t>대</t>
        </is>
      </c>
      <c r="D570" s="3" t="inlineStr">
        <is>
          <t>공장</t>
        </is>
      </c>
      <c r="E570" s="3" t="inlineStr">
        <is>
          <t>월세</t>
        </is>
      </c>
      <c r="F570" s="4" t="n">
        <v>3000</v>
      </c>
      <c r="G570" s="4" t="n">
        <v>300</v>
      </c>
      <c r="H570" s="4" t="n">
        <v>1239</v>
      </c>
      <c r="I570" s="4" t="n">
        <v>375</v>
      </c>
      <c r="J570" s="5" t="n">
        <v>0.8</v>
      </c>
      <c r="K570" s="4" t="n">
        <v>493</v>
      </c>
      <c r="L570" s="4" t="n">
        <v>149</v>
      </c>
      <c r="M570" s="5" t="n">
        <v>2</v>
      </c>
      <c r="N570" s="3" t="inlineStr">
        <is>
          <t>1</t>
        </is>
      </c>
      <c r="O570" s="3" t="inlineStr">
        <is>
          <t>-</t>
        </is>
      </c>
      <c r="P570" s="3" t="inlineStr">
        <is>
          <t>청주,제조업소및창고</t>
        </is>
      </c>
      <c r="Q570" s="6">
        <f>HYPERLINK("https://fin.land.naver.com/articles/2646077920", "매물Link")</f>
        <v/>
      </c>
      <c r="R570" s="6">
        <f>HYPERLINK("https://map.naver.com/p/search/세종특별자치시 나성동 829", "지도Link")</f>
        <v/>
      </c>
      <c r="S570" s="6">
        <f>HYPERLINK("http://www.eum.go.kr/web/ar/lu/luLandDet.jsp?pnu=3611010700108290000&amp;isNoScr=script&amp;mode=search", "토지이음")</f>
        <v/>
      </c>
      <c r="T570" s="3" t="inlineStr">
        <is>
          <t>LBA리치아노합동사무소</t>
        </is>
      </c>
      <c r="U570" s="3" t="n">
        <v>1</v>
      </c>
      <c r="V570" s="3" t="inlineStr">
        <is>
          <t>전망공간 기계실</t>
        </is>
      </c>
      <c r="W570" s="4" t="n">
        <v>493</v>
      </c>
      <c r="X570" s="3" t="inlineStr">
        <is>
          <t>철근콘크리트구조</t>
        </is>
      </c>
      <c r="Y570" s="3" t="inlineStr">
        <is>
          <t>제2종근린생활시설</t>
        </is>
      </c>
      <c r="Z570" s="3" t="inlineStr">
        <is>
          <t>-m</t>
        </is>
      </c>
      <c r="AA570" s="3" t="inlineStr">
        <is>
          <t>2021-08-20</t>
        </is>
      </c>
    </row>
    <row r="571">
      <c r="A571" s="3" t="inlineStr">
        <is>
          <t>세종특별자치시 나성동 829</t>
        </is>
      </c>
      <c r="B571" s="3" t="inlineStr">
        <is>
          <t>중심상업지역</t>
        </is>
      </c>
      <c r="C571" s="3" t="inlineStr">
        <is>
          <t>대</t>
        </is>
      </c>
      <c r="D571" s="3" t="inlineStr">
        <is>
          <t>공장</t>
        </is>
      </c>
      <c r="E571" s="3" t="inlineStr">
        <is>
          <t>월세</t>
        </is>
      </c>
      <c r="F571" s="4" t="n">
        <v>3000</v>
      </c>
      <c r="G571" s="4" t="n">
        <v>250</v>
      </c>
      <c r="H571" s="4" t="n">
        <v>926</v>
      </c>
      <c r="I571" s="4" t="n">
        <v>280</v>
      </c>
      <c r="J571" s="5" t="n">
        <v>0.9</v>
      </c>
      <c r="K571" s="4" t="n">
        <v>369</v>
      </c>
      <c r="L571" s="4" t="n">
        <v>112</v>
      </c>
      <c r="M571" s="5" t="n">
        <v>2.2</v>
      </c>
      <c r="N571" s="3" t="inlineStr">
        <is>
          <t>1</t>
        </is>
      </c>
      <c r="O571" s="3" t="inlineStr">
        <is>
          <t>-</t>
        </is>
      </c>
      <c r="P571" s="3" t="inlineStr">
        <is>
          <t>북이면,제조업소및창고</t>
        </is>
      </c>
      <c r="Q571" s="6">
        <f>HYPERLINK("https://fin.land.naver.com/articles/2646094954", "매물Link")</f>
        <v/>
      </c>
      <c r="R571" s="6">
        <f>HYPERLINK("https://map.naver.com/p/search/세종특별자치시 나성동 829", "지도Link")</f>
        <v/>
      </c>
      <c r="S571" s="6">
        <f>HYPERLINK("http://www.eum.go.kr/web/ar/lu/luLandDet.jsp?pnu=3611010700108290000&amp;isNoScr=script&amp;mode=search", "토지이음")</f>
        <v/>
      </c>
      <c r="T571" s="3" t="inlineStr">
        <is>
          <t>LBA리치아노합동사무소</t>
        </is>
      </c>
      <c r="U571" s="3" t="n">
        <v>1</v>
      </c>
      <c r="V571" s="3" t="inlineStr">
        <is>
          <t>전망공간 기계실</t>
        </is>
      </c>
      <c r="W571" s="4" t="n">
        <v>369</v>
      </c>
      <c r="X571" s="3" t="inlineStr">
        <is>
          <t>철근콘크리트구조</t>
        </is>
      </c>
      <c r="Y571" s="3" t="inlineStr">
        <is>
          <t>제2종근린생활시설</t>
        </is>
      </c>
      <c r="Z571" s="3" t="inlineStr">
        <is>
          <t>-m</t>
        </is>
      </c>
      <c r="AA571" s="3" t="inlineStr">
        <is>
          <t>2021-08-20</t>
        </is>
      </c>
    </row>
    <row r="572">
      <c r="A572" s="3" t="inlineStr">
        <is>
          <t>세종특별자치시 나성동 829</t>
        </is>
      </c>
      <c r="B572" s="3" t="inlineStr">
        <is>
          <t>중심상업지역</t>
        </is>
      </c>
      <c r="C572" s="3" t="inlineStr">
        <is>
          <t>대</t>
        </is>
      </c>
      <c r="D572" s="3" t="inlineStr">
        <is>
          <t>창고</t>
        </is>
      </c>
      <c r="E572" s="3" t="inlineStr">
        <is>
          <t>월세</t>
        </is>
      </c>
      <c r="F572" s="4" t="n">
        <v>3000</v>
      </c>
      <c r="G572" s="4" t="n">
        <v>250</v>
      </c>
      <c r="H572" s="4" t="n">
        <v>2990</v>
      </c>
      <c r="I572" s="4" t="n">
        <v>904</v>
      </c>
      <c r="J572" s="5" t="n">
        <v>0.3</v>
      </c>
      <c r="K572" s="4" t="n">
        <v>1075</v>
      </c>
      <c r="L572" s="4" t="n">
        <v>325</v>
      </c>
      <c r="M572" s="5" t="n">
        <v>0.8</v>
      </c>
      <c r="N572" s="3" t="inlineStr">
        <is>
          <t>1</t>
        </is>
      </c>
      <c r="O572" s="3" t="inlineStr">
        <is>
          <t>-</t>
        </is>
      </c>
      <c r="P572" s="3" t="inlineStr">
        <is>
          <t>북이면,창고,저렴한가격</t>
        </is>
      </c>
      <c r="Q572" s="6">
        <f>HYPERLINK("https://fin.land.naver.com/articles/2646114244", "매물Link")</f>
        <v/>
      </c>
      <c r="R572" s="6">
        <f>HYPERLINK("https://map.naver.com/p/search/세종특별자치시 나성동 829", "지도Link")</f>
        <v/>
      </c>
      <c r="S572" s="6">
        <f>HYPERLINK("http://www.eum.go.kr/web/ar/lu/luLandDet.jsp?pnu=3611010700108290000&amp;isNoScr=script&amp;mode=search", "토지이음")</f>
        <v/>
      </c>
      <c r="T572" s="3" t="inlineStr">
        <is>
          <t>LBA리치아노합동사무소</t>
        </is>
      </c>
      <c r="U572" s="3" t="n">
        <v>1</v>
      </c>
      <c r="V572" s="3" t="inlineStr">
        <is>
          <t>604</t>
        </is>
      </c>
      <c r="W572" s="4" t="n">
        <v>1075</v>
      </c>
      <c r="X572" s="3" t="inlineStr">
        <is>
          <t>철근콘크리트구조</t>
        </is>
      </c>
      <c r="Y572" s="3" t="inlineStr">
        <is>
          <t>공동주택</t>
        </is>
      </c>
      <c r="Z572" s="3" t="inlineStr">
        <is>
          <t>38.30m</t>
        </is>
      </c>
      <c r="AA572" s="3" t="inlineStr">
        <is>
          <t>2021-08-20</t>
        </is>
      </c>
    </row>
    <row r="573">
      <c r="A573" s="3" t="inlineStr">
        <is>
          <t>세종특별자치시 나성동 829</t>
        </is>
      </c>
      <c r="B573" s="3" t="inlineStr">
        <is>
          <t>중심상업지역</t>
        </is>
      </c>
      <c r="C573" s="3" t="inlineStr">
        <is>
          <t>대</t>
        </is>
      </c>
      <c r="D573" s="3" t="inlineStr">
        <is>
          <t>공장</t>
        </is>
      </c>
      <c r="E573" s="3" t="inlineStr">
        <is>
          <t>월세</t>
        </is>
      </c>
      <c r="F573" s="4" t="n">
        <v>3000</v>
      </c>
      <c r="G573" s="4" t="n">
        <v>300</v>
      </c>
      <c r="H573" s="4" t="n">
        <v>1323</v>
      </c>
      <c r="I573" s="4" t="n">
        <v>400</v>
      </c>
      <c r="J573" s="5" t="n">
        <v>0.8</v>
      </c>
      <c r="K573" s="4" t="n">
        <v>495</v>
      </c>
      <c r="L573" s="4" t="n">
        <v>150</v>
      </c>
      <c r="M573" s="5" t="n">
        <v>2</v>
      </c>
      <c r="N573" s="3" t="inlineStr">
        <is>
          <t>1</t>
        </is>
      </c>
      <c r="O573" s="3" t="inlineStr">
        <is>
          <t>-</t>
        </is>
      </c>
      <c r="P573" s="3" t="inlineStr">
        <is>
          <t>청주공항인근,제조업소및창고</t>
        </is>
      </c>
      <c r="Q573" s="6">
        <f>HYPERLINK("https://fin.land.naver.com/articles/2646125837", "매물Link")</f>
        <v/>
      </c>
      <c r="R573" s="6">
        <f>HYPERLINK("https://map.naver.com/p/search/세종특별자치시 나성동 829", "지도Link")</f>
        <v/>
      </c>
      <c r="S573" s="6">
        <f>HYPERLINK("http://www.eum.go.kr/web/ar/lu/luLandDet.jsp?pnu=3611010700108290000&amp;isNoScr=script&amp;mode=search", "토지이음")</f>
        <v/>
      </c>
      <c r="T573" s="3" t="inlineStr">
        <is>
          <t>LBA리치아노합동사무소</t>
        </is>
      </c>
      <c r="U573" s="3" t="n">
        <v>1</v>
      </c>
      <c r="V573" s="3" t="inlineStr">
        <is>
          <t>전망공간 기계실</t>
        </is>
      </c>
      <c r="W573" s="4" t="n">
        <v>495</v>
      </c>
      <c r="X573" s="3" t="inlineStr">
        <is>
          <t>철근콘크리트구조</t>
        </is>
      </c>
      <c r="Y573" s="3" t="inlineStr">
        <is>
          <t>제2종근린생활시설</t>
        </is>
      </c>
      <c r="Z573" s="3" t="inlineStr">
        <is>
          <t>-m</t>
        </is>
      </c>
      <c r="AA573" s="3" t="inlineStr">
        <is>
          <t>2021-08-20</t>
        </is>
      </c>
    </row>
    <row r="574">
      <c r="A574" s="3" t="inlineStr">
        <is>
          <t>세종특별자치시 나성동 829</t>
        </is>
      </c>
      <c r="B574" s="3" t="inlineStr">
        <is>
          <t>중심상업지역</t>
        </is>
      </c>
      <c r="C574" s="3" t="inlineStr">
        <is>
          <t>대</t>
        </is>
      </c>
      <c r="D574" s="3" t="inlineStr">
        <is>
          <t>공장</t>
        </is>
      </c>
      <c r="E574" s="3" t="inlineStr">
        <is>
          <t>월세</t>
        </is>
      </c>
      <c r="F574" s="4" t="n">
        <v>3000</v>
      </c>
      <c r="G574" s="4" t="n">
        <v>350</v>
      </c>
      <c r="H574" s="4" t="n">
        <v>1445</v>
      </c>
      <c r="I574" s="4" t="n">
        <v>437</v>
      </c>
      <c r="J574" s="5" t="n">
        <v>0.8</v>
      </c>
      <c r="K574" s="4" t="n">
        <v>488</v>
      </c>
      <c r="L574" s="4" t="n">
        <v>148</v>
      </c>
      <c r="M574" s="5" t="n">
        <v>2.4</v>
      </c>
      <c r="N574" s="3" t="inlineStr">
        <is>
          <t>1</t>
        </is>
      </c>
      <c r="O574" s="3" t="inlineStr">
        <is>
          <t>-</t>
        </is>
      </c>
      <c r="P574" s="3" t="inlineStr">
        <is>
          <t>오창과학단지10분 증평i,c 5분 준크린룸 ,사무실 ,탕비실</t>
        </is>
      </c>
      <c r="Q574" s="6">
        <f>HYPERLINK("https://fin.land.naver.com/articles/2644808592", "매물Link")</f>
        <v/>
      </c>
      <c r="R574" s="6">
        <f>HYPERLINK("https://map.naver.com/p/search/세종특별자치시 나성동 829", "지도Link")</f>
        <v/>
      </c>
      <c r="S574" s="6">
        <f>HYPERLINK("http://www.eum.go.kr/web/ar/lu/luLandDet.jsp?pnu=3611010700108290000&amp;isNoScr=script&amp;mode=search", "토지이음")</f>
        <v/>
      </c>
      <c r="T574" s="3" t="inlineStr">
        <is>
          <t>공장365</t>
        </is>
      </c>
      <c r="U574" s="3" t="n">
        <v>1</v>
      </c>
      <c r="V574" s="3" t="inlineStr">
        <is>
          <t>전망공간 기계실</t>
        </is>
      </c>
      <c r="W574" s="4" t="n">
        <v>488</v>
      </c>
      <c r="X574" s="3" t="inlineStr">
        <is>
          <t>철근콘크리트구조</t>
        </is>
      </c>
      <c r="Y574" s="3" t="inlineStr">
        <is>
          <t>제2종근린생활시설</t>
        </is>
      </c>
      <c r="Z574" s="3" t="inlineStr">
        <is>
          <t>-m</t>
        </is>
      </c>
      <c r="AA574" s="3" t="inlineStr">
        <is>
          <t>2021-08-20</t>
        </is>
      </c>
    </row>
    <row r="575">
      <c r="A575" s="3" t="inlineStr">
        <is>
          <t>세종특별자치시 나성동 829</t>
        </is>
      </c>
      <c r="B575" s="3" t="inlineStr">
        <is>
          <t>중심상업지역</t>
        </is>
      </c>
      <c r="C575" s="3" t="inlineStr">
        <is>
          <t>대</t>
        </is>
      </c>
      <c r="D575" s="3" t="inlineStr">
        <is>
          <t>공장</t>
        </is>
      </c>
      <c r="E575" s="3" t="inlineStr">
        <is>
          <t>월세</t>
        </is>
      </c>
      <c r="F575" s="4" t="n">
        <v>2300</v>
      </c>
      <c r="G575" s="4" t="n">
        <v>230</v>
      </c>
      <c r="H575" s="4" t="n">
        <v>835</v>
      </c>
      <c r="I575" s="4" t="n">
        <v>253</v>
      </c>
      <c r="J575" s="5" t="n">
        <v>0.9</v>
      </c>
      <c r="K575" s="4" t="n">
        <v>330</v>
      </c>
      <c r="L575" s="4" t="n">
        <v>100</v>
      </c>
      <c r="M575" s="5" t="n">
        <v>2.3</v>
      </c>
      <c r="N575" s="3" t="inlineStr">
        <is>
          <t>1</t>
        </is>
      </c>
      <c r="O575" s="3" t="inlineStr">
        <is>
          <t>-</t>
        </is>
      </c>
      <c r="P575" s="3" t="inlineStr">
        <is>
          <t>오창i.c  증평i,c 10분  호이스트3톤 실내사무실</t>
        </is>
      </c>
      <c r="Q575" s="6">
        <f>HYPERLINK("https://fin.land.naver.com/articles/2644808594", "매물Link")</f>
        <v/>
      </c>
      <c r="R575" s="6">
        <f>HYPERLINK("https://map.naver.com/p/search/세종특별자치시 나성동 829", "지도Link")</f>
        <v/>
      </c>
      <c r="S575" s="6">
        <f>HYPERLINK("http://www.eum.go.kr/web/ar/lu/luLandDet.jsp?pnu=3611010700108290000&amp;isNoScr=script&amp;mode=search", "토지이음")</f>
        <v/>
      </c>
      <c r="T575" s="3" t="inlineStr">
        <is>
          <t>공장365</t>
        </is>
      </c>
      <c r="U575" s="3" t="n">
        <v>1</v>
      </c>
      <c r="V575" s="3" t="inlineStr">
        <is>
          <t>801</t>
        </is>
      </c>
      <c r="W575" s="4" t="n">
        <v>330</v>
      </c>
      <c r="X575" s="3" t="inlineStr">
        <is>
          <t>철근콘크리트구조</t>
        </is>
      </c>
      <c r="Y575" s="3" t="inlineStr">
        <is>
          <t>제2종근린생활시설</t>
        </is>
      </c>
      <c r="Z575" s="3" t="inlineStr">
        <is>
          <t>-m</t>
        </is>
      </c>
      <c r="AA575" s="3" t="inlineStr">
        <is>
          <t>2021-08-20</t>
        </is>
      </c>
    </row>
    <row r="576">
      <c r="A576" s="3" t="inlineStr">
        <is>
          <t>세종특별자치시 나성동 829</t>
        </is>
      </c>
      <c r="B576" s="3" t="inlineStr">
        <is>
          <t>중심상업지역</t>
        </is>
      </c>
      <c r="C576" s="3" t="inlineStr">
        <is>
          <t>대</t>
        </is>
      </c>
      <c r="D576" s="3" t="inlineStr">
        <is>
          <t>공장</t>
        </is>
      </c>
      <c r="E576" s="3" t="inlineStr">
        <is>
          <t>매매</t>
        </is>
      </c>
      <c r="F576" s="4" t="n">
        <v>135000</v>
      </c>
      <c r="G576" s="4" t="n">
        <v>0</v>
      </c>
      <c r="H576" s="4" t="n">
        <v>3167</v>
      </c>
      <c r="I576" s="4" t="n">
        <v>958</v>
      </c>
      <c r="J576" s="5" t="n">
        <v>140.9</v>
      </c>
      <c r="K576" s="4" t="n">
        <v>396</v>
      </c>
      <c r="L576" s="4" t="n">
        <v>120</v>
      </c>
      <c r="M576" s="5" t="n">
        <v>1125</v>
      </c>
      <c r="N576" s="3" t="inlineStr">
        <is>
          <t>1</t>
        </is>
      </c>
      <c r="O576" s="3" t="inlineStr">
        <is>
          <t>-</t>
        </is>
      </c>
      <c r="P576" s="3" t="inlineStr">
        <is>
          <t>장재교차로인근  종합재활용업으로 허가난 공장매매</t>
        </is>
      </c>
      <c r="Q576" s="6">
        <f>HYPERLINK("https://fin.land.naver.com/articles/2646668139", "매물Link")</f>
        <v/>
      </c>
      <c r="R576" s="6">
        <f>HYPERLINK("https://map.naver.com/p/search/세종특별자치시 나성동 829", "지도Link")</f>
        <v/>
      </c>
      <c r="S576" s="6">
        <f>HYPERLINK("http://www.eum.go.kr/web/ar/lu/luLandDet.jsp?pnu=3611010700108290000&amp;isNoScr=script&amp;mode=search", "토지이음")</f>
        <v/>
      </c>
      <c r="T576" s="3" t="inlineStr">
        <is>
          <t>더원</t>
        </is>
      </c>
      <c r="U576" s="3" t="n">
        <v>1</v>
      </c>
      <c r="V576" s="3" t="inlineStr">
        <is>
          <t>전망공간 기계실</t>
        </is>
      </c>
      <c r="W576" s="4" t="n">
        <v>396</v>
      </c>
      <c r="X576" s="3" t="inlineStr">
        <is>
          <t>철근콘크리트구조</t>
        </is>
      </c>
      <c r="Y576" s="3" t="inlineStr">
        <is>
          <t>제2종근린생활시설</t>
        </is>
      </c>
      <c r="Z576" s="3" t="inlineStr">
        <is>
          <t>-m</t>
        </is>
      </c>
      <c r="AA576" s="3" t="inlineStr">
        <is>
          <t>2021-08-20</t>
        </is>
      </c>
    </row>
    <row r="577">
      <c r="A577" s="3" t="inlineStr">
        <is>
          <t>세종특별자치시 나성동 829</t>
        </is>
      </c>
      <c r="B577" s="3" t="inlineStr">
        <is>
          <t>중심상업지역</t>
        </is>
      </c>
      <c r="C577" s="3" t="inlineStr">
        <is>
          <t>대</t>
        </is>
      </c>
      <c r="D577" s="3" t="inlineStr">
        <is>
          <t>공장</t>
        </is>
      </c>
      <c r="E577" s="3" t="inlineStr">
        <is>
          <t>매매</t>
        </is>
      </c>
      <c r="F577" s="4" t="n">
        <v>400000</v>
      </c>
      <c r="G577" s="4" t="n">
        <v>0</v>
      </c>
      <c r="H577" s="4" t="n">
        <v>6247</v>
      </c>
      <c r="I577" s="4" t="n">
        <v>1890</v>
      </c>
      <c r="J577" s="5" t="n">
        <v>211.6</v>
      </c>
      <c r="K577" s="4" t="n">
        <v>2334</v>
      </c>
      <c r="L577" s="4" t="n">
        <v>706</v>
      </c>
      <c r="M577" s="5" t="n">
        <v>566.6</v>
      </c>
      <c r="N577" s="3" t="inlineStr">
        <is>
          <t>1</t>
        </is>
      </c>
      <c r="O577" s="3" t="inlineStr">
        <is>
          <t>-</t>
        </is>
      </c>
      <c r="P577" s="3" t="inlineStr">
        <is>
          <t>4차선대로변 광고효과좋은 위치의 공장 현임대중</t>
        </is>
      </c>
      <c r="Q577" s="6">
        <f>HYPERLINK("https://fin.land.naver.com/articles/2646668663", "매물Link")</f>
        <v/>
      </c>
      <c r="R577" s="6">
        <f>HYPERLINK("https://map.naver.com/p/search/세종특별자치시 나성동 829", "지도Link")</f>
        <v/>
      </c>
      <c r="S577" s="6">
        <f>HYPERLINK("http://www.eum.go.kr/web/ar/lu/luLandDet.jsp?pnu=3611010700108290000&amp;isNoScr=script&amp;mode=search", "토지이음")</f>
        <v/>
      </c>
      <c r="T577" s="3" t="inlineStr">
        <is>
          <t>더원</t>
        </is>
      </c>
      <c r="U577" s="3" t="n">
        <v>1</v>
      </c>
      <c r="V577" s="3" t="inlineStr">
        <is>
          <t>근린생활시설 지하주차장</t>
        </is>
      </c>
      <c r="W577" s="4" t="n">
        <v>2334</v>
      </c>
      <c r="X577" s="3" t="inlineStr">
        <is>
          <t>철근콘크리트구조</t>
        </is>
      </c>
      <c r="Y577" s="3" t="inlineStr">
        <is>
          <t>제2종근린생활시설</t>
        </is>
      </c>
      <c r="Z577" s="3" t="inlineStr">
        <is>
          <t>-m</t>
        </is>
      </c>
      <c r="AA577" s="3" t="inlineStr">
        <is>
          <t>2021-08-20</t>
        </is>
      </c>
    </row>
    <row r="578">
      <c r="A578" s="3" t="inlineStr">
        <is>
          <t>세종특별자치시 나성동 829</t>
        </is>
      </c>
      <c r="B578" s="3" t="inlineStr">
        <is>
          <t>중심상업지역</t>
        </is>
      </c>
      <c r="C578" s="3" t="inlineStr">
        <is>
          <t>대</t>
        </is>
      </c>
      <c r="D578" s="3" t="inlineStr">
        <is>
          <t>공장</t>
        </is>
      </c>
      <c r="E578" s="3" t="inlineStr">
        <is>
          <t>월세</t>
        </is>
      </c>
      <c r="F578" s="4" t="n">
        <v>6000</v>
      </c>
      <c r="G578" s="4" t="n">
        <v>600</v>
      </c>
      <c r="H578" s="4" t="n">
        <v>4995</v>
      </c>
      <c r="I578" s="4" t="n">
        <v>1511</v>
      </c>
      <c r="J578" s="5" t="n">
        <v>0.4</v>
      </c>
      <c r="K578" s="4" t="n">
        <v>992</v>
      </c>
      <c r="L578" s="4" t="n">
        <v>300</v>
      </c>
      <c r="M578" s="5" t="n">
        <v>2</v>
      </c>
      <c r="N578" s="3" t="inlineStr">
        <is>
          <t>1</t>
        </is>
      </c>
      <c r="O578" s="3" t="inlineStr">
        <is>
          <t>-</t>
        </is>
      </c>
      <c r="P578" s="3" t="inlineStr">
        <is>
          <t>신축공장 증평ic4.7km 고속도로 접근성최상 .청주오창 등 이동용이</t>
        </is>
      </c>
      <c r="Q578" s="6">
        <f>HYPERLINK("https://fin.land.naver.com/articles/2646669079", "매물Link")</f>
        <v/>
      </c>
      <c r="R578" s="6">
        <f>HYPERLINK("https://map.naver.com/p/search/세종특별자치시 나성동 829", "지도Link")</f>
        <v/>
      </c>
      <c r="S578" s="6">
        <f>HYPERLINK("http://www.eum.go.kr/web/ar/lu/luLandDet.jsp?pnu=3611010700108290000&amp;isNoScr=script&amp;mode=search", "토지이음")</f>
        <v/>
      </c>
      <c r="T578" s="3" t="inlineStr">
        <is>
          <t>더원</t>
        </is>
      </c>
      <c r="U578" s="3" t="n">
        <v>1</v>
      </c>
      <c r="V578" s="3" t="inlineStr">
        <is>
          <t>604</t>
        </is>
      </c>
      <c r="W578" s="4" t="n">
        <v>992</v>
      </c>
      <c r="X578" s="3" t="inlineStr">
        <is>
          <t>철근콘크리트구조</t>
        </is>
      </c>
      <c r="Y578" s="3" t="inlineStr">
        <is>
          <t>공동주택</t>
        </is>
      </c>
      <c r="Z578" s="3" t="inlineStr">
        <is>
          <t>38.30m</t>
        </is>
      </c>
      <c r="AA578" s="3" t="inlineStr">
        <is>
          <t>2021-08-20</t>
        </is>
      </c>
    </row>
    <row r="579">
      <c r="A579" s="3" t="inlineStr">
        <is>
          <t>세종특별자치시 나성동 829</t>
        </is>
      </c>
      <c r="B579" s="3" t="inlineStr">
        <is>
          <t>중심상업지역</t>
        </is>
      </c>
      <c r="C579" s="3" t="inlineStr">
        <is>
          <t>대</t>
        </is>
      </c>
      <c r="D579" s="3" t="inlineStr">
        <is>
          <t>공장</t>
        </is>
      </c>
      <c r="E579" s="3" t="inlineStr">
        <is>
          <t>월세</t>
        </is>
      </c>
      <c r="F579" s="4" t="n">
        <v>2300</v>
      </c>
      <c r="G579" s="4" t="n">
        <v>230</v>
      </c>
      <c r="H579" s="4" t="n">
        <v>928</v>
      </c>
      <c r="I579" s="4" t="n">
        <v>281</v>
      </c>
      <c r="J579" s="5" t="n">
        <v>0.8</v>
      </c>
      <c r="K579" s="4" t="n">
        <v>330</v>
      </c>
      <c r="L579" s="4" t="n">
        <v>100</v>
      </c>
      <c r="M579" s="5" t="n">
        <v>2.3</v>
      </c>
      <c r="N579" s="3" t="inlineStr">
        <is>
          <t>1</t>
        </is>
      </c>
      <c r="O579" s="3" t="inlineStr">
        <is>
          <t>-</t>
        </is>
      </c>
      <c r="P579" s="3" t="inlineStr">
        <is>
          <t>청주공항인근,제조업소및창고,호이스트3톤</t>
        </is>
      </c>
      <c r="Q579" s="6">
        <f>HYPERLINK("https://fin.land.naver.com/articles/2646705484", "매물Link")</f>
        <v/>
      </c>
      <c r="R579" s="6">
        <f>HYPERLINK("https://map.naver.com/p/search/세종특별자치시 나성동 829", "지도Link")</f>
        <v/>
      </c>
      <c r="S579" s="6">
        <f>HYPERLINK("http://www.eum.go.kr/web/ar/lu/luLandDet.jsp?pnu=3611010700108290000&amp;isNoScr=script&amp;mode=search", "토지이음")</f>
        <v/>
      </c>
      <c r="T579" s="3" t="inlineStr">
        <is>
          <t>LBA리치아노합동사무소</t>
        </is>
      </c>
      <c r="U579" s="3" t="n">
        <v>2</v>
      </c>
      <c r="V579" s="3" t="inlineStr">
        <is>
          <t>801</t>
        </is>
      </c>
      <c r="W579" s="4" t="n">
        <v>330</v>
      </c>
      <c r="X579" s="3" t="inlineStr">
        <is>
          <t>철근콘크리트구조</t>
        </is>
      </c>
      <c r="Y579" s="3" t="inlineStr">
        <is>
          <t>제2종근린생활시설</t>
        </is>
      </c>
      <c r="Z579" s="3" t="inlineStr">
        <is>
          <t>-m</t>
        </is>
      </c>
      <c r="AA579" s="3" t="inlineStr">
        <is>
          <t>2021-08-20</t>
        </is>
      </c>
    </row>
    <row r="580">
      <c r="A580" s="3" t="inlineStr">
        <is>
          <t>세종특별자치시 나성동 829</t>
        </is>
      </c>
      <c r="B580" s="3" t="inlineStr">
        <is>
          <t>중심상업지역</t>
        </is>
      </c>
      <c r="C580" s="3" t="inlineStr">
        <is>
          <t>대</t>
        </is>
      </c>
      <c r="D580" s="3" t="inlineStr">
        <is>
          <t>공장</t>
        </is>
      </c>
      <c r="E580" s="3" t="inlineStr">
        <is>
          <t>매매</t>
        </is>
      </c>
      <c r="F580" s="4" t="n">
        <v>73000</v>
      </c>
      <c r="G580" s="4" t="n">
        <v>0</v>
      </c>
      <c r="H580" s="4" t="n">
        <v>1001</v>
      </c>
      <c r="I580" s="4" t="n">
        <v>303</v>
      </c>
      <c r="J580" s="5" t="n">
        <v>240.9</v>
      </c>
      <c r="K580" s="4" t="n">
        <v>398</v>
      </c>
      <c r="L580" s="4" t="n">
        <v>120</v>
      </c>
      <c r="M580" s="5" t="n">
        <v>608.3</v>
      </c>
      <c r="N580" s="3" t="inlineStr">
        <is>
          <t>1</t>
        </is>
      </c>
      <c r="O580" s="3" t="inlineStr">
        <is>
          <t>-</t>
        </is>
      </c>
      <c r="P580" s="3" t="inlineStr">
        <is>
          <t>증평i,c 5분 오창i,c10분 율량동20분 오창과학단지생활권 호이스트3</t>
        </is>
      </c>
      <c r="Q580" s="6">
        <f>HYPERLINK("https://fin.land.naver.com/articles/2646747849", "매물Link")</f>
        <v/>
      </c>
      <c r="R580" s="6">
        <f>HYPERLINK("https://map.naver.com/p/search/세종특별자치시 나성동 829", "지도Link")</f>
        <v/>
      </c>
      <c r="S580" s="6">
        <f>HYPERLINK("http://www.eum.go.kr/web/ar/lu/luLandDet.jsp?pnu=3611010700108290000&amp;isNoScr=script&amp;mode=search", "토지이음")</f>
        <v/>
      </c>
      <c r="T580" s="3" t="inlineStr">
        <is>
          <t>공장365</t>
        </is>
      </c>
      <c r="U580" s="3" t="n">
        <v>1</v>
      </c>
      <c r="V580" s="3" t="inlineStr">
        <is>
          <t>전망공간 기계실</t>
        </is>
      </c>
      <c r="W580" s="4" t="n">
        <v>398</v>
      </c>
      <c r="X580" s="3" t="inlineStr">
        <is>
          <t>철근콘크리트구조</t>
        </is>
      </c>
      <c r="Y580" s="3" t="inlineStr">
        <is>
          <t>제2종근린생활시설</t>
        </is>
      </c>
      <c r="Z580" s="3" t="inlineStr">
        <is>
          <t>-m</t>
        </is>
      </c>
      <c r="AA580" s="3" t="inlineStr">
        <is>
          <t>2021-08-20</t>
        </is>
      </c>
    </row>
    <row r="581">
      <c r="A581" s="3" t="inlineStr">
        <is>
          <t>세종특별자치시 나성동 829</t>
        </is>
      </c>
      <c r="B581" s="3" t="inlineStr">
        <is>
          <t>중심상업지역</t>
        </is>
      </c>
      <c r="C581" s="3" t="inlineStr">
        <is>
          <t>대</t>
        </is>
      </c>
      <c r="D581" s="3" t="inlineStr">
        <is>
          <t>공장</t>
        </is>
      </c>
      <c r="E581" s="3" t="inlineStr">
        <is>
          <t>매매</t>
        </is>
      </c>
      <c r="F581" s="4" t="n">
        <v>70000</v>
      </c>
      <c r="G581" s="4" t="n">
        <v>0</v>
      </c>
      <c r="H581" s="4" t="n">
        <v>1881</v>
      </c>
      <c r="I581" s="4" t="n">
        <v>569</v>
      </c>
      <c r="J581" s="5" t="n">
        <v>123</v>
      </c>
      <c r="K581" s="4" t="n">
        <v>300</v>
      </c>
      <c r="L581" s="4" t="n">
        <v>91</v>
      </c>
      <c r="M581" s="5" t="n">
        <v>769.2</v>
      </c>
      <c r="N581" s="3" t="inlineStr">
        <is>
          <t>1</t>
        </is>
      </c>
      <c r="O581" s="3" t="inlineStr">
        <is>
          <t>-</t>
        </is>
      </c>
      <c r="P581" s="3" t="inlineStr">
        <is>
          <t>장양리 2종근생 2동  감정가격이하로 매매</t>
        </is>
      </c>
      <c r="Q581" s="6">
        <f>HYPERLINK("https://fin.land.naver.com/articles/2648346543", "매물Link")</f>
        <v/>
      </c>
      <c r="R581" s="6">
        <f>HYPERLINK("https://map.naver.com/p/search/세종특별자치시 나성동 829", "지도Link")</f>
        <v/>
      </c>
      <c r="S581" s="6">
        <f>HYPERLINK("http://www.eum.go.kr/web/ar/lu/luLandDet.jsp?pnu=3611010700108290000&amp;isNoScr=script&amp;mode=search", "토지이음")</f>
        <v/>
      </c>
      <c r="T581" s="3" t="inlineStr">
        <is>
          <t>더원</t>
        </is>
      </c>
      <c r="U581" s="3" t="n">
        <v>1</v>
      </c>
      <c r="V581" s="3" t="inlineStr">
        <is>
          <t>801</t>
        </is>
      </c>
      <c r="W581" s="4" t="n">
        <v>300</v>
      </c>
      <c r="X581" s="3" t="inlineStr">
        <is>
          <t>철근콘크리트구조</t>
        </is>
      </c>
      <c r="Y581" s="3" t="inlineStr">
        <is>
          <t>제2종근린생활시설</t>
        </is>
      </c>
      <c r="Z581" s="3" t="inlineStr">
        <is>
          <t>-m</t>
        </is>
      </c>
      <c r="AA581" s="3" t="inlineStr">
        <is>
          <t>2021-08-20</t>
        </is>
      </c>
    </row>
    <row r="582">
      <c r="A582" s="3" t="inlineStr">
        <is>
          <t>세종특별자치시 나성동 829</t>
        </is>
      </c>
      <c r="B582" s="3" t="inlineStr">
        <is>
          <t>중심상업지역</t>
        </is>
      </c>
      <c r="C582" s="3" t="inlineStr">
        <is>
          <t>대</t>
        </is>
      </c>
      <c r="D582" s="3" t="inlineStr">
        <is>
          <t>창고</t>
        </is>
      </c>
      <c r="E582" s="3" t="inlineStr">
        <is>
          <t>월세</t>
        </is>
      </c>
      <c r="F582" s="4" t="n">
        <v>10000</v>
      </c>
      <c r="G582" s="4" t="n">
        <v>0</v>
      </c>
      <c r="H582" s="4" t="n">
        <v>5912</v>
      </c>
      <c r="I582" s="4" t="n">
        <v>1788</v>
      </c>
      <c r="J582" s="5" t="n">
        <v>0</v>
      </c>
      <c r="K582" s="4" t="n">
        <v>1625</v>
      </c>
      <c r="L582" s="4" t="n">
        <v>492</v>
      </c>
      <c r="M582" s="5" t="n">
        <v>0</v>
      </c>
      <c r="N582" s="3" t="inlineStr">
        <is>
          <t>1</t>
        </is>
      </c>
      <c r="O582" s="3" t="inlineStr">
        <is>
          <t>-</t>
        </is>
      </c>
      <c r="P582" s="3" t="inlineStr">
        <is>
          <t>서오창ic인근에 위치해 물류창고로 적합</t>
        </is>
      </c>
      <c r="Q582" s="6">
        <f>HYPERLINK("https://fin.land.naver.com/articles/2649121339", "매물Link")</f>
        <v/>
      </c>
      <c r="R582" s="6">
        <f>HYPERLINK("https://map.naver.com/p/search/세종특별자치시 나성동 829", "지도Link")</f>
        <v/>
      </c>
      <c r="S582" s="6">
        <f>HYPERLINK("http://www.eum.go.kr/web/ar/lu/luLandDet.jsp?pnu=3611010700108290000&amp;isNoScr=script&amp;mode=search", "토지이음")</f>
        <v/>
      </c>
      <c r="T582" s="3" t="inlineStr">
        <is>
          <t>창고의여왕</t>
        </is>
      </c>
      <c r="U582" s="3" t="n">
        <v>1</v>
      </c>
      <c r="V582" s="3" t="inlineStr">
        <is>
          <t>901(전망공간)</t>
        </is>
      </c>
      <c r="W582" s="4" t="n">
        <v>1625</v>
      </c>
      <c r="X582" s="3" t="inlineStr">
        <is>
          <t>철근콘크리트구조</t>
        </is>
      </c>
      <c r="Y582" s="3" t="inlineStr">
        <is>
          <t>제2종근린생활시설</t>
        </is>
      </c>
      <c r="Z582" s="3" t="inlineStr">
        <is>
          <t>-m</t>
        </is>
      </c>
      <c r="AA582" s="3" t="inlineStr">
        <is>
          <t>2021-08-20</t>
        </is>
      </c>
    </row>
    <row r="583">
      <c r="A583" s="3" t="inlineStr">
        <is>
          <t>세종특별자치시 나성동 829</t>
        </is>
      </c>
      <c r="B583" s="3" t="inlineStr">
        <is>
          <t>중심상업지역</t>
        </is>
      </c>
      <c r="C583" s="3" t="inlineStr">
        <is>
          <t>대</t>
        </is>
      </c>
      <c r="D583" s="3" t="inlineStr">
        <is>
          <t>공장</t>
        </is>
      </c>
      <c r="E583" s="3" t="inlineStr">
        <is>
          <t>월세</t>
        </is>
      </c>
      <c r="F583" s="4" t="n">
        <v>1500</v>
      </c>
      <c r="G583" s="4" t="n">
        <v>140</v>
      </c>
      <c r="H583" s="4" t="n">
        <v>531</v>
      </c>
      <c r="I583" s="4" t="n">
        <v>161</v>
      </c>
      <c r="J583" s="5" t="n">
        <v>0.9</v>
      </c>
      <c r="K583" s="4" t="n">
        <v>186</v>
      </c>
      <c r="L583" s="4" t="n">
        <v>56</v>
      </c>
      <c r="M583" s="5" t="n">
        <v>2.5</v>
      </c>
      <c r="N583" s="3" t="inlineStr">
        <is>
          <t>1</t>
        </is>
      </c>
      <c r="O583" s="3" t="inlineStr">
        <is>
          <t>-</t>
        </is>
      </c>
      <c r="P583" s="3" t="inlineStr">
        <is>
          <t>오창ic8분상수동. 하수종말처리직관 식품업종가능 창고추천 매물 정보</t>
        </is>
      </c>
      <c r="Q583" s="6">
        <f>HYPERLINK("https://fin.land.naver.com/articles/2644022604", "매물Link")</f>
        <v/>
      </c>
      <c r="R583" s="6">
        <f>HYPERLINK("https://map.naver.com/p/search/세종특별자치시 나성동 829", "지도Link")</f>
        <v/>
      </c>
      <c r="S583" s="6">
        <f>HYPERLINK("http://www.eum.go.kr/web/ar/lu/luLandDet.jsp?pnu=3611010700108290000&amp;isNoScr=script&amp;mode=search", "토지이음")</f>
        <v/>
      </c>
      <c r="T583" s="3" t="inlineStr">
        <is>
          <t>더원</t>
        </is>
      </c>
      <c r="U583" s="3" t="n">
        <v>1</v>
      </c>
      <c r="V583" s="3" t="inlineStr">
        <is>
          <t>701</t>
        </is>
      </c>
      <c r="W583" s="4" t="n">
        <v>186</v>
      </c>
      <c r="X583" s="3" t="inlineStr">
        <is>
          <t>철근콘크리트구조</t>
        </is>
      </c>
      <c r="Y583" s="3" t="inlineStr">
        <is>
          <t>판매시설</t>
        </is>
      </c>
      <c r="Z583" s="3" t="inlineStr">
        <is>
          <t>-m</t>
        </is>
      </c>
      <c r="AA583" s="3" t="inlineStr">
        <is>
          <t>2021-08-20</t>
        </is>
      </c>
    </row>
    <row r="584">
      <c r="A584" s="3" t="inlineStr">
        <is>
          <t>세종특별자치시 나성동 829</t>
        </is>
      </c>
      <c r="B584" s="3" t="inlineStr">
        <is>
          <t>중심상업지역</t>
        </is>
      </c>
      <c r="C584" s="3" t="inlineStr">
        <is>
          <t>대</t>
        </is>
      </c>
      <c r="D584" s="3" t="inlineStr">
        <is>
          <t>공장</t>
        </is>
      </c>
      <c r="E584" s="3" t="inlineStr">
        <is>
          <t>월세</t>
        </is>
      </c>
      <c r="F584" s="4" t="n">
        <v>3000</v>
      </c>
      <c r="G584" s="4" t="n">
        <v>280</v>
      </c>
      <c r="H584" s="4" t="n">
        <v>1039</v>
      </c>
      <c r="I584" s="4" t="n">
        <v>314</v>
      </c>
      <c r="J584" s="5" t="n">
        <v>0.9</v>
      </c>
      <c r="K584" s="4" t="n">
        <v>384</v>
      </c>
      <c r="L584" s="4" t="n">
        <v>116</v>
      </c>
      <c r="M584" s="5" t="n">
        <v>2.4</v>
      </c>
      <c r="N584" s="3" t="inlineStr">
        <is>
          <t>1</t>
        </is>
      </c>
      <c r="O584" s="3" t="inlineStr">
        <is>
          <t>-</t>
        </is>
      </c>
      <c r="P584" s="3" t="inlineStr">
        <is>
          <t>오창ic 8분 2종근생 상수도 하수종말처리장 직관 식품업종가능</t>
        </is>
      </c>
      <c r="Q584" s="6">
        <f>HYPERLINK("https://fin.land.naver.com/articles/2644022613", "매물Link")</f>
        <v/>
      </c>
      <c r="R584" s="6">
        <f>HYPERLINK("https://map.naver.com/p/search/세종특별자치시 나성동 829", "지도Link")</f>
        <v/>
      </c>
      <c r="S584" s="6">
        <f>HYPERLINK("http://www.eum.go.kr/web/ar/lu/luLandDet.jsp?pnu=3611010700108290000&amp;isNoScr=script&amp;mode=search", "토지이음")</f>
        <v/>
      </c>
      <c r="T584" s="3" t="inlineStr">
        <is>
          <t>더원</t>
        </is>
      </c>
      <c r="U584" s="3" t="n">
        <v>1</v>
      </c>
      <c r="V584" s="3" t="inlineStr">
        <is>
          <t>전망공간 기계실</t>
        </is>
      </c>
      <c r="W584" s="4" t="n">
        <v>384</v>
      </c>
      <c r="X584" s="3" t="inlineStr">
        <is>
          <t>철근콘크리트구조</t>
        </is>
      </c>
      <c r="Y584" s="3" t="inlineStr">
        <is>
          <t>제2종근린생활시설</t>
        </is>
      </c>
      <c r="Z584" s="3" t="inlineStr">
        <is>
          <t>-m</t>
        </is>
      </c>
      <c r="AA584" s="3" t="inlineStr">
        <is>
          <t>2021-08-20</t>
        </is>
      </c>
    </row>
    <row r="585">
      <c r="A585" s="3" t="inlineStr">
        <is>
          <t>세종특별자치시 나성동 829</t>
        </is>
      </c>
      <c r="B585" s="3" t="inlineStr">
        <is>
          <t>중심상업지역</t>
        </is>
      </c>
      <c r="C585" s="3" t="inlineStr">
        <is>
          <t>대</t>
        </is>
      </c>
      <c r="D585" s="3" t="inlineStr">
        <is>
          <t>공장</t>
        </is>
      </c>
      <c r="E585" s="3" t="inlineStr">
        <is>
          <t>월세</t>
        </is>
      </c>
      <c r="F585" s="4" t="n">
        <v>2000</v>
      </c>
      <c r="G585" s="4" t="n">
        <v>140</v>
      </c>
      <c r="H585" s="4" t="n">
        <v>508</v>
      </c>
      <c r="I585" s="4" t="n">
        <v>154</v>
      </c>
      <c r="J585" s="5" t="n">
        <v>0.9</v>
      </c>
      <c r="K585" s="4" t="n">
        <v>198</v>
      </c>
      <c r="L585" s="4" t="n">
        <v>60</v>
      </c>
      <c r="M585" s="5" t="n">
        <v>2.3</v>
      </c>
      <c r="N585" s="3" t="inlineStr">
        <is>
          <t>1</t>
        </is>
      </c>
      <c r="O585" s="3" t="inlineStr">
        <is>
          <t>-</t>
        </is>
      </c>
      <c r="P585" s="3" t="inlineStr">
        <is>
          <t>오창ic 8분 2종근생 제조업허가 상수도 하수종말처리장직관 식품업종가능</t>
        </is>
      </c>
      <c r="Q585" s="6">
        <f>HYPERLINK("https://fin.land.naver.com/articles/2644022626", "매물Link")</f>
        <v/>
      </c>
      <c r="R585" s="6">
        <f>HYPERLINK("https://map.naver.com/p/search/세종특별자치시 나성동 829", "지도Link")</f>
        <v/>
      </c>
      <c r="S585" s="6">
        <f>HYPERLINK("http://www.eum.go.kr/web/ar/lu/luLandDet.jsp?pnu=3611010700108290000&amp;isNoScr=script&amp;mode=search", "토지이음")</f>
        <v/>
      </c>
      <c r="T585" s="3" t="inlineStr">
        <is>
          <t>더원</t>
        </is>
      </c>
      <c r="U585" s="3" t="n">
        <v>1</v>
      </c>
      <c r="V585" s="3" t="inlineStr">
        <is>
          <t>공동주택 주민공동시설</t>
        </is>
      </c>
      <c r="W585" s="4" t="n">
        <v>198</v>
      </c>
      <c r="X585" s="3" t="inlineStr">
        <is>
          <t>철근콘크리트구조</t>
        </is>
      </c>
      <c r="Y585" s="3" t="inlineStr">
        <is>
          <t>공동주택</t>
        </is>
      </c>
      <c r="Z585" s="3" t="inlineStr">
        <is>
          <t>-m</t>
        </is>
      </c>
      <c r="AA585" s="3" t="inlineStr">
        <is>
          <t>2021-08-20</t>
        </is>
      </c>
    </row>
    <row r="586">
      <c r="A586" s="3" t="inlineStr">
        <is>
          <t>세종특별자치시 나성동 829</t>
        </is>
      </c>
      <c r="B586" s="3" t="inlineStr">
        <is>
          <t>중심상업지역</t>
        </is>
      </c>
      <c r="C586" s="3" t="inlineStr">
        <is>
          <t>대</t>
        </is>
      </c>
      <c r="D586" s="3" t="inlineStr">
        <is>
          <t>공장</t>
        </is>
      </c>
      <c r="E586" s="3" t="inlineStr">
        <is>
          <t>월세</t>
        </is>
      </c>
      <c r="F586" s="4" t="n">
        <v>4000</v>
      </c>
      <c r="G586" s="4" t="n">
        <v>420</v>
      </c>
      <c r="H586" s="4" t="n">
        <v>1700</v>
      </c>
      <c r="I586" s="4" t="n">
        <v>514</v>
      </c>
      <c r="J586" s="5" t="n">
        <v>0.8</v>
      </c>
      <c r="K586" s="4" t="n">
        <v>671</v>
      </c>
      <c r="L586" s="4" t="n">
        <v>203</v>
      </c>
      <c r="M586" s="5" t="n">
        <v>2.1</v>
      </c>
      <c r="N586" s="3" t="inlineStr">
        <is>
          <t>1</t>
        </is>
      </c>
      <c r="O586" s="3" t="inlineStr">
        <is>
          <t>-</t>
        </is>
      </c>
      <c r="P586" s="3" t="inlineStr">
        <is>
          <t>오창ic 10분LG엔솔인근 공장 호이스트설치전력100KW</t>
        </is>
      </c>
      <c r="Q586" s="6">
        <f>HYPERLINK("https://fin.land.naver.com/articles/2644663617", "매물Link")</f>
        <v/>
      </c>
      <c r="R586" s="6">
        <f>HYPERLINK("https://map.naver.com/p/search/세종특별자치시 나성동 829", "지도Link")</f>
        <v/>
      </c>
      <c r="S586" s="6">
        <f>HYPERLINK("http://www.eum.go.kr/web/ar/lu/luLandDet.jsp?pnu=3611010700108290000&amp;isNoScr=script&amp;mode=search", "토지이음")</f>
        <v/>
      </c>
      <c r="T586" s="3" t="inlineStr">
        <is>
          <t>더원</t>
        </is>
      </c>
      <c r="U586" s="3" t="n">
        <v>1</v>
      </c>
      <c r="V586" s="3" t="inlineStr">
        <is>
          <t>803</t>
        </is>
      </c>
      <c r="W586" s="4" t="n">
        <v>671</v>
      </c>
      <c r="X586" s="3" t="inlineStr">
        <is>
          <t>철근콘크리트구조</t>
        </is>
      </c>
      <c r="Y586" s="3" t="inlineStr">
        <is>
          <t>제2종근린생활시설</t>
        </is>
      </c>
      <c r="Z586" s="3" t="inlineStr">
        <is>
          <t>-m</t>
        </is>
      </c>
      <c r="AA586" s="3" t="inlineStr">
        <is>
          <t>2021-08-20</t>
        </is>
      </c>
    </row>
    <row r="587">
      <c r="A587" s="3" t="inlineStr">
        <is>
          <t>세종특별자치시 나성동 829</t>
        </is>
      </c>
      <c r="B587" s="3" t="inlineStr">
        <is>
          <t>중심상업지역</t>
        </is>
      </c>
      <c r="C587" s="3" t="inlineStr">
        <is>
          <t>대</t>
        </is>
      </c>
      <c r="D587" s="3" t="inlineStr">
        <is>
          <t>공장</t>
        </is>
      </c>
      <c r="E587" s="3" t="inlineStr">
        <is>
          <t>매매</t>
        </is>
      </c>
      <c r="F587" s="4" t="n">
        <v>1550000</v>
      </c>
      <c r="G587" s="4" t="n">
        <v>0</v>
      </c>
      <c r="H587" s="4" t="n">
        <v>8081</v>
      </c>
      <c r="I587" s="4" t="n">
        <v>2445</v>
      </c>
      <c r="J587" s="5" t="n">
        <v>633.9</v>
      </c>
      <c r="K587" s="4" t="n">
        <v>9031</v>
      </c>
      <c r="L587" s="4" t="n">
        <v>2732</v>
      </c>
      <c r="M587" s="5" t="n">
        <v>567.3</v>
      </c>
      <c r="N587" s="3" t="inlineStr">
        <is>
          <t>4</t>
        </is>
      </c>
      <c r="O587" s="3" t="inlineStr">
        <is>
          <t>-</t>
        </is>
      </c>
      <c r="P587" s="3" t="inlineStr">
        <is>
          <t>오창ic 5분거리 오창과학산업단지 사옥형 대형공장매매 전력 2000kw</t>
        </is>
      </c>
      <c r="Q587" s="6">
        <f>HYPERLINK("https://fin.land.naver.com/articles/2644664470", "매물Link")</f>
        <v/>
      </c>
      <c r="R587" s="6">
        <f>HYPERLINK("https://map.naver.com/p/search/세종특별자치시 나성동 829", "지도Link")</f>
        <v/>
      </c>
      <c r="S587" s="6">
        <f>HYPERLINK("http://www.eum.go.kr/web/ar/lu/luLandDet.jsp?pnu=3611010700108290000&amp;isNoScr=script&amp;mode=search", "토지이음")</f>
        <v/>
      </c>
      <c r="T587" s="3" t="inlineStr">
        <is>
          <t>더원</t>
        </is>
      </c>
      <c r="U587" s="3" t="n">
        <v>1</v>
      </c>
      <c r="V587" s="3" t="inlineStr">
        <is>
          <t>603</t>
        </is>
      </c>
      <c r="W587" s="4" t="n">
        <v>9031</v>
      </c>
      <c r="X587" s="3" t="inlineStr">
        <is>
          <t>철근콘크리트구조</t>
        </is>
      </c>
      <c r="Y587" s="3" t="inlineStr">
        <is>
          <t>공동주택</t>
        </is>
      </c>
      <c r="Z587" s="3" t="inlineStr">
        <is>
          <t>94.45m</t>
        </is>
      </c>
      <c r="AA587" s="3" t="inlineStr">
        <is>
          <t>2021-08-20</t>
        </is>
      </c>
    </row>
    <row r="588">
      <c r="A588" s="3" t="inlineStr">
        <is>
          <t>세종특별자치시 나성동 829</t>
        </is>
      </c>
      <c r="B588" s="3" t="inlineStr">
        <is>
          <t>중심상업지역</t>
        </is>
      </c>
      <c r="C588" s="3" t="inlineStr">
        <is>
          <t>대</t>
        </is>
      </c>
      <c r="D588" s="3" t="inlineStr">
        <is>
          <t>공장</t>
        </is>
      </c>
      <c r="E588" s="3" t="inlineStr">
        <is>
          <t>매매</t>
        </is>
      </c>
      <c r="F588" s="4" t="n">
        <v>230000</v>
      </c>
      <c r="G588" s="4" t="n">
        <v>0</v>
      </c>
      <c r="H588" s="4" t="n">
        <v>4950</v>
      </c>
      <c r="I588" s="4" t="n">
        <v>1497</v>
      </c>
      <c r="J588" s="5" t="n">
        <v>153.6</v>
      </c>
      <c r="K588" s="4" t="n">
        <v>2070</v>
      </c>
      <c r="L588" s="4" t="n">
        <v>626</v>
      </c>
      <c r="M588" s="5" t="n">
        <v>367.4</v>
      </c>
      <c r="N588" s="3" t="inlineStr">
        <is>
          <t>2</t>
        </is>
      </c>
      <c r="O588" s="3" t="inlineStr">
        <is>
          <t>-</t>
        </is>
      </c>
      <c r="P588" s="3" t="inlineStr">
        <is>
          <t>증평ic 접근성좋은 위치의 민원걱정없는 공장</t>
        </is>
      </c>
      <c r="Q588" s="6">
        <f>HYPERLINK("https://fin.land.naver.com/articles/2644708568", "매물Link")</f>
        <v/>
      </c>
      <c r="R588" s="6">
        <f>HYPERLINK("https://map.naver.com/p/search/세종특별자치시 나성동 829", "지도Link")</f>
        <v/>
      </c>
      <c r="S588" s="6">
        <f>HYPERLINK("http://www.eum.go.kr/web/ar/lu/luLandDet.jsp?pnu=3611010700108290000&amp;isNoScr=script&amp;mode=search", "토지이음")</f>
        <v/>
      </c>
      <c r="T588" s="3" t="inlineStr">
        <is>
          <t>더원</t>
        </is>
      </c>
      <c r="U588" s="3" t="n">
        <v>1</v>
      </c>
      <c r="V588" s="3" t="inlineStr">
        <is>
          <t>근린생활시설 지하주차장</t>
        </is>
      </c>
      <c r="W588" s="4" t="n">
        <v>2070</v>
      </c>
      <c r="X588" s="3" t="inlineStr">
        <is>
          <t>철근콘크리트구조</t>
        </is>
      </c>
      <c r="Y588" s="3" t="inlineStr">
        <is>
          <t>제2종근린생활시설</t>
        </is>
      </c>
      <c r="Z588" s="3" t="inlineStr">
        <is>
          <t>-m</t>
        </is>
      </c>
      <c r="AA588" s="3" t="inlineStr">
        <is>
          <t>2021-08-20</t>
        </is>
      </c>
    </row>
    <row r="589">
      <c r="A589" s="3" t="inlineStr">
        <is>
          <t>세종특별자치시 나성동 829</t>
        </is>
      </c>
      <c r="B589" s="3" t="inlineStr">
        <is>
          <t>중심상업지역</t>
        </is>
      </c>
      <c r="C589" s="3" t="inlineStr">
        <is>
          <t>대</t>
        </is>
      </c>
      <c r="D589" s="3" t="inlineStr">
        <is>
          <t>창고</t>
        </is>
      </c>
      <c r="E589" s="3" t="inlineStr">
        <is>
          <t>월세</t>
        </is>
      </c>
      <c r="F589" s="4" t="n">
        <v>10000</v>
      </c>
      <c r="G589" s="4" t="n">
        <v>0</v>
      </c>
      <c r="H589" s="4" t="n">
        <v>4959</v>
      </c>
      <c r="I589" s="4" t="n">
        <v>1500</v>
      </c>
      <c r="J589" s="5" t="n">
        <v>0</v>
      </c>
      <c r="K589" s="4" t="n">
        <v>1626</v>
      </c>
      <c r="L589" s="4" t="n">
        <v>492</v>
      </c>
      <c r="M589" s="5" t="n">
        <v>0</v>
      </c>
      <c r="N589" s="3" t="inlineStr">
        <is>
          <t>1</t>
        </is>
      </c>
      <c r="O589" s="3" t="inlineStr">
        <is>
          <t>-</t>
        </is>
      </c>
      <c r="P589" s="3" t="inlineStr">
        <is>
          <t>대형차량 진출입용이 층고7m 천안접근성좋으며 서오창ic10분거리</t>
        </is>
      </c>
      <c r="Q589" s="6">
        <f>HYPERLINK("https://fin.land.naver.com/articles/2644709194", "매물Link")</f>
        <v/>
      </c>
      <c r="R589" s="6">
        <f>HYPERLINK("https://map.naver.com/p/search/세종특별자치시 나성동 829", "지도Link")</f>
        <v/>
      </c>
      <c r="S589" s="6">
        <f>HYPERLINK("http://www.eum.go.kr/web/ar/lu/luLandDet.jsp?pnu=3611010700108290000&amp;isNoScr=script&amp;mode=search", "토지이음")</f>
        <v/>
      </c>
      <c r="T589" s="3" t="inlineStr">
        <is>
          <t>더원</t>
        </is>
      </c>
      <c r="U589" s="3" t="n">
        <v>1</v>
      </c>
      <c r="V589" s="3" t="inlineStr">
        <is>
          <t>901(전망공간)</t>
        </is>
      </c>
      <c r="W589" s="4" t="n">
        <v>1626</v>
      </c>
      <c r="X589" s="3" t="inlineStr">
        <is>
          <t>철근콘크리트구조</t>
        </is>
      </c>
      <c r="Y589" s="3" t="inlineStr">
        <is>
          <t>제2종근린생활시설</t>
        </is>
      </c>
      <c r="Z589" s="3" t="inlineStr">
        <is>
          <t>-m</t>
        </is>
      </c>
      <c r="AA589" s="3" t="inlineStr">
        <is>
          <t>2021-08-20</t>
        </is>
      </c>
    </row>
    <row r="590">
      <c r="A590" s="3" t="inlineStr">
        <is>
          <t>세종특별자치시 나성동 829</t>
        </is>
      </c>
      <c r="B590" s="3" t="inlineStr">
        <is>
          <t>중심상업지역</t>
        </is>
      </c>
      <c r="C590" s="3" t="inlineStr">
        <is>
          <t>대</t>
        </is>
      </c>
      <c r="D590" s="3" t="inlineStr">
        <is>
          <t>공장</t>
        </is>
      </c>
      <c r="E590" s="3" t="inlineStr">
        <is>
          <t>매매</t>
        </is>
      </c>
      <c r="F590" s="4" t="n">
        <v>230000</v>
      </c>
      <c r="G590" s="4" t="n">
        <v>0</v>
      </c>
      <c r="H590" s="4" t="n">
        <v>4958</v>
      </c>
      <c r="I590" s="4" t="n">
        <v>1500</v>
      </c>
      <c r="J590" s="5" t="n">
        <v>153.3</v>
      </c>
      <c r="K590" s="4" t="n">
        <v>2071</v>
      </c>
      <c r="L590" s="4" t="n">
        <v>626</v>
      </c>
      <c r="M590" s="5" t="n">
        <v>367.4</v>
      </c>
      <c r="N590" s="3" t="inlineStr">
        <is>
          <t>2</t>
        </is>
      </c>
      <c r="O590" s="3" t="inlineStr">
        <is>
          <t>-</t>
        </is>
      </c>
      <c r="P590" s="3" t="inlineStr">
        <is>
          <t>증평IC인근으로 접근성이 좋은위치, 민원의 소지가 없는 공장</t>
        </is>
      </c>
      <c r="Q590" s="6">
        <f>HYPERLINK("https://fin.land.naver.com/articles/2645400980", "매물Link")</f>
        <v/>
      </c>
      <c r="R590" s="6">
        <f>HYPERLINK("https://map.naver.com/p/search/세종특별자치시 나성동 829", "지도Link")</f>
        <v/>
      </c>
      <c r="S590" s="6">
        <f>HYPERLINK("http://www.eum.go.kr/web/ar/lu/luLandDet.jsp?pnu=3611010700108290000&amp;isNoScr=script&amp;mode=search", "토지이음")</f>
        <v/>
      </c>
      <c r="T590" s="3" t="inlineStr">
        <is>
          <t>(주)미르</t>
        </is>
      </c>
      <c r="U590" s="3" t="n">
        <v>1</v>
      </c>
      <c r="V590" s="3" t="inlineStr">
        <is>
          <t>근린생활시설 지하주차장</t>
        </is>
      </c>
      <c r="W590" s="4" t="n">
        <v>2071</v>
      </c>
      <c r="X590" s="3" t="inlineStr">
        <is>
          <t>철근콘크리트구조</t>
        </is>
      </c>
      <c r="Y590" s="3" t="inlineStr">
        <is>
          <t>제2종근린생활시설</t>
        </is>
      </c>
      <c r="Z590" s="3" t="inlineStr">
        <is>
          <t>-m</t>
        </is>
      </c>
      <c r="AA590" s="3" t="inlineStr">
        <is>
          <t>2021-08-20</t>
        </is>
      </c>
    </row>
    <row r="591">
      <c r="A591" s="3" t="inlineStr">
        <is>
          <t>세종특별자치시 나성동 829</t>
        </is>
      </c>
      <c r="B591" s="3" t="inlineStr">
        <is>
          <t>중심상업지역</t>
        </is>
      </c>
      <c r="C591" s="3" t="inlineStr">
        <is>
          <t>대</t>
        </is>
      </c>
      <c r="D591" s="3" t="inlineStr">
        <is>
          <t>창고</t>
        </is>
      </c>
      <c r="E591" s="3" t="inlineStr">
        <is>
          <t>매매</t>
        </is>
      </c>
      <c r="F591" s="4" t="n">
        <v>130000</v>
      </c>
      <c r="G591" s="4" t="n">
        <v>0</v>
      </c>
      <c r="H591" s="4" t="n">
        <v>2060</v>
      </c>
      <c r="I591" s="4" t="n">
        <v>623</v>
      </c>
      <c r="J591" s="5" t="n">
        <v>208.7</v>
      </c>
      <c r="K591" s="4" t="n">
        <v>780</v>
      </c>
      <c r="L591" s="4" t="n">
        <v>236</v>
      </c>
      <c r="M591" s="5" t="n">
        <v>550.8</v>
      </c>
      <c r="N591" s="3" t="inlineStr">
        <is>
          <t>1</t>
        </is>
      </c>
      <c r="O591" s="3" t="inlineStr">
        <is>
          <t>-</t>
        </is>
      </c>
      <c r="P591" s="3" t="inlineStr">
        <is>
          <t>오창ic 4분,서오창ic 10분 물류이동 좋은 신축급 창고</t>
        </is>
      </c>
      <c r="Q591" s="6">
        <f>HYPERLINK("https://fin.land.naver.com/articles/2646022416", "매물Link")</f>
        <v/>
      </c>
      <c r="R591" s="6">
        <f>HYPERLINK("https://map.naver.com/p/search/세종특별자치시 나성동 829", "지도Link")</f>
        <v/>
      </c>
      <c r="S591" s="6">
        <f>HYPERLINK("http://www.eum.go.kr/web/ar/lu/luLandDet.jsp?pnu=3611010700108290000&amp;isNoScr=script&amp;mode=search", "토지이음")</f>
        <v/>
      </c>
      <c r="T591" s="3" t="inlineStr">
        <is>
          <t>더원</t>
        </is>
      </c>
      <c r="U591" s="3" t="n">
        <v>1</v>
      </c>
      <c r="V591" s="3" t="inlineStr">
        <is>
          <t>공동주택 휘트니스</t>
        </is>
      </c>
      <c r="W591" s="4" t="n">
        <v>780</v>
      </c>
      <c r="X591" s="3" t="inlineStr">
        <is>
          <t>철근콘크리트구조</t>
        </is>
      </c>
      <c r="Y591" s="3" t="inlineStr">
        <is>
          <t>공동주택</t>
        </is>
      </c>
      <c r="Z591" s="3" t="inlineStr">
        <is>
          <t>-m</t>
        </is>
      </c>
      <c r="AA591" s="3" t="inlineStr">
        <is>
          <t>2021-08-20</t>
        </is>
      </c>
    </row>
    <row r="592">
      <c r="A592" s="3" t="inlineStr">
        <is>
          <t>세종특별자치시 나성동 829</t>
        </is>
      </c>
      <c r="B592" s="3" t="inlineStr">
        <is>
          <t>중심상업지역</t>
        </is>
      </c>
      <c r="C592" s="3" t="inlineStr">
        <is>
          <t>대</t>
        </is>
      </c>
      <c r="D592" s="3" t="inlineStr">
        <is>
          <t>공장</t>
        </is>
      </c>
      <c r="E592" s="3" t="inlineStr">
        <is>
          <t>월세</t>
        </is>
      </c>
      <c r="F592" s="4" t="n">
        <v>3000</v>
      </c>
      <c r="G592" s="4" t="n">
        <v>350</v>
      </c>
      <c r="H592" s="4" t="n">
        <v>2238</v>
      </c>
      <c r="I592" s="4" t="n">
        <v>677</v>
      </c>
      <c r="J592" s="5" t="n">
        <v>0.5</v>
      </c>
      <c r="K592" s="4" t="n">
        <v>492</v>
      </c>
      <c r="L592" s="4" t="n">
        <v>149</v>
      </c>
      <c r="M592" s="5" t="n">
        <v>2.3</v>
      </c>
      <c r="N592" s="3" t="inlineStr">
        <is>
          <t>1</t>
        </is>
      </c>
      <c r="O592" s="3" t="inlineStr">
        <is>
          <t>-</t>
        </is>
      </c>
      <c r="P592" s="3" t="inlineStr">
        <is>
          <t>오창IC인근,제조업소및창고,마당넓음,입주협의</t>
        </is>
      </c>
      <c r="Q592" s="6">
        <f>HYPERLINK("https://fin.land.naver.com/articles/2646065320", "매물Link")</f>
        <v/>
      </c>
      <c r="R592" s="6">
        <f>HYPERLINK("https://map.naver.com/p/search/세종특별자치시 나성동 829", "지도Link")</f>
        <v/>
      </c>
      <c r="S592" s="6">
        <f>HYPERLINK("http://www.eum.go.kr/web/ar/lu/luLandDet.jsp?pnu=3611010700108290000&amp;isNoScr=script&amp;mode=search", "토지이음")</f>
        <v/>
      </c>
      <c r="T592" s="3" t="inlineStr">
        <is>
          <t>LBA리치아노합동사무소</t>
        </is>
      </c>
      <c r="U592" s="3" t="n">
        <v>1</v>
      </c>
      <c r="V592" s="3" t="inlineStr">
        <is>
          <t>전망공간 기계실</t>
        </is>
      </c>
      <c r="W592" s="4" t="n">
        <v>492</v>
      </c>
      <c r="X592" s="3" t="inlineStr">
        <is>
          <t>철근콘크리트구조</t>
        </is>
      </c>
      <c r="Y592" s="3" t="inlineStr">
        <is>
          <t>제2종근린생활시설</t>
        </is>
      </c>
      <c r="Z592" s="3" t="inlineStr">
        <is>
          <t>-m</t>
        </is>
      </c>
      <c r="AA592" s="3" t="inlineStr">
        <is>
          <t>2021-08-20</t>
        </is>
      </c>
    </row>
    <row r="593">
      <c r="A593" s="3" t="inlineStr">
        <is>
          <t>세종특별자치시 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HYPERLINK("https://map.naver.com/p/search/세종특별자치시 나성동 829", "지도Link")</f>
        <v/>
      </c>
      <c r="S593" s="6">
        <f>HYPERLINK("http://www.eum.go.kr/web/ar/lu/luLandDet.jsp?pnu=3611010700108290000&amp;isNoScr=script&amp;mode=search", "토지이음")</f>
        <v/>
      </c>
      <c r="T593" s="3" t="inlineStr">
        <is>
          <t>옥산리버자이</t>
        </is>
      </c>
      <c r="U593" s="3" t="n">
        <v>1</v>
      </c>
      <c r="V593" s="3" t="inlineStr">
        <is>
          <t>전망공간 기계실</t>
        </is>
      </c>
      <c r="W593" s="4" t="n">
        <v>433</v>
      </c>
      <c r="X593" s="3" t="inlineStr">
        <is>
          <t>철근콘크리트구조</t>
        </is>
      </c>
      <c r="Y593" s="3" t="inlineStr">
        <is>
          <t>제2종근린생활시설</t>
        </is>
      </c>
      <c r="Z593" s="3" t="inlineStr">
        <is>
          <t>-m</t>
        </is>
      </c>
      <c r="AA593" s="3" t="inlineStr">
        <is>
          <t>2021-08-20</t>
        </is>
      </c>
    </row>
    <row r="594">
      <c r="A594" s="3" t="inlineStr">
        <is>
          <t>세종특별자치시 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HYPERLINK("https://map.naver.com/p/search/세종특별자치시 나성동 829", "지도Link")</f>
        <v/>
      </c>
      <c r="S594" s="6">
        <f>HYPERLINK("http://www.eum.go.kr/web/ar/lu/luLandDet.jsp?pnu=3611010700108290000&amp;isNoScr=script&amp;mode=search", "토지이음")</f>
        <v/>
      </c>
      <c r="T594" s="3" t="inlineStr">
        <is>
          <t>두꺼비</t>
        </is>
      </c>
      <c r="U594" s="3" t="n">
        <v>1</v>
      </c>
      <c r="V594" s="3" t="inlineStr">
        <is>
          <t>701</t>
        </is>
      </c>
      <c r="W594" s="4" t="n">
        <v>179</v>
      </c>
      <c r="X594" s="3" t="inlineStr">
        <is>
          <t>철근콘크리트구조</t>
        </is>
      </c>
      <c r="Y594" s="3" t="inlineStr">
        <is>
          <t>판매시설</t>
        </is>
      </c>
      <c r="Z594" s="3" t="inlineStr">
        <is>
          <t>-m</t>
        </is>
      </c>
      <c r="AA594" s="3" t="inlineStr">
        <is>
          <t>2021-08-20</t>
        </is>
      </c>
    </row>
    <row r="595">
      <c r="A595" s="3" t="inlineStr">
        <is>
          <t>세종특별자치시 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HYPERLINK("https://map.naver.com/p/search/세종특별자치시 나성동 829", "지도Link")</f>
        <v/>
      </c>
      <c r="S595" s="6">
        <f>HYPERLINK("http://www.eum.go.kr/web/ar/lu/luLandDet.jsp?pnu=3611010700108290000&amp;isNoScr=script&amp;mode=search", "토지이음")</f>
        <v/>
      </c>
      <c r="T595" s="3" t="inlineStr">
        <is>
          <t>터</t>
        </is>
      </c>
      <c r="U595" s="3" t="n">
        <v>2</v>
      </c>
      <c r="V595" s="3" t="inlineStr">
        <is>
          <t>801</t>
        </is>
      </c>
      <c r="W595" s="4" t="n">
        <v>329</v>
      </c>
      <c r="X595" s="3" t="inlineStr">
        <is>
          <t>철근콘크리트구조</t>
        </is>
      </c>
      <c r="Y595" s="3" t="inlineStr">
        <is>
          <t>제2종근린생활시설</t>
        </is>
      </c>
      <c r="Z595" s="3" t="inlineStr">
        <is>
          <t>-m</t>
        </is>
      </c>
      <c r="AA595" s="3" t="inlineStr">
        <is>
          <t>2021-08-20</t>
        </is>
      </c>
    </row>
    <row r="596">
      <c r="A596" s="3" t="inlineStr">
        <is>
          <t>세종특별자치시 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HYPERLINK("https://map.naver.com/p/search/세종특별자치시 나성동 829", "지도Link")</f>
        <v/>
      </c>
      <c r="S596" s="6">
        <f>HYPERLINK("http://www.eum.go.kr/web/ar/lu/luLandDet.jsp?pnu=3611010700108290000&amp;isNoScr=script&amp;mode=search", "토지이음")</f>
        <v/>
      </c>
      <c r="T596" s="3" t="inlineStr">
        <is>
          <t>테크노반석</t>
        </is>
      </c>
      <c r="U596" s="3" t="n">
        <v>1</v>
      </c>
      <c r="V596" s="3" t="inlineStr">
        <is>
          <t>803</t>
        </is>
      </c>
      <c r="W596" s="4" t="n">
        <v>700</v>
      </c>
      <c r="X596" s="3" t="inlineStr">
        <is>
          <t>철근콘크리트구조</t>
        </is>
      </c>
      <c r="Y596" s="3" t="inlineStr">
        <is>
          <t>제2종근린생활시설</t>
        </is>
      </c>
      <c r="Z596" s="3" t="inlineStr">
        <is>
          <t>-m</t>
        </is>
      </c>
      <c r="AA596" s="3" t="inlineStr">
        <is>
          <t>2021-08-20</t>
        </is>
      </c>
    </row>
    <row r="597">
      <c r="A597" s="3" t="inlineStr">
        <is>
          <t>세종특별자치시 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HYPERLINK("https://map.naver.com/p/search/세종특별자치시 나성동 829", "지도Link")</f>
        <v/>
      </c>
      <c r="S597" s="6">
        <f>HYPERLINK("http://www.eum.go.kr/web/ar/lu/luLandDet.jsp?pnu=3611010700108290000&amp;isNoScr=script&amp;mode=search", "토지이음")</f>
        <v/>
      </c>
      <c r="T597" s="3" t="inlineStr">
        <is>
          <t>테크노반석</t>
        </is>
      </c>
      <c r="U597" s="3" t="n">
        <v>1</v>
      </c>
      <c r="V597" s="3" t="inlineStr">
        <is>
          <t>근린생활시설 지하주차장</t>
        </is>
      </c>
      <c r="W597" s="4" t="n">
        <v>2220</v>
      </c>
      <c r="X597" s="3" t="inlineStr">
        <is>
          <t>철근콘크리트구조</t>
        </is>
      </c>
      <c r="Y597" s="3" t="inlineStr">
        <is>
          <t>제2종근린생활시설</t>
        </is>
      </c>
      <c r="Z597" s="3" t="inlineStr">
        <is>
          <t>-m</t>
        </is>
      </c>
      <c r="AA597" s="3" t="inlineStr">
        <is>
          <t>2021-08-20</t>
        </is>
      </c>
    </row>
    <row r="598">
      <c r="A598" s="3" t="inlineStr">
        <is>
          <t>세종특별자치시 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HYPERLINK("https://map.naver.com/p/search/세종특별자치시 나성동 829", "지도Link")</f>
        <v/>
      </c>
      <c r="S598" s="6">
        <f>HYPERLINK("http://www.eum.go.kr/web/ar/lu/luLandDet.jsp?pnu=3611010700108290000&amp;isNoScr=script&amp;mode=search", "토지이음")</f>
        <v/>
      </c>
      <c r="T598" s="3" t="inlineStr">
        <is>
          <t>테크노반석</t>
        </is>
      </c>
      <c r="U598" s="3" t="n">
        <v>1</v>
      </c>
      <c r="V598" s="3" t="inlineStr">
        <is>
          <t>802</t>
        </is>
      </c>
      <c r="W598" s="4" t="n">
        <v>3100</v>
      </c>
      <c r="X598" s="3" t="inlineStr">
        <is>
          <t>철근콘크리트구조</t>
        </is>
      </c>
      <c r="Y598" s="3" t="inlineStr">
        <is>
          <t>제2종근린생활시설</t>
        </is>
      </c>
      <c r="Z598" s="3" t="inlineStr">
        <is>
          <t>-m</t>
        </is>
      </c>
      <c r="AA598" s="3" t="inlineStr">
        <is>
          <t>2021-08-20</t>
        </is>
      </c>
    </row>
    <row r="599">
      <c r="A599" s="3" t="inlineStr">
        <is>
          <t>세종특별자치시 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HYPERLINK("https://map.naver.com/p/search/세종특별자치시 나성동 829", "지도Link")</f>
        <v/>
      </c>
      <c r="S599" s="6">
        <f>HYPERLINK("http://www.eum.go.kr/web/ar/lu/luLandDet.jsp?pnu=3611010700108290000&amp;isNoScr=script&amp;mode=search", "토지이음")</f>
        <v/>
      </c>
      <c r="T599" s="3" t="inlineStr">
        <is>
          <t>성훈</t>
        </is>
      </c>
      <c r="U599" s="3" t="n">
        <v>1</v>
      </c>
      <c r="V599" s="3" t="inlineStr">
        <is>
          <t>802</t>
        </is>
      </c>
      <c r="W599" s="4" t="n">
        <v>2739</v>
      </c>
      <c r="X599" s="3" t="inlineStr">
        <is>
          <t>철근콘크리트구조</t>
        </is>
      </c>
      <c r="Y599" s="3" t="inlineStr">
        <is>
          <t>제2종근린생활시설</t>
        </is>
      </c>
      <c r="Z599" s="3" t="inlineStr">
        <is>
          <t>-m</t>
        </is>
      </c>
      <c r="AA599" s="3" t="inlineStr">
        <is>
          <t>2021-08-20</t>
        </is>
      </c>
    </row>
    <row r="600">
      <c r="A600" s="3" t="inlineStr">
        <is>
          <t>세종특별자치시 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HYPERLINK("https://map.naver.com/p/search/세종특별자치시 나성동 829", "지도Link")</f>
        <v/>
      </c>
      <c r="S600" s="6">
        <f>HYPERLINK("http://www.eum.go.kr/web/ar/lu/luLandDet.jsp?pnu=3611010700108290000&amp;isNoScr=script&amp;mode=search", "토지이음")</f>
        <v/>
      </c>
      <c r="T600" s="3" t="inlineStr">
        <is>
          <t>산업</t>
        </is>
      </c>
      <c r="U600" s="3" t="n">
        <v>1</v>
      </c>
      <c r="V600" s="3" t="inlineStr">
        <is>
          <t>605</t>
        </is>
      </c>
      <c r="W600" s="4" t="n">
        <v>1400</v>
      </c>
      <c r="X600" s="3" t="inlineStr">
        <is>
          <t>철근콘크리트구조</t>
        </is>
      </c>
      <c r="Y600" s="3" t="inlineStr">
        <is>
          <t>공동주택</t>
        </is>
      </c>
      <c r="Z600" s="3" t="inlineStr">
        <is>
          <t>45.30m</t>
        </is>
      </c>
      <c r="AA600" s="3" t="inlineStr">
        <is>
          <t>2021-08-20</t>
        </is>
      </c>
    </row>
    <row r="601">
      <c r="A601" s="3" t="inlineStr">
        <is>
          <t>세종특별자치시 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HYPERLINK("https://map.naver.com/p/search/세종특별자치시 나성동 829", "지도Link")</f>
        <v/>
      </c>
      <c r="S601" s="6">
        <f>HYPERLINK("http://www.eum.go.kr/web/ar/lu/luLandDet.jsp?pnu=3611010700108290000&amp;isNoScr=script&amp;mode=search", "토지이음")</f>
        <v/>
      </c>
      <c r="T601" s="3" t="inlineStr">
        <is>
          <t>(주)미르</t>
        </is>
      </c>
      <c r="U601" s="3" t="n">
        <v>1</v>
      </c>
      <c r="V601" s="3" t="inlineStr">
        <is>
          <t>802</t>
        </is>
      </c>
      <c r="W601" s="4" t="n">
        <v>2784</v>
      </c>
      <c r="X601" s="3" t="inlineStr">
        <is>
          <t>철근콘크리트구조</t>
        </is>
      </c>
      <c r="Y601" s="3" t="inlineStr">
        <is>
          <t>제2종근린생활시설</t>
        </is>
      </c>
      <c r="Z601" s="3" t="inlineStr">
        <is>
          <t>-m</t>
        </is>
      </c>
      <c r="AA601" s="3" t="inlineStr">
        <is>
          <t>2021-08-20</t>
        </is>
      </c>
    </row>
    <row r="602">
      <c r="A602" s="3" t="inlineStr">
        <is>
          <t>세종특별자치시 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HYPERLINK("https://map.naver.com/p/search/세종특별자치시 나성동 829", "지도Link")</f>
        <v/>
      </c>
      <c r="S602" s="6">
        <f>HYPERLINK("http://www.eum.go.kr/web/ar/lu/luLandDet.jsp?pnu=3611010700108290000&amp;isNoScr=script&amp;mode=search", "토지이음")</f>
        <v/>
      </c>
      <c r="T602" s="3" t="inlineStr">
        <is>
          <t>테크노반석</t>
        </is>
      </c>
      <c r="U602" s="3" t="n">
        <v>1</v>
      </c>
      <c r="V602" s="3" t="inlineStr">
        <is>
          <t>공동주택 전기,발전기실</t>
        </is>
      </c>
      <c r="W602" s="4" t="n">
        <v>297</v>
      </c>
      <c r="X602" s="3" t="inlineStr">
        <is>
          <t>철근콘크리트구조</t>
        </is>
      </c>
      <c r="Y602" s="3" t="inlineStr">
        <is>
          <t>공동주택</t>
        </is>
      </c>
      <c r="Z602" s="3" t="inlineStr">
        <is>
          <t>-m</t>
        </is>
      </c>
      <c r="AA602" s="3" t="inlineStr">
        <is>
          <t>2021-08-20</t>
        </is>
      </c>
    </row>
    <row r="603">
      <c r="A603" s="3" t="inlineStr">
        <is>
          <t>세종특별자치시 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HYPERLINK("https://map.naver.com/p/search/세종특별자치시 나성동 829", "지도Link")</f>
        <v/>
      </c>
      <c r="S603" s="6">
        <f>HYPERLINK("http://www.eum.go.kr/web/ar/lu/luLandDet.jsp?pnu=3611010700108290000&amp;isNoScr=script&amp;mode=search", "토지이음")</f>
        <v/>
      </c>
      <c r="T603" s="3" t="inlineStr">
        <is>
          <t>테크노반석</t>
        </is>
      </c>
      <c r="U603" s="3" t="n">
        <v>1</v>
      </c>
      <c r="V603" s="3" t="inlineStr">
        <is>
          <t>공동주택 전기,발전기실</t>
        </is>
      </c>
      <c r="W603" s="4" t="n">
        <v>297</v>
      </c>
      <c r="X603" s="3" t="inlineStr">
        <is>
          <t>철근콘크리트구조</t>
        </is>
      </c>
      <c r="Y603" s="3" t="inlineStr">
        <is>
          <t>공동주택</t>
        </is>
      </c>
      <c r="Z603" s="3" t="inlineStr">
        <is>
          <t>-m</t>
        </is>
      </c>
      <c r="AA603" s="3" t="inlineStr">
        <is>
          <t>2021-08-20</t>
        </is>
      </c>
    </row>
    <row r="604">
      <c r="A604" s="3" t="inlineStr">
        <is>
          <t>세종특별자치시 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HYPERLINK("https://map.naver.com/p/search/세종특별자치시 나성동 829", "지도Link")</f>
        <v/>
      </c>
      <c r="S604" s="6">
        <f>HYPERLINK("http://www.eum.go.kr/web/ar/lu/luLandDet.jsp?pnu=3611010700108290000&amp;isNoScr=script&amp;mode=search", "토지이음")</f>
        <v/>
      </c>
      <c r="T604" s="3" t="inlineStr">
        <is>
          <t>테크노반석</t>
        </is>
      </c>
      <c r="U604" s="3" t="n">
        <v>1</v>
      </c>
      <c r="V604" s="3" t="inlineStr">
        <is>
          <t>605</t>
        </is>
      </c>
      <c r="W604" s="4" t="n">
        <v>1188</v>
      </c>
      <c r="X604" s="3" t="inlineStr">
        <is>
          <t>철근콘크리트구조</t>
        </is>
      </c>
      <c r="Y604" s="3" t="inlineStr">
        <is>
          <t>공동주택</t>
        </is>
      </c>
      <c r="Z604" s="3" t="inlineStr">
        <is>
          <t>45.30m</t>
        </is>
      </c>
      <c r="AA604" s="3" t="inlineStr">
        <is>
          <t>2021-08-20</t>
        </is>
      </c>
    </row>
    <row r="605">
      <c r="A605" s="3" t="inlineStr">
        <is>
          <t>세종특별자치시 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HYPERLINK("https://map.naver.com/p/search/세종특별자치시 나성동 829", "지도Link")</f>
        <v/>
      </c>
      <c r="S605" s="6">
        <f>HYPERLINK("http://www.eum.go.kr/web/ar/lu/luLandDet.jsp?pnu=3611010700108290000&amp;isNoScr=script&amp;mode=search", "토지이음")</f>
        <v/>
      </c>
      <c r="T605" s="3" t="inlineStr">
        <is>
          <t>성지</t>
        </is>
      </c>
      <c r="U605" s="3" t="n">
        <v>1</v>
      </c>
      <c r="V605" s="3" t="inlineStr">
        <is>
          <t>802</t>
        </is>
      </c>
      <c r="W605" s="4" t="n">
        <v>4285</v>
      </c>
      <c r="X605" s="3" t="inlineStr">
        <is>
          <t>철근콘크리트구조</t>
        </is>
      </c>
      <c r="Y605" s="3" t="inlineStr">
        <is>
          <t>제2종근린생활시설</t>
        </is>
      </c>
      <c r="Z605" s="3" t="inlineStr">
        <is>
          <t>-m</t>
        </is>
      </c>
      <c r="AA605" s="3" t="inlineStr">
        <is>
          <t>2021-08-20</t>
        </is>
      </c>
    </row>
    <row r="606">
      <c r="A606" s="3" t="inlineStr">
        <is>
          <t>세종특별자치시 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HYPERLINK("https://map.naver.com/p/search/세종특별자치시 나성동 829", "지도Link")</f>
        <v/>
      </c>
      <c r="S606" s="6">
        <f>HYPERLINK("http://www.eum.go.kr/web/ar/lu/luLandDet.jsp?pnu=3611010700108290000&amp;isNoScr=script&amp;mode=search", "토지이음")</f>
        <v/>
      </c>
      <c r="T606" s="3" t="inlineStr">
        <is>
          <t>성지</t>
        </is>
      </c>
      <c r="U606" s="3" t="n">
        <v>1</v>
      </c>
      <c r="V606" s="3" t="inlineStr">
        <is>
          <t>전망공간 지하주차장</t>
        </is>
      </c>
      <c r="W606" s="4" t="n">
        <v>957</v>
      </c>
      <c r="X606" s="3" t="inlineStr">
        <is>
          <t>철근콘크리트구조</t>
        </is>
      </c>
      <c r="Y606" s="3" t="inlineStr">
        <is>
          <t>제2종근린생활시설</t>
        </is>
      </c>
      <c r="Z606" s="3" t="inlineStr">
        <is>
          <t>4.50m</t>
        </is>
      </c>
      <c r="AA606" s="3" t="inlineStr">
        <is>
          <t>2021-08-20</t>
        </is>
      </c>
    </row>
    <row r="607">
      <c r="A607" s="3" t="inlineStr">
        <is>
          <t>세종특별자치시 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HYPERLINK("https://map.naver.com/p/search/세종특별자치시 나성동 829", "지도Link")</f>
        <v/>
      </c>
      <c r="S607" s="6">
        <f>HYPERLINK("http://www.eum.go.kr/web/ar/lu/luLandDet.jsp?pnu=3611010700108290000&amp;isNoScr=script&amp;mode=search", "토지이음")</f>
        <v/>
      </c>
      <c r="T607" s="3" t="inlineStr">
        <is>
          <t>테크노반석</t>
        </is>
      </c>
      <c r="U607" s="3" t="n">
        <v>1</v>
      </c>
      <c r="V607" s="3" t="inlineStr">
        <is>
          <t>근린생활시설 지하주차장</t>
        </is>
      </c>
      <c r="W607" s="4" t="n">
        <v>2220</v>
      </c>
      <c r="X607" s="3" t="inlineStr">
        <is>
          <t>철근콘크리트구조</t>
        </is>
      </c>
      <c r="Y607" s="3" t="inlineStr">
        <is>
          <t>제2종근린생활시설</t>
        </is>
      </c>
      <c r="Z607" s="3" t="inlineStr">
        <is>
          <t>-m</t>
        </is>
      </c>
      <c r="AA607" s="3" t="inlineStr">
        <is>
          <t>2021-08-20</t>
        </is>
      </c>
    </row>
    <row r="608">
      <c r="A608" s="3" t="inlineStr">
        <is>
          <t>세종특별자치시 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HYPERLINK("https://map.naver.com/p/search/세종특별자치시 나성동 829", "지도Link")</f>
        <v/>
      </c>
      <c r="S608" s="6">
        <f>HYPERLINK("http://www.eum.go.kr/web/ar/lu/luLandDet.jsp?pnu=3611010700108290000&amp;isNoScr=script&amp;mode=search", "토지이음")</f>
        <v/>
      </c>
      <c r="T608" s="3" t="inlineStr">
        <is>
          <t>산업</t>
        </is>
      </c>
      <c r="U608" s="3" t="n">
        <v>1</v>
      </c>
      <c r="V608" s="3" t="inlineStr">
        <is>
          <t>802</t>
        </is>
      </c>
      <c r="W608" s="4" t="n">
        <v>3700</v>
      </c>
      <c r="X608" s="3" t="inlineStr">
        <is>
          <t>철근콘크리트구조</t>
        </is>
      </c>
      <c r="Y608" s="3" t="inlineStr">
        <is>
          <t>제2종근린생활시설</t>
        </is>
      </c>
      <c r="Z608" s="3" t="inlineStr">
        <is>
          <t>-m</t>
        </is>
      </c>
      <c r="AA608" s="3" t="inlineStr">
        <is>
          <t>2021-08-20</t>
        </is>
      </c>
    </row>
    <row r="609">
      <c r="A609" s="3" t="inlineStr">
        <is>
          <t>세종특별자치시 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HYPERLINK("https://map.naver.com/p/search/세종특별자치시 나성동 829", "지도Link")</f>
        <v/>
      </c>
      <c r="S609" s="6">
        <f>HYPERLINK("http://www.eum.go.kr/web/ar/lu/luLandDet.jsp?pnu=3611010700108290000&amp;isNoScr=script&amp;mode=search", "토지이음")</f>
        <v/>
      </c>
      <c r="T609" s="3" t="inlineStr">
        <is>
          <t>과학밸트</t>
        </is>
      </c>
      <c r="U609" s="3" t="n">
        <v>1</v>
      </c>
      <c r="V609" s="3" t="inlineStr">
        <is>
          <t>802</t>
        </is>
      </c>
      <c r="W609" s="4" t="n">
        <v>7156</v>
      </c>
      <c r="X609" s="3" t="inlineStr">
        <is>
          <t>철근콘크리트구조</t>
        </is>
      </c>
      <c r="Y609" s="3" t="inlineStr">
        <is>
          <t>제2종근린생활시설</t>
        </is>
      </c>
      <c r="Z609" s="3" t="inlineStr">
        <is>
          <t>-m</t>
        </is>
      </c>
      <c r="AA609" s="3" t="inlineStr">
        <is>
          <t>2021-08-20</t>
        </is>
      </c>
    </row>
    <row r="610">
      <c r="A610" s="3" t="inlineStr">
        <is>
          <t>세종특별자치시 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HYPERLINK("https://map.naver.com/p/search/세종특별자치시 나성동 829", "지도Link")</f>
        <v/>
      </c>
      <c r="S610" s="6">
        <f>HYPERLINK("http://www.eum.go.kr/web/ar/lu/luLandDet.jsp?pnu=3611010700108290000&amp;isNoScr=script&amp;mode=search", "토지이음")</f>
        <v/>
      </c>
      <c r="T610" s="3" t="inlineStr">
        <is>
          <t>테크노반석</t>
        </is>
      </c>
      <c r="U610" s="3" t="n">
        <v>1</v>
      </c>
      <c r="V610" s="3" t="inlineStr">
        <is>
          <t>802</t>
        </is>
      </c>
      <c r="W610" s="4" t="n">
        <v>5570</v>
      </c>
      <c r="X610" s="3" t="inlineStr">
        <is>
          <t>철근콘크리트구조</t>
        </is>
      </c>
      <c r="Y610" s="3" t="inlineStr">
        <is>
          <t>제2종근린생활시설</t>
        </is>
      </c>
      <c r="Z610" s="3" t="inlineStr">
        <is>
          <t>-m</t>
        </is>
      </c>
      <c r="AA610" s="3" t="inlineStr">
        <is>
          <t>2021-08-20</t>
        </is>
      </c>
    </row>
    <row r="611">
      <c r="A611" s="3" t="inlineStr">
        <is>
          <t>세종특별자치시 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HYPERLINK("https://map.naver.com/p/search/세종특별자치시 나성동 829", "지도Link")</f>
        <v/>
      </c>
      <c r="S611" s="6">
        <f>HYPERLINK("http://www.eum.go.kr/web/ar/lu/luLandDet.jsp?pnu=3611010700108290000&amp;isNoScr=script&amp;mode=search", "토지이음")</f>
        <v/>
      </c>
      <c r="T611" s="3" t="inlineStr">
        <is>
          <t>(주)미르</t>
        </is>
      </c>
      <c r="U611" s="3" t="n">
        <v>1</v>
      </c>
      <c r="V611" s="3" t="inlineStr">
        <is>
          <t>802</t>
        </is>
      </c>
      <c r="W611" s="4" t="n">
        <v>3761</v>
      </c>
      <c r="X611" s="3" t="inlineStr">
        <is>
          <t>철근콘크리트구조</t>
        </is>
      </c>
      <c r="Y611" s="3" t="inlineStr">
        <is>
          <t>제2종근린생활시설</t>
        </is>
      </c>
      <c r="Z611" s="3" t="inlineStr">
        <is>
          <t>-m</t>
        </is>
      </c>
      <c r="AA611" s="3" t="inlineStr">
        <is>
          <t>2021-08-20</t>
        </is>
      </c>
    </row>
    <row r="612">
      <c r="A612" s="3" t="inlineStr">
        <is>
          <t>세종특별자치시 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HYPERLINK("https://map.naver.com/p/search/세종특별자치시 나성동 829", "지도Link")</f>
        <v/>
      </c>
      <c r="S612" s="6">
        <f>HYPERLINK("http://www.eum.go.kr/web/ar/lu/luLandDet.jsp?pnu=3611010700108290000&amp;isNoScr=script&amp;mode=search", "토지이음")</f>
        <v/>
      </c>
      <c r="T612" s="3" t="inlineStr">
        <is>
          <t>테크노반석</t>
        </is>
      </c>
      <c r="U612" s="3" t="n">
        <v>1</v>
      </c>
      <c r="V612" s="3" t="inlineStr">
        <is>
          <t>802</t>
        </is>
      </c>
      <c r="W612" s="4" t="n">
        <v>6320</v>
      </c>
      <c r="X612" s="3" t="inlineStr">
        <is>
          <t>철근콘크리트구조</t>
        </is>
      </c>
      <c r="Y612" s="3" t="inlineStr">
        <is>
          <t>제2종근린생활시설</t>
        </is>
      </c>
      <c r="Z612" s="3" t="inlineStr">
        <is>
          <t>-m</t>
        </is>
      </c>
      <c r="AA612" s="3" t="inlineStr">
        <is>
          <t>2021-08-20</t>
        </is>
      </c>
    </row>
    <row r="613">
      <c r="A613" s="3" t="inlineStr">
        <is>
          <t>세종특별자치시 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HYPERLINK("https://map.naver.com/p/search/세종특별자치시 나성동 829", "지도Link")</f>
        <v/>
      </c>
      <c r="S613" s="6">
        <f>HYPERLINK("http://www.eum.go.kr/web/ar/lu/luLandDet.jsp?pnu=3611010700108290000&amp;isNoScr=script&amp;mode=search", "토지이음")</f>
        <v/>
      </c>
      <c r="T613" s="3" t="inlineStr">
        <is>
          <t>테크노반석</t>
        </is>
      </c>
      <c r="U613" s="3" t="n">
        <v>1</v>
      </c>
      <c r="V613" s="3" t="inlineStr">
        <is>
          <t>802</t>
        </is>
      </c>
      <c r="W613" s="4" t="n">
        <v>3762</v>
      </c>
      <c r="X613" s="3" t="inlineStr">
        <is>
          <t>철근콘크리트구조</t>
        </is>
      </c>
      <c r="Y613" s="3" t="inlineStr">
        <is>
          <t>제2종근린생활시설</t>
        </is>
      </c>
      <c r="Z613" s="3" t="inlineStr">
        <is>
          <t>-m</t>
        </is>
      </c>
      <c r="AA613" s="3" t="inlineStr">
        <is>
          <t>2021-08-20</t>
        </is>
      </c>
    </row>
    <row r="614">
      <c r="A614" s="3" t="inlineStr">
        <is>
          <t>세종특별자치시 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HYPERLINK("https://map.naver.com/p/search/세종특별자치시 나성동 829", "지도Link")</f>
        <v/>
      </c>
      <c r="S614" s="6">
        <f>HYPERLINK("http://www.eum.go.kr/web/ar/lu/luLandDet.jsp?pnu=3611010700108290000&amp;isNoScr=script&amp;mode=search", "토지이음")</f>
        <v/>
      </c>
      <c r="T614" s="3" t="inlineStr">
        <is>
          <t>SK랜드</t>
        </is>
      </c>
      <c r="U614" s="3" t="n">
        <v>1</v>
      </c>
      <c r="V614" s="3" t="inlineStr">
        <is>
          <t>802</t>
        </is>
      </c>
      <c r="W614" s="4" t="n">
        <v>5046</v>
      </c>
      <c r="X614" s="3" t="inlineStr">
        <is>
          <t>철근콘크리트구조</t>
        </is>
      </c>
      <c r="Y614" s="3" t="inlineStr">
        <is>
          <t>제2종근린생활시설</t>
        </is>
      </c>
      <c r="Z614" s="3" t="inlineStr">
        <is>
          <t>-m</t>
        </is>
      </c>
      <c r="AA614" s="3" t="inlineStr">
        <is>
          <t>2021-08-20</t>
        </is>
      </c>
    </row>
    <row r="615">
      <c r="A615" s="3" t="inlineStr">
        <is>
          <t>세종특별자치시 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HYPERLINK("https://map.naver.com/p/search/세종특별자치시 나성동 829", "지도Link")</f>
        <v/>
      </c>
      <c r="S615" s="6">
        <f>HYPERLINK("http://www.eum.go.kr/web/ar/lu/luLandDet.jsp?pnu=3611010700108290000&amp;isNoScr=script&amp;mode=search", "토지이음")</f>
        <v/>
      </c>
      <c r="T615" s="3" t="inlineStr">
        <is>
          <t>태영컨설팅</t>
        </is>
      </c>
      <c r="U615" s="3" t="n">
        <v>1</v>
      </c>
      <c r="V615" s="3" t="inlineStr">
        <is>
          <t>공동주택 전기,발전기실</t>
        </is>
      </c>
      <c r="W615" s="4" t="n">
        <v>290</v>
      </c>
      <c r="X615" s="3" t="inlineStr">
        <is>
          <t>철근콘크리트구조</t>
        </is>
      </c>
      <c r="Y615" s="3" t="inlineStr">
        <is>
          <t>공동주택</t>
        </is>
      </c>
      <c r="Z615" s="3" t="inlineStr">
        <is>
          <t>-m</t>
        </is>
      </c>
      <c r="AA615" s="3" t="inlineStr">
        <is>
          <t>2021-08-20</t>
        </is>
      </c>
    </row>
    <row r="616">
      <c r="A616" s="3" t="inlineStr">
        <is>
          <t>세종특별자치시 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HYPERLINK("https://map.naver.com/p/search/세종특별자치시 나성동 829", "지도Link")</f>
        <v/>
      </c>
      <c r="S616" s="6">
        <f>HYPERLINK("http://www.eum.go.kr/web/ar/lu/luLandDet.jsp?pnu=3611010700108290000&amp;isNoScr=script&amp;mode=search", "토지이음")</f>
        <v/>
      </c>
      <c r="T616" s="3" t="inlineStr">
        <is>
          <t>삼익</t>
        </is>
      </c>
      <c r="U616" s="3" t="n">
        <v>1</v>
      </c>
      <c r="V616" s="3" t="inlineStr">
        <is>
          <t>전망공간 지하주차장</t>
        </is>
      </c>
      <c r="W616" s="4" t="n">
        <v>903</v>
      </c>
      <c r="X616" s="3" t="inlineStr">
        <is>
          <t>철근콘크리트구조</t>
        </is>
      </c>
      <c r="Y616" s="3" t="inlineStr">
        <is>
          <t>제2종근린생활시설</t>
        </is>
      </c>
      <c r="Z616" s="3" t="inlineStr">
        <is>
          <t>4.50m</t>
        </is>
      </c>
      <c r="AA616" s="3" t="inlineStr">
        <is>
          <t>2021-08-20</t>
        </is>
      </c>
    </row>
    <row r="617">
      <c r="A617" s="3" t="inlineStr">
        <is>
          <t>세종특별자치시 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HYPERLINK("https://map.naver.com/p/search/세종특별자치시 나성동 829", "지도Link")</f>
        <v/>
      </c>
      <c r="S617" s="6">
        <f>HYPERLINK("http://www.eum.go.kr/web/ar/lu/luLandDet.jsp?pnu=3611010700108290000&amp;isNoScr=script&amp;mode=search", "토지이음")</f>
        <v/>
      </c>
      <c r="T617" s="3" t="inlineStr">
        <is>
          <t>테크노반석</t>
        </is>
      </c>
      <c r="U617" s="3" t="n">
        <v>1</v>
      </c>
      <c r="V617" s="3" t="inlineStr">
        <is>
          <t>802</t>
        </is>
      </c>
      <c r="W617" s="4" t="n">
        <v>4900</v>
      </c>
      <c r="X617" s="3" t="inlineStr">
        <is>
          <t>철근콘크리트구조</t>
        </is>
      </c>
      <c r="Y617" s="3" t="inlineStr">
        <is>
          <t>제2종근린생활시설</t>
        </is>
      </c>
      <c r="Z617" s="3" t="inlineStr">
        <is>
          <t>-m</t>
        </is>
      </c>
      <c r="AA617" s="3" t="inlineStr">
        <is>
          <t>2021-08-20</t>
        </is>
      </c>
    </row>
    <row r="618">
      <c r="A618" s="3" t="inlineStr">
        <is>
          <t>세종특별자치시 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HYPERLINK("https://map.naver.com/p/search/세종특별자치시 나성동 829", "지도Link")</f>
        <v/>
      </c>
      <c r="S618" s="6">
        <f>HYPERLINK("http://www.eum.go.kr/web/ar/lu/luLandDet.jsp?pnu=3611010700108290000&amp;isNoScr=script&amp;mode=search", "토지이음")</f>
        <v/>
      </c>
      <c r="T618" s="3" t="inlineStr">
        <is>
          <t>산업</t>
        </is>
      </c>
      <c r="U618" s="3" t="n">
        <v>1</v>
      </c>
      <c r="V618" s="3" t="inlineStr">
        <is>
          <t>605</t>
        </is>
      </c>
      <c r="W618" s="4" t="n">
        <v>1500</v>
      </c>
      <c r="X618" s="3" t="inlineStr">
        <is>
          <t>철근콘크리트구조</t>
        </is>
      </c>
      <c r="Y618" s="3" t="inlineStr">
        <is>
          <t>공동주택</t>
        </is>
      </c>
      <c r="Z618" s="3" t="inlineStr">
        <is>
          <t>45.30m</t>
        </is>
      </c>
      <c r="AA618" s="3" t="inlineStr">
        <is>
          <t>2021-08-20</t>
        </is>
      </c>
    </row>
    <row r="619">
      <c r="A619" s="3" t="inlineStr">
        <is>
          <t>세종특별자치시 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HYPERLINK("https://map.naver.com/p/search/세종특별자치시 나성동 829", "지도Link")</f>
        <v/>
      </c>
      <c r="S619" s="6">
        <f>HYPERLINK("http://www.eum.go.kr/web/ar/lu/luLandDet.jsp?pnu=3611010700108290000&amp;isNoScr=script&amp;mode=search", "토지이음")</f>
        <v/>
      </c>
      <c r="T619" s="3" t="inlineStr">
        <is>
          <t>테크노반석</t>
        </is>
      </c>
      <c r="U619" s="3" t="n">
        <v>1</v>
      </c>
      <c r="V619" s="3" t="inlineStr">
        <is>
          <t>802</t>
        </is>
      </c>
      <c r="W619" s="4" t="n">
        <v>3000</v>
      </c>
      <c r="X619" s="3" t="inlineStr">
        <is>
          <t>철근콘크리트구조</t>
        </is>
      </c>
      <c r="Y619" s="3" t="inlineStr">
        <is>
          <t>제2종근린생활시설</t>
        </is>
      </c>
      <c r="Z619" s="3" t="inlineStr">
        <is>
          <t>-m</t>
        </is>
      </c>
      <c r="AA619" s="3" t="inlineStr">
        <is>
          <t>2021-08-20</t>
        </is>
      </c>
    </row>
    <row r="620">
      <c r="A620" s="3" t="inlineStr">
        <is>
          <t>세종특별자치시 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HYPERLINK("https://map.naver.com/p/search/세종특별자치시 나성동 829", "지도Link")</f>
        <v/>
      </c>
      <c r="S620" s="6">
        <f>HYPERLINK("http://www.eum.go.kr/web/ar/lu/luLandDet.jsp?pnu=3611010700108290000&amp;isNoScr=script&amp;mode=search", "토지이음")</f>
        <v/>
      </c>
      <c r="T620" s="3" t="inlineStr">
        <is>
          <t>테크노반석</t>
        </is>
      </c>
      <c r="U620" s="3" t="n">
        <v>1</v>
      </c>
      <c r="V620" s="3" t="inlineStr">
        <is>
          <t>802</t>
        </is>
      </c>
      <c r="W620" s="4" t="n">
        <v>2970</v>
      </c>
      <c r="X620" s="3" t="inlineStr">
        <is>
          <t>철근콘크리트구조</t>
        </is>
      </c>
      <c r="Y620" s="3" t="inlineStr">
        <is>
          <t>제2종근린생활시설</t>
        </is>
      </c>
      <c r="Z620" s="3" t="inlineStr">
        <is>
          <t>-m</t>
        </is>
      </c>
      <c r="AA620" s="3" t="inlineStr">
        <is>
          <t>2021-08-20</t>
        </is>
      </c>
    </row>
    <row r="621">
      <c r="A621" s="3" t="inlineStr">
        <is>
          <t>세종특별자치시 나성동 829</t>
        </is>
      </c>
      <c r="B621" s="3" t="inlineStr">
        <is>
          <t>중심상업지역</t>
        </is>
      </c>
      <c r="C621" s="3" t="inlineStr">
        <is>
          <t>대</t>
        </is>
      </c>
      <c r="D621" s="3" t="inlineStr">
        <is>
          <t>창고</t>
        </is>
      </c>
      <c r="E621" s="3" t="inlineStr">
        <is>
          <t>월세</t>
        </is>
      </c>
      <c r="F621" s="4" t="n">
        <v>2000</v>
      </c>
      <c r="G621" s="4" t="n">
        <v>190</v>
      </c>
      <c r="H621" s="4" t="n">
        <v>221</v>
      </c>
      <c r="I621" s="4" t="n">
        <v>67</v>
      </c>
      <c r="J621" s="5" t="n">
        <v>2.8</v>
      </c>
      <c r="K621" s="4" t="n">
        <v>256</v>
      </c>
      <c r="L621" s="4" t="n">
        <v>77</v>
      </c>
      <c r="M621" s="5" t="n">
        <v>2.5</v>
      </c>
      <c r="N621" s="3" t="inlineStr">
        <is>
          <t>2</t>
        </is>
      </c>
      <c r="O621" s="3" t="inlineStr">
        <is>
          <t>-</t>
        </is>
      </c>
      <c r="P621" s="3" t="inlineStr">
        <is>
          <t>2층 창고 건물임. 부가세 포함 즉시입주</t>
        </is>
      </c>
      <c r="Q621" s="6">
        <f>HYPERLINK("https://fin.land.naver.com/articles/2648294957", "매물Link")</f>
        <v/>
      </c>
      <c r="R621" s="6">
        <f>HYPERLINK("https://map.naver.com/p/search/세종특별자치시 나성동 829", "지도Link")</f>
        <v/>
      </c>
      <c r="S621" s="6">
        <f>HYPERLINK("http://www.eum.go.kr/web/ar/lu/luLandDet.jsp?pnu=3611010700108290000&amp;isNoScr=script&amp;mode=search", "토지이음")</f>
        <v/>
      </c>
      <c r="T621" s="3" t="inlineStr">
        <is>
          <t>구성스마트</t>
        </is>
      </c>
      <c r="U621" s="3" t="n">
        <v>1</v>
      </c>
      <c r="V621" s="3" t="inlineStr">
        <is>
          <t>공동주택 보육시설</t>
        </is>
      </c>
      <c r="W621" s="4" t="n">
        <v>256</v>
      </c>
      <c r="X621" s="3" t="inlineStr">
        <is>
          <t>철근콘크리트구조</t>
        </is>
      </c>
      <c r="Y621" s="3" t="inlineStr">
        <is>
          <t>공동주택</t>
        </is>
      </c>
      <c r="Z621" s="3" t="inlineStr">
        <is>
          <t>-m</t>
        </is>
      </c>
      <c r="AA621" s="3" t="inlineStr">
        <is>
          <t>2021-08-20</t>
        </is>
      </c>
    </row>
    <row r="622">
      <c r="A622" s="3" t="inlineStr">
        <is>
          <t>세종특별자치시 나성동 829</t>
        </is>
      </c>
      <c r="B622" s="3" t="inlineStr">
        <is>
          <t>중심상업지역</t>
        </is>
      </c>
      <c r="C622" s="3" t="inlineStr">
        <is>
          <t>대</t>
        </is>
      </c>
      <c r="D622" s="3" t="inlineStr">
        <is>
          <t>공장</t>
        </is>
      </c>
      <c r="E622" s="3" t="inlineStr">
        <is>
          <t>매매</t>
        </is>
      </c>
      <c r="F622" s="4" t="n">
        <v>173000</v>
      </c>
      <c r="G622" s="4" t="n">
        <v>0</v>
      </c>
      <c r="H622" s="4" t="n">
        <v>656</v>
      </c>
      <c r="I622" s="4" t="n">
        <v>198</v>
      </c>
      <c r="J622" s="5" t="n">
        <v>873.7</v>
      </c>
      <c r="K622" s="4" t="n">
        <v>294</v>
      </c>
      <c r="L622" s="4" t="n">
        <v>89</v>
      </c>
      <c r="M622" s="5" t="n">
        <v>1943.8</v>
      </c>
      <c r="N622" s="3" t="inlineStr">
        <is>
          <t>2</t>
        </is>
      </c>
      <c r="O622" s="3" t="inlineStr">
        <is>
          <t>-</t>
        </is>
      </c>
      <c r="P622" s="3" t="inlineStr">
        <is>
          <t>오정동 공장 매매</t>
        </is>
      </c>
      <c r="Q622" s="6">
        <f>HYPERLINK("https://fin.land.naver.com/articles/2646694660", "매물Link")</f>
        <v/>
      </c>
      <c r="R622" s="6">
        <f>HYPERLINK("https://map.naver.com/p/search/세종특별자치시 나성동 829", "지도Link")</f>
        <v/>
      </c>
      <c r="S622" s="6">
        <f>HYPERLINK("http://www.eum.go.kr/web/ar/lu/luLandDet.jsp?pnu=3611010700108290000&amp;isNoScr=script&amp;mode=search", "토지이음")</f>
        <v/>
      </c>
      <c r="T622" s="3" t="inlineStr">
        <is>
          <t>왕중왕기업</t>
        </is>
      </c>
      <c r="U622" s="3" t="n">
        <v>1</v>
      </c>
      <c r="V622" s="3" t="inlineStr">
        <is>
          <t>공동주택 전기,발전기실</t>
        </is>
      </c>
      <c r="W622" s="4" t="n">
        <v>294</v>
      </c>
      <c r="X622" s="3" t="inlineStr">
        <is>
          <t>철근콘크리트구조</t>
        </is>
      </c>
      <c r="Y622" s="3" t="inlineStr">
        <is>
          <t>공동주택</t>
        </is>
      </c>
      <c r="Z622" s="3" t="inlineStr">
        <is>
          <t>-m</t>
        </is>
      </c>
      <c r="AA622" s="3" t="inlineStr">
        <is>
          <t>2021-08-20</t>
        </is>
      </c>
    </row>
    <row r="623">
      <c r="A623" s="3" t="inlineStr">
        <is>
          <t>세종특별자치시 나성동 829</t>
        </is>
      </c>
      <c r="B623" s="3" t="inlineStr">
        <is>
          <t>중심상업지역</t>
        </is>
      </c>
      <c r="C623" s="3" t="inlineStr">
        <is>
          <t>대</t>
        </is>
      </c>
      <c r="D623" s="3" t="inlineStr">
        <is>
          <t>창고</t>
        </is>
      </c>
      <c r="E623" s="3" t="inlineStr">
        <is>
          <t>월세</t>
        </is>
      </c>
      <c r="F623" s="4" t="n">
        <v>3000</v>
      </c>
      <c r="G623" s="4" t="n">
        <v>120</v>
      </c>
      <c r="H623" s="4" t="n">
        <v>256</v>
      </c>
      <c r="I623" s="4" t="n">
        <v>77</v>
      </c>
      <c r="J623" s="5" t="n">
        <v>1.6</v>
      </c>
      <c r="K623" s="4" t="n">
        <v>127</v>
      </c>
      <c r="L623" s="4" t="n">
        <v>38</v>
      </c>
      <c r="M623" s="5" t="n">
        <v>3.2</v>
      </c>
      <c r="N623" s="3" t="inlineStr">
        <is>
          <t>4</t>
        </is>
      </c>
      <c r="O623" s="3" t="inlineStr">
        <is>
          <t>-</t>
        </is>
      </c>
      <c r="P623" s="3" t="inlineStr">
        <is>
          <t>창고및 사무실로 사용가능, 대로변에 근접함.</t>
        </is>
      </c>
      <c r="Q623" s="6">
        <f>HYPERLINK("https://fin.land.naver.com/articles/2644663885", "매물Link")</f>
        <v/>
      </c>
      <c r="R623" s="6">
        <f>HYPERLINK("https://map.naver.com/p/search/세종특별자치시 나성동 829", "지도Link")</f>
        <v/>
      </c>
      <c r="S623" s="6">
        <f>HYPERLINK("http://www.eum.go.kr/web/ar/lu/luLandDet.jsp?pnu=3611010700108290000&amp;isNoScr=script&amp;mode=search", "토지이음")</f>
        <v/>
      </c>
      <c r="T623" s="3" t="inlineStr">
        <is>
          <t>성지</t>
        </is>
      </c>
      <c r="U623" s="3" t="n">
        <v>1</v>
      </c>
      <c r="V623" s="3" t="inlineStr">
        <is>
          <t>판매시설 지하주차장</t>
        </is>
      </c>
      <c r="W623" s="4" t="n">
        <v>127</v>
      </c>
      <c r="X623" s="3" t="inlineStr">
        <is>
          <t>철근콘크리트구조</t>
        </is>
      </c>
      <c r="Y623" s="3" t="inlineStr">
        <is>
          <t>판매시설</t>
        </is>
      </c>
      <c r="Z623" s="3" t="inlineStr">
        <is>
          <t>-m</t>
        </is>
      </c>
      <c r="AA623" s="3" t="inlineStr">
        <is>
          <t>2021-08-20</t>
        </is>
      </c>
    </row>
    <row r="624">
      <c r="A624" s="3" t="inlineStr">
        <is>
          <t>세종특별자치시 나성동 829</t>
        </is>
      </c>
      <c r="B624" s="3" t="inlineStr">
        <is>
          <t>중심상업지역</t>
        </is>
      </c>
      <c r="C624" s="3" t="inlineStr">
        <is>
          <t>대</t>
        </is>
      </c>
      <c r="D624" s="3" t="inlineStr">
        <is>
          <t>공장</t>
        </is>
      </c>
      <c r="E624" s="3" t="inlineStr">
        <is>
          <t>매매</t>
        </is>
      </c>
      <c r="F624" s="4" t="n">
        <v>150000</v>
      </c>
      <c r="G624" s="4" t="n">
        <v>0</v>
      </c>
      <c r="H624" s="4" t="n">
        <v>472</v>
      </c>
      <c r="I624" s="4" t="n">
        <v>143</v>
      </c>
      <c r="J624" s="5" t="n">
        <v>1049</v>
      </c>
      <c r="K624" s="4" t="n">
        <v>306</v>
      </c>
      <c r="L624" s="4" t="n">
        <v>93</v>
      </c>
      <c r="M624" s="5" t="n">
        <v>1612.9</v>
      </c>
      <c r="N624" s="3" t="inlineStr">
        <is>
          <t>1</t>
        </is>
      </c>
      <c r="O624" s="3" t="inlineStr">
        <is>
          <t>-</t>
        </is>
      </c>
      <c r="P624" s="3" t="inlineStr">
        <is>
          <t>nan</t>
        </is>
      </c>
      <c r="Q624" s="6">
        <f>HYPERLINK("https://fin.land.naver.com/articles/2644592725", "매물Link")</f>
        <v/>
      </c>
      <c r="R624" s="6">
        <f>HYPERLINK("https://map.naver.com/p/search/세종특별자치시 나성동 829", "지도Link")</f>
        <v/>
      </c>
      <c r="S624" s="6">
        <f>HYPERLINK("http://www.eum.go.kr/web/ar/lu/luLandDet.jsp?pnu=3611010700108290000&amp;isNoScr=script&amp;mode=search", "토지이음")</f>
        <v/>
      </c>
      <c r="T624" s="3" t="inlineStr">
        <is>
          <t>탑</t>
        </is>
      </c>
      <c r="U624" s="3" t="n">
        <v>1</v>
      </c>
      <c r="V624" s="3" t="inlineStr">
        <is>
          <t>801</t>
        </is>
      </c>
      <c r="W624" s="4" t="n">
        <v>306</v>
      </c>
      <c r="X624" s="3" t="inlineStr">
        <is>
          <t>철근콘크리트구조</t>
        </is>
      </c>
      <c r="Y624" s="3" t="inlineStr">
        <is>
          <t>제2종근린생활시설</t>
        </is>
      </c>
      <c r="Z624" s="3" t="inlineStr">
        <is>
          <t>-m</t>
        </is>
      </c>
      <c r="AA624" s="3" t="inlineStr">
        <is>
          <t>2021-08-20</t>
        </is>
      </c>
    </row>
    <row r="625">
      <c r="A625" s="3" t="inlineStr">
        <is>
          <t>세종특별자치시 나성동 829</t>
        </is>
      </c>
      <c r="B625" s="3" t="inlineStr">
        <is>
          <t>중심상업지역</t>
        </is>
      </c>
      <c r="C625" s="3" t="inlineStr">
        <is>
          <t>대</t>
        </is>
      </c>
      <c r="D625" s="3" t="inlineStr">
        <is>
          <t>창고</t>
        </is>
      </c>
      <c r="E625" s="3" t="inlineStr">
        <is>
          <t>매매</t>
        </is>
      </c>
      <c r="F625" s="4" t="n">
        <v>85000</v>
      </c>
      <c r="G625" s="4" t="n">
        <v>0</v>
      </c>
      <c r="H625" s="4" t="n">
        <v>334</v>
      </c>
      <c r="I625" s="4" t="n">
        <v>101</v>
      </c>
      <c r="J625" s="5" t="n">
        <v>841.6</v>
      </c>
      <c r="K625" s="4" t="n">
        <v>191</v>
      </c>
      <c r="L625" s="4" t="n">
        <v>58</v>
      </c>
      <c r="M625" s="5" t="n">
        <v>1465.5</v>
      </c>
      <c r="N625" s="3" t="inlineStr">
        <is>
          <t>1</t>
        </is>
      </c>
      <c r="O625" s="3" t="inlineStr">
        <is>
          <t>-</t>
        </is>
      </c>
      <c r="P625" s="3" t="inlineStr">
        <is>
          <t>공장 창고 및 재건축 용도</t>
        </is>
      </c>
      <c r="Q625" s="6">
        <f>HYPERLINK("https://fin.land.naver.com/articles/2644567345", "매물Link")</f>
        <v/>
      </c>
      <c r="R625" s="6">
        <f>HYPERLINK("https://map.naver.com/p/search/세종특별자치시 나성동 829", "지도Link")</f>
        <v/>
      </c>
      <c r="S625" s="6">
        <f>HYPERLINK("http://www.eum.go.kr/web/ar/lu/luLandDet.jsp?pnu=3611010700108290000&amp;isNoScr=script&amp;mode=search", "토지이음")</f>
        <v/>
      </c>
      <c r="T625" s="3" t="inlineStr">
        <is>
          <t>열린</t>
        </is>
      </c>
      <c r="U625" s="3" t="n">
        <v>1</v>
      </c>
      <c r="V625" s="3" t="inlineStr">
        <is>
          <t>701</t>
        </is>
      </c>
      <c r="W625" s="4" t="n">
        <v>191</v>
      </c>
      <c r="X625" s="3" t="inlineStr">
        <is>
          <t>철근콘크리트구조</t>
        </is>
      </c>
      <c r="Y625" s="3" t="inlineStr">
        <is>
          <t>판매시설</t>
        </is>
      </c>
      <c r="Z625" s="3" t="inlineStr">
        <is>
          <t>-m</t>
        </is>
      </c>
      <c r="AA625" s="3" t="inlineStr">
        <is>
          <t>2021-08-20</t>
        </is>
      </c>
    </row>
    <row r="626">
      <c r="A626" s="3" t="inlineStr">
        <is>
          <t>세종특별자치시 나성동 829</t>
        </is>
      </c>
      <c r="B626" s="3" t="inlineStr">
        <is>
          <t>중심상업지역</t>
        </is>
      </c>
      <c r="C626" s="3" t="inlineStr">
        <is>
          <t>대</t>
        </is>
      </c>
      <c r="D626" s="3" t="inlineStr">
        <is>
          <t>공장</t>
        </is>
      </c>
      <c r="E626" s="3" t="inlineStr">
        <is>
          <t>월세</t>
        </is>
      </c>
      <c r="F626" s="4" t="n">
        <v>3000</v>
      </c>
      <c r="G626" s="4" t="n">
        <v>300</v>
      </c>
      <c r="H626" s="4" t="n">
        <v>419</v>
      </c>
      <c r="I626" s="4" t="n">
        <v>127</v>
      </c>
      <c r="J626" s="5" t="n">
        <v>2.4</v>
      </c>
      <c r="K626" s="4" t="n">
        <v>292</v>
      </c>
      <c r="L626" s="4" t="n">
        <v>88</v>
      </c>
      <c r="M626" s="5" t="n">
        <v>3.4</v>
      </c>
      <c r="N626" s="3" t="inlineStr">
        <is>
          <t>1</t>
        </is>
      </c>
      <c r="O626" s="3" t="inlineStr">
        <is>
          <t>-</t>
        </is>
      </c>
      <c r="P626" s="3" t="inlineStr">
        <is>
          <t>호이스트있는 공장 임대 기계 무상사용 사무실 별도 사용 가</t>
        </is>
      </c>
      <c r="Q626" s="6">
        <f>HYPERLINK("https://fin.land.naver.com/articles/2650088638", "매물Link")</f>
        <v/>
      </c>
      <c r="R626" s="6">
        <f>HYPERLINK("https://map.naver.com/p/search/세종특별자치시 나성동 829", "지도Link")</f>
        <v/>
      </c>
      <c r="S626" s="6">
        <f>HYPERLINK("http://www.eum.go.kr/web/ar/lu/luLandDet.jsp?pnu=3611010700108290000&amp;isNoScr=script&amp;mode=search", "토지이음")</f>
        <v/>
      </c>
      <c r="T626" s="3" t="inlineStr">
        <is>
          <t>삼익</t>
        </is>
      </c>
      <c r="U626" s="3" t="n">
        <v>1</v>
      </c>
      <c r="V626" s="3" t="inlineStr">
        <is>
          <t>공동주택 전기,발전기실</t>
        </is>
      </c>
      <c r="W626" s="4" t="n">
        <v>292</v>
      </c>
      <c r="X626" s="3" t="inlineStr">
        <is>
          <t>철근콘크리트구조</t>
        </is>
      </c>
      <c r="Y626" s="3" t="inlineStr">
        <is>
          <t>공동주택</t>
        </is>
      </c>
      <c r="Z626" s="3" t="inlineStr">
        <is>
          <t>-m</t>
        </is>
      </c>
      <c r="AA626" s="3" t="inlineStr">
        <is>
          <t>2021-08-20</t>
        </is>
      </c>
    </row>
    <row r="627">
      <c r="A627" s="3" t="inlineStr">
        <is>
          <t>세종특별자치시 나성동 829</t>
        </is>
      </c>
      <c r="B627" s="3" t="inlineStr">
        <is>
          <t>중심상업지역</t>
        </is>
      </c>
      <c r="C627" s="3" t="inlineStr">
        <is>
          <t>대</t>
        </is>
      </c>
      <c r="D627" s="3" t="inlineStr">
        <is>
          <t>공장</t>
        </is>
      </c>
      <c r="E627" s="3" t="inlineStr">
        <is>
          <t>월세</t>
        </is>
      </c>
      <c r="F627" s="4" t="n">
        <v>2000</v>
      </c>
      <c r="G627" s="4" t="n">
        <v>220</v>
      </c>
      <c r="H627" s="4" t="n">
        <v>2700</v>
      </c>
      <c r="I627" s="4" t="n">
        <v>817</v>
      </c>
      <c r="J627" s="5" t="n">
        <v>0.3</v>
      </c>
      <c r="K627" s="4" t="n">
        <v>294</v>
      </c>
      <c r="L627" s="4" t="n">
        <v>89</v>
      </c>
      <c r="M627" s="5" t="n">
        <v>2.5</v>
      </c>
      <c r="N627" s="3" t="inlineStr">
        <is>
          <t>1</t>
        </is>
      </c>
      <c r="O627" s="3" t="inlineStr">
        <is>
          <t>-</t>
        </is>
      </c>
      <c r="P627" s="3" t="inlineStr">
        <is>
          <t>nan</t>
        </is>
      </c>
      <c r="Q627" s="6">
        <f>HYPERLINK("https://fin.land.naver.com/articles/2649528967", "매물Link")</f>
        <v/>
      </c>
      <c r="R627" s="6">
        <f>HYPERLINK("https://map.naver.com/p/search/세종특별자치시 나성동 829", "지도Link")</f>
        <v/>
      </c>
      <c r="S627" s="6">
        <f>HYPERLINK("http://www.eum.go.kr/web/ar/lu/luLandDet.jsp?pnu=3611010700108290000&amp;isNoScr=script&amp;mode=search", "토지이음")</f>
        <v/>
      </c>
      <c r="T627" s="3" t="inlineStr">
        <is>
          <t>왕중왕기업</t>
        </is>
      </c>
      <c r="U627" s="3" t="n">
        <v>1</v>
      </c>
      <c r="V627" s="3" t="inlineStr">
        <is>
          <t>공동주택 전기,발전기실</t>
        </is>
      </c>
      <c r="W627" s="4" t="n">
        <v>294</v>
      </c>
      <c r="X627" s="3" t="inlineStr">
        <is>
          <t>철근콘크리트구조</t>
        </is>
      </c>
      <c r="Y627" s="3" t="inlineStr">
        <is>
          <t>공동주택</t>
        </is>
      </c>
      <c r="Z627" s="3" t="inlineStr">
        <is>
          <t>-m</t>
        </is>
      </c>
      <c r="AA627" s="3" t="inlineStr">
        <is>
          <t>2021-08-20</t>
        </is>
      </c>
    </row>
    <row r="628">
      <c r="A628" s="3" t="inlineStr">
        <is>
          <t>세종특별자치시 나성동 829</t>
        </is>
      </c>
      <c r="B628" s="3" t="inlineStr">
        <is>
          <t>중심상업지역</t>
        </is>
      </c>
      <c r="C628" s="3" t="inlineStr">
        <is>
          <t>대</t>
        </is>
      </c>
      <c r="D628" s="3" t="inlineStr">
        <is>
          <t>공장</t>
        </is>
      </c>
      <c r="E628" s="3" t="inlineStr">
        <is>
          <t>월세</t>
        </is>
      </c>
      <c r="F628" s="4" t="n">
        <v>1800</v>
      </c>
      <c r="G628" s="4" t="n">
        <v>180</v>
      </c>
      <c r="H628" s="4" t="n">
        <v>3314</v>
      </c>
      <c r="I628" s="4" t="n">
        <v>1002</v>
      </c>
      <c r="J628" s="5" t="n">
        <v>0.2</v>
      </c>
      <c r="K628" s="4" t="n">
        <v>297</v>
      </c>
      <c r="L628" s="4" t="n">
        <v>90</v>
      </c>
      <c r="M628" s="5" t="n">
        <v>2</v>
      </c>
      <c r="N628" s="3" t="inlineStr">
        <is>
          <t>3</t>
        </is>
      </c>
      <c r="O628" s="3" t="inlineStr">
        <is>
          <t>B1</t>
        </is>
      </c>
      <c r="P628" s="3" t="inlineStr">
        <is>
          <t>저렴한 산업단지내 공장.높이4M 정도, 조립공장 최상급.</t>
        </is>
      </c>
      <c r="Q628" s="6">
        <f>HYPERLINK("https://fin.land.naver.com/articles/2649525751", "매물Link")</f>
        <v/>
      </c>
      <c r="R628" s="6">
        <f>HYPERLINK("https://map.naver.com/p/search/세종특별자치시 나성동 829", "지도Link")</f>
        <v/>
      </c>
      <c r="S628" s="6">
        <f>HYPERLINK("http://www.eum.go.kr/web/ar/lu/luLandDet.jsp?pnu=3611010700108290000&amp;isNoScr=script&amp;mode=search", "토지이음")</f>
        <v/>
      </c>
      <c r="T628" s="3" t="inlineStr">
        <is>
          <t>성지</t>
        </is>
      </c>
      <c r="U628" s="3" t="n">
        <v>2</v>
      </c>
      <c r="V628" s="3" t="inlineStr">
        <is>
          <t>공동주택 전기,발전기실</t>
        </is>
      </c>
      <c r="W628" s="4" t="n">
        <v>297</v>
      </c>
      <c r="X628" s="3" t="inlineStr">
        <is>
          <t>철근콘크리트구조</t>
        </is>
      </c>
      <c r="Y628" s="3" t="inlineStr">
        <is>
          <t>공동주택</t>
        </is>
      </c>
      <c r="Z628" s="3" t="inlineStr">
        <is>
          <t>-m</t>
        </is>
      </c>
      <c r="AA628" s="3" t="inlineStr">
        <is>
          <t>2021-08-20</t>
        </is>
      </c>
    </row>
    <row r="629">
      <c r="A629" s="3" t="inlineStr">
        <is>
          <t>세종특별자치시 나성동 829</t>
        </is>
      </c>
      <c r="B629" s="3" t="inlineStr">
        <is>
          <t>중심상업지역</t>
        </is>
      </c>
      <c r="C629" s="3" t="inlineStr">
        <is>
          <t>대</t>
        </is>
      </c>
      <c r="D629" s="3" t="inlineStr">
        <is>
          <t>공장</t>
        </is>
      </c>
      <c r="E629" s="3" t="inlineStr">
        <is>
          <t>월세</t>
        </is>
      </c>
      <c r="F629" s="4" t="n">
        <v>500</v>
      </c>
      <c r="G629" s="4" t="n">
        <v>50</v>
      </c>
      <c r="H629" s="4" t="n">
        <v>3314</v>
      </c>
      <c r="I629" s="4" t="n">
        <v>1002</v>
      </c>
      <c r="J629" s="5" t="n">
        <v>0</v>
      </c>
      <c r="K629" s="4" t="n">
        <v>3032</v>
      </c>
      <c r="L629" s="4" t="n">
        <v>917</v>
      </c>
      <c r="M629" s="5" t="n">
        <v>0.1</v>
      </c>
      <c r="N629" s="3" t="inlineStr">
        <is>
          <t>3</t>
        </is>
      </c>
      <c r="O629" s="3" t="inlineStr">
        <is>
          <t>B1</t>
        </is>
      </c>
      <c r="P629" s="3" t="inlineStr">
        <is>
          <t>화물 승강기있음. 저렴한가격.</t>
        </is>
      </c>
      <c r="Q629" s="6">
        <f>HYPERLINK("https://fin.land.naver.com/articles/2649441356", "매물Link")</f>
        <v/>
      </c>
      <c r="R629" s="6">
        <f>HYPERLINK("https://map.naver.com/p/search/세종특별자치시 나성동 829", "지도Link")</f>
        <v/>
      </c>
      <c r="S629" s="6">
        <f>HYPERLINK("http://www.eum.go.kr/web/ar/lu/luLandDet.jsp?pnu=3611010700108290000&amp;isNoScr=script&amp;mode=search", "토지이음")</f>
        <v/>
      </c>
      <c r="T629" s="3" t="inlineStr">
        <is>
          <t>성지</t>
        </is>
      </c>
      <c r="U629" s="3" t="n">
        <v>1</v>
      </c>
      <c r="V629" s="3" t="inlineStr">
        <is>
          <t>802</t>
        </is>
      </c>
      <c r="W629" s="4" t="n">
        <v>3032</v>
      </c>
      <c r="X629" s="3" t="inlineStr">
        <is>
          <t>철근콘크리트구조</t>
        </is>
      </c>
      <c r="Y629" s="3" t="inlineStr">
        <is>
          <t>제2종근린생활시설</t>
        </is>
      </c>
      <c r="Z629" s="3" t="inlineStr">
        <is>
          <t>-m</t>
        </is>
      </c>
      <c r="AA629" s="3" t="inlineStr">
        <is>
          <t>2021-08-20</t>
        </is>
      </c>
    </row>
    <row r="630">
      <c r="A630" s="3" t="inlineStr">
        <is>
          <t>세종특별자치시 나성동 829</t>
        </is>
      </c>
      <c r="B630" s="3" t="inlineStr">
        <is>
          <t>중심상업지역</t>
        </is>
      </c>
      <c r="C630" s="3" t="inlineStr">
        <is>
          <t>대</t>
        </is>
      </c>
      <c r="D630" s="3" t="inlineStr">
        <is>
          <t>공장</t>
        </is>
      </c>
      <c r="E630" s="3" t="inlineStr">
        <is>
          <t>월세</t>
        </is>
      </c>
      <c r="F630" s="4" t="n">
        <v>5000</v>
      </c>
      <c r="G630" s="4" t="n">
        <v>500</v>
      </c>
      <c r="H630" s="4" t="n">
        <v>1600</v>
      </c>
      <c r="I630" s="4" t="n">
        <v>484</v>
      </c>
      <c r="J630" s="5" t="n">
        <v>1</v>
      </c>
      <c r="K630" s="4" t="n">
        <v>500</v>
      </c>
      <c r="L630" s="4" t="n">
        <v>151</v>
      </c>
      <c r="M630" s="5" t="n">
        <v>3.3</v>
      </c>
      <c r="N630" s="3" t="inlineStr">
        <is>
          <t>1</t>
        </is>
      </c>
      <c r="O630" s="3" t="inlineStr">
        <is>
          <t>-</t>
        </is>
      </c>
      <c r="P630" s="3" t="inlineStr">
        <is>
          <t>호이스트사무실 갖춘 깔끔한 신축공장</t>
        </is>
      </c>
      <c r="Q630" s="6">
        <f>HYPERLINK("https://fin.land.naver.com/articles/2649276327", "매물Link")</f>
        <v/>
      </c>
      <c r="R630" s="6">
        <f>HYPERLINK("https://map.naver.com/p/search/세종특별자치시 나성동 829", "지도Link")</f>
        <v/>
      </c>
      <c r="S630" s="6">
        <f>HYPERLINK("http://www.eum.go.kr/web/ar/lu/luLandDet.jsp?pnu=3611010700108290000&amp;isNoScr=script&amp;mode=search", "토지이음")</f>
        <v/>
      </c>
      <c r="T630" s="3" t="inlineStr">
        <is>
          <t>삼익</t>
        </is>
      </c>
      <c r="U630" s="3" t="n">
        <v>1</v>
      </c>
      <c r="V630" s="3" t="inlineStr">
        <is>
          <t>전망공간 기계실</t>
        </is>
      </c>
      <c r="W630" s="4" t="n">
        <v>500</v>
      </c>
      <c r="X630" s="3" t="inlineStr">
        <is>
          <t>철근콘크리트구조</t>
        </is>
      </c>
      <c r="Y630" s="3" t="inlineStr">
        <is>
          <t>제2종근린생활시설</t>
        </is>
      </c>
      <c r="Z630" s="3" t="inlineStr">
        <is>
          <t>-m</t>
        </is>
      </c>
      <c r="AA630" s="3" t="inlineStr">
        <is>
          <t>2021-08-20</t>
        </is>
      </c>
    </row>
    <row r="631">
      <c r="A631" s="3" t="inlineStr">
        <is>
          <t>세종특별자치시 나성동 829</t>
        </is>
      </c>
      <c r="B631" s="3" t="inlineStr">
        <is>
          <t>중심상업지역</t>
        </is>
      </c>
      <c r="C631" s="3" t="inlineStr">
        <is>
          <t>대</t>
        </is>
      </c>
      <c r="D631" s="3" t="inlineStr">
        <is>
          <t>공장</t>
        </is>
      </c>
      <c r="E631" s="3" t="inlineStr">
        <is>
          <t>월세</t>
        </is>
      </c>
      <c r="F631" s="4" t="n">
        <v>3000</v>
      </c>
      <c r="G631" s="4" t="n">
        <v>290</v>
      </c>
      <c r="H631" s="4" t="n">
        <v>2524</v>
      </c>
      <c r="I631" s="4" t="n">
        <v>764</v>
      </c>
      <c r="J631" s="5" t="n">
        <v>0.4</v>
      </c>
      <c r="K631" s="4" t="n">
        <v>300</v>
      </c>
      <c r="L631" s="4" t="n">
        <v>91</v>
      </c>
      <c r="M631" s="5" t="n">
        <v>3.2</v>
      </c>
      <c r="N631" s="3" t="inlineStr">
        <is>
          <t>1</t>
        </is>
      </c>
      <c r="O631" s="3" t="inlineStr">
        <is>
          <t>-</t>
        </is>
      </c>
      <c r="P631" s="3" t="inlineStr">
        <is>
          <t>대덕구 대화동  일반산업단지내 공장 임대, 층고7m</t>
        </is>
      </c>
      <c r="Q631" s="6">
        <f>HYPERLINK("https://fin.land.naver.com/articles/2648830891", "매물Link")</f>
        <v/>
      </c>
      <c r="R631" s="6">
        <f>HYPERLINK("https://map.naver.com/p/search/세종특별자치시 나성동 829", "지도Link")</f>
        <v/>
      </c>
      <c r="S631" s="6">
        <f>HYPERLINK("http://www.eum.go.kr/web/ar/lu/luLandDet.jsp?pnu=3611010700108290000&amp;isNoScr=script&amp;mode=search", "토지이음")</f>
        <v/>
      </c>
      <c r="T631" s="3" t="inlineStr">
        <is>
          <t>왕중왕기업</t>
        </is>
      </c>
      <c r="U631" s="3" t="n">
        <v>1</v>
      </c>
      <c r="V631" s="3" t="inlineStr">
        <is>
          <t>801</t>
        </is>
      </c>
      <c r="W631" s="4" t="n">
        <v>300</v>
      </c>
      <c r="X631" s="3" t="inlineStr">
        <is>
          <t>철근콘크리트구조</t>
        </is>
      </c>
      <c r="Y631" s="3" t="inlineStr">
        <is>
          <t>제2종근린생활시설</t>
        </is>
      </c>
      <c r="Z631" s="3" t="inlineStr">
        <is>
          <t>-m</t>
        </is>
      </c>
      <c r="AA631" s="3" t="inlineStr">
        <is>
          <t>2021-08-20</t>
        </is>
      </c>
    </row>
    <row r="632">
      <c r="A632" s="3" t="inlineStr">
        <is>
          <t>세종특별자치시 나성동 829</t>
        </is>
      </c>
      <c r="B632" s="3" t="inlineStr">
        <is>
          <t>중심상업지역</t>
        </is>
      </c>
      <c r="C632" s="3" t="inlineStr">
        <is>
          <t>대</t>
        </is>
      </c>
      <c r="D632" s="3" t="inlineStr">
        <is>
          <t>공장</t>
        </is>
      </c>
      <c r="E632" s="3" t="inlineStr">
        <is>
          <t>월세</t>
        </is>
      </c>
      <c r="F632" s="4" t="n">
        <v>5000</v>
      </c>
      <c r="G632" s="4" t="n">
        <v>370</v>
      </c>
      <c r="H632" s="4" t="n">
        <v>3140</v>
      </c>
      <c r="I632" s="4" t="n">
        <v>950</v>
      </c>
      <c r="J632" s="5" t="n">
        <v>0.4</v>
      </c>
      <c r="K632" s="4" t="n">
        <v>489</v>
      </c>
      <c r="L632" s="4" t="n">
        <v>148</v>
      </c>
      <c r="M632" s="5" t="n">
        <v>2.5</v>
      </c>
      <c r="N632" s="3" t="inlineStr">
        <is>
          <t>1</t>
        </is>
      </c>
      <c r="O632" s="3" t="inlineStr">
        <is>
          <t>-</t>
        </is>
      </c>
      <c r="P632" s="3" t="inlineStr">
        <is>
          <t>nan</t>
        </is>
      </c>
      <c r="Q632" s="6">
        <f>HYPERLINK("https://fin.land.naver.com/articles/2648443211", "매물Link")</f>
        <v/>
      </c>
      <c r="R632" s="6">
        <f>HYPERLINK("https://map.naver.com/p/search/세종특별자치시 나성동 829", "지도Link")</f>
        <v/>
      </c>
      <c r="S632" s="6">
        <f>HYPERLINK("http://www.eum.go.kr/web/ar/lu/luLandDet.jsp?pnu=3611010700108290000&amp;isNoScr=script&amp;mode=search", "토지이음")</f>
        <v/>
      </c>
      <c r="T632" s="3" t="inlineStr">
        <is>
          <t>대승</t>
        </is>
      </c>
      <c r="U632" s="3" t="n">
        <v>1</v>
      </c>
      <c r="V632" s="3" t="inlineStr">
        <is>
          <t>전망공간 기계실</t>
        </is>
      </c>
      <c r="W632" s="4" t="n">
        <v>489</v>
      </c>
      <c r="X632" s="3" t="inlineStr">
        <is>
          <t>철근콘크리트구조</t>
        </is>
      </c>
      <c r="Y632" s="3" t="inlineStr">
        <is>
          <t>제2종근린생활시설</t>
        </is>
      </c>
      <c r="Z632" s="3" t="inlineStr">
        <is>
          <t>-m</t>
        </is>
      </c>
      <c r="AA632" s="3" t="inlineStr">
        <is>
          <t>2021-08-20</t>
        </is>
      </c>
    </row>
    <row r="633">
      <c r="A633" s="3" t="inlineStr">
        <is>
          <t>세종특별자치시 나성동 829</t>
        </is>
      </c>
      <c r="B633" s="3" t="inlineStr">
        <is>
          <t>중심상업지역</t>
        </is>
      </c>
      <c r="C633" s="3" t="inlineStr">
        <is>
          <t>대</t>
        </is>
      </c>
      <c r="D633" s="3" t="inlineStr">
        <is>
          <t>공장</t>
        </is>
      </c>
      <c r="E633" s="3" t="inlineStr">
        <is>
          <t>월세</t>
        </is>
      </c>
      <c r="F633" s="4" t="n">
        <v>6000</v>
      </c>
      <c r="G633" s="4" t="n">
        <v>540</v>
      </c>
      <c r="H633" s="4" t="n">
        <v>920</v>
      </c>
      <c r="I633" s="4" t="n">
        <v>278</v>
      </c>
      <c r="J633" s="5" t="n">
        <v>1.9</v>
      </c>
      <c r="K633" s="4" t="n">
        <v>397</v>
      </c>
      <c r="L633" s="4" t="n">
        <v>120</v>
      </c>
      <c r="M633" s="5" t="n">
        <v>4.5</v>
      </c>
      <c r="N633" s="3" t="inlineStr">
        <is>
          <t>1</t>
        </is>
      </c>
      <c r="O633" s="3" t="inlineStr">
        <is>
          <t>-</t>
        </is>
      </c>
      <c r="P633" s="3" t="inlineStr">
        <is>
          <t>마당 사용 가능</t>
        </is>
      </c>
      <c r="Q633" s="6">
        <f>HYPERLINK("https://fin.land.naver.com/articles/2648442080", "매물Link")</f>
        <v/>
      </c>
      <c r="R633" s="6">
        <f>HYPERLINK("https://map.naver.com/p/search/세종특별자치시 나성동 829", "지도Link")</f>
        <v/>
      </c>
      <c r="S633" s="6">
        <f>HYPERLINK("http://www.eum.go.kr/web/ar/lu/luLandDet.jsp?pnu=3611010700108290000&amp;isNoScr=script&amp;mode=search", "토지이음")</f>
        <v/>
      </c>
      <c r="T633" s="3" t="inlineStr">
        <is>
          <t>제일</t>
        </is>
      </c>
      <c r="U633" s="3" t="n">
        <v>1</v>
      </c>
      <c r="V633" s="3" t="inlineStr">
        <is>
          <t>전망공간 기계실</t>
        </is>
      </c>
      <c r="W633" s="4" t="n">
        <v>397</v>
      </c>
      <c r="X633" s="3" t="inlineStr">
        <is>
          <t>철근콘크리트구조</t>
        </is>
      </c>
      <c r="Y633" s="3" t="inlineStr">
        <is>
          <t>제2종근린생활시설</t>
        </is>
      </c>
      <c r="Z633" s="3" t="inlineStr">
        <is>
          <t>-m</t>
        </is>
      </c>
      <c r="AA633" s="3" t="inlineStr">
        <is>
          <t>2021-08-20</t>
        </is>
      </c>
    </row>
    <row r="634">
      <c r="A634" s="3" t="inlineStr">
        <is>
          <t>세종특별자치시 나성동 829</t>
        </is>
      </c>
      <c r="B634" s="3" t="inlineStr">
        <is>
          <t>중심상업지역</t>
        </is>
      </c>
      <c r="C634" s="3" t="inlineStr">
        <is>
          <t>대</t>
        </is>
      </c>
      <c r="D634" s="3" t="inlineStr">
        <is>
          <t>공장</t>
        </is>
      </c>
      <c r="E634" s="3" t="inlineStr">
        <is>
          <t>월세</t>
        </is>
      </c>
      <c r="F634" s="4" t="n">
        <v>2000</v>
      </c>
      <c r="G634" s="4" t="n">
        <v>150</v>
      </c>
      <c r="H634" s="4" t="n">
        <v>629</v>
      </c>
      <c r="I634" s="4" t="n">
        <v>190</v>
      </c>
      <c r="J634" s="5" t="n">
        <v>0.8</v>
      </c>
      <c r="K634" s="4" t="n">
        <v>261</v>
      </c>
      <c r="L634" s="4" t="n">
        <v>79</v>
      </c>
      <c r="M634" s="5" t="n">
        <v>1.9</v>
      </c>
      <c r="N634" s="3" t="inlineStr">
        <is>
          <t>2</t>
        </is>
      </c>
      <c r="O634" s="3" t="inlineStr">
        <is>
          <t>-</t>
        </is>
      </c>
      <c r="P634" s="3" t="inlineStr">
        <is>
          <t>공구상가 인근  단독마당   공장임대   즉시 입주 가능</t>
        </is>
      </c>
      <c r="Q634" s="6">
        <f>HYPERLINK("https://fin.land.naver.com/articles/2648125037", "매물Link")</f>
        <v/>
      </c>
      <c r="R634" s="6">
        <f>HYPERLINK("https://map.naver.com/p/search/세종특별자치시 나성동 829", "지도Link")</f>
        <v/>
      </c>
      <c r="S634" s="6">
        <f>HYPERLINK("http://www.eum.go.kr/web/ar/lu/luLandDet.jsp?pnu=3611010700108290000&amp;isNoScr=script&amp;mode=search", "토지이음")</f>
        <v/>
      </c>
      <c r="T634" s="3" t="inlineStr">
        <is>
          <t>삼익</t>
        </is>
      </c>
      <c r="U634" s="3" t="n">
        <v>1</v>
      </c>
      <c r="V634" s="3" t="inlineStr">
        <is>
          <t>근린생활시설 기계실</t>
        </is>
      </c>
      <c r="W634" s="4" t="n">
        <v>261</v>
      </c>
      <c r="X634" s="3" t="inlineStr">
        <is>
          <t>철근콘크리트구조</t>
        </is>
      </c>
      <c r="Y634" s="3" t="inlineStr">
        <is>
          <t>제2종근린생활시설</t>
        </is>
      </c>
      <c r="Z634" s="3" t="inlineStr">
        <is>
          <t>-m</t>
        </is>
      </c>
      <c r="AA634" s="3" t="inlineStr">
        <is>
          <t>2021-08-20</t>
        </is>
      </c>
    </row>
    <row r="635">
      <c r="A635" s="3" t="inlineStr">
        <is>
          <t>세종특별자치시 나성동 829</t>
        </is>
      </c>
      <c r="B635" s="3" t="inlineStr">
        <is>
          <t>중심상업지역</t>
        </is>
      </c>
      <c r="C635" s="3" t="inlineStr">
        <is>
          <t>대</t>
        </is>
      </c>
      <c r="D635" s="3" t="inlineStr">
        <is>
          <t>공장</t>
        </is>
      </c>
      <c r="E635" s="3" t="inlineStr">
        <is>
          <t>월세</t>
        </is>
      </c>
      <c r="F635" s="4" t="n">
        <v>2000</v>
      </c>
      <c r="G635" s="4" t="n">
        <v>180</v>
      </c>
      <c r="H635" s="4" t="n">
        <v>3314</v>
      </c>
      <c r="I635" s="4" t="n">
        <v>1002</v>
      </c>
      <c r="J635" s="5" t="n">
        <v>0.2</v>
      </c>
      <c r="K635" s="4" t="n">
        <v>297</v>
      </c>
      <c r="L635" s="4" t="n">
        <v>90</v>
      </c>
      <c r="M635" s="5" t="n">
        <v>2</v>
      </c>
      <c r="N635" s="3" t="inlineStr">
        <is>
          <t>3</t>
        </is>
      </c>
      <c r="O635" s="3" t="inlineStr">
        <is>
          <t>-</t>
        </is>
      </c>
      <c r="P635" s="3" t="inlineStr">
        <is>
          <t>층고낮은 공장임대 조립전기전자 연구소 추천 전기 90kw 사용가능</t>
        </is>
      </c>
      <c r="Q635" s="6">
        <f>HYPERLINK("https://fin.land.naver.com/articles/2647853162", "매물Link")</f>
        <v/>
      </c>
      <c r="R635" s="6">
        <f>HYPERLINK("https://map.naver.com/p/search/세종특별자치시 나성동 829", "지도Link")</f>
        <v/>
      </c>
      <c r="S635" s="6">
        <f>HYPERLINK("http://www.eum.go.kr/web/ar/lu/luLandDet.jsp?pnu=3611010700108290000&amp;isNoScr=script&amp;mode=search", "토지이음")</f>
        <v/>
      </c>
      <c r="T635" s="3" t="inlineStr">
        <is>
          <t>삼익</t>
        </is>
      </c>
      <c r="U635" s="3" t="n">
        <v>1</v>
      </c>
      <c r="V635" s="3" t="inlineStr">
        <is>
          <t>공동주택 전기,발전기실</t>
        </is>
      </c>
      <c r="W635" s="4" t="n">
        <v>297</v>
      </c>
      <c r="X635" s="3" t="inlineStr">
        <is>
          <t>철근콘크리트구조</t>
        </is>
      </c>
      <c r="Y635" s="3" t="inlineStr">
        <is>
          <t>공동주택</t>
        </is>
      </c>
      <c r="Z635" s="3" t="inlineStr">
        <is>
          <t>-m</t>
        </is>
      </c>
      <c r="AA635" s="3" t="inlineStr">
        <is>
          <t>2021-08-20</t>
        </is>
      </c>
    </row>
    <row r="636">
      <c r="A636" s="3" t="inlineStr">
        <is>
          <t>세종특별자치시 나성동 829</t>
        </is>
      </c>
      <c r="B636" s="3" t="inlineStr">
        <is>
          <t>중심상업지역</t>
        </is>
      </c>
      <c r="C636" s="3" t="inlineStr">
        <is>
          <t>대</t>
        </is>
      </c>
      <c r="D636" s="3" t="inlineStr">
        <is>
          <t>공장</t>
        </is>
      </c>
      <c r="E636" s="3" t="inlineStr">
        <is>
          <t>월세</t>
        </is>
      </c>
      <c r="F636" s="4" t="n">
        <v>3000</v>
      </c>
      <c r="G636" s="4" t="n">
        <v>275</v>
      </c>
      <c r="H636" s="4" t="n">
        <v>1000</v>
      </c>
      <c r="I636" s="4" t="n">
        <v>302</v>
      </c>
      <c r="J636" s="5" t="n">
        <v>0.9</v>
      </c>
      <c r="K636" s="4" t="n">
        <v>214</v>
      </c>
      <c r="L636" s="4" t="n">
        <v>65</v>
      </c>
      <c r="M636" s="5" t="n">
        <v>4.2</v>
      </c>
      <c r="N636" s="3" t="inlineStr">
        <is>
          <t>2</t>
        </is>
      </c>
      <c r="O636" s="3" t="inlineStr">
        <is>
          <t>-</t>
        </is>
      </c>
      <c r="P636" s="3" t="inlineStr">
        <is>
          <t>1층 공장 2층 사무실 갖춘 소형 공장 임대</t>
        </is>
      </c>
      <c r="Q636" s="6">
        <f>HYPERLINK("https://fin.land.naver.com/articles/2647814632", "매물Link")</f>
        <v/>
      </c>
      <c r="R636" s="6">
        <f>HYPERLINK("https://map.naver.com/p/search/세종특별자치시 나성동 829", "지도Link")</f>
        <v/>
      </c>
      <c r="S636" s="6">
        <f>HYPERLINK("http://www.eum.go.kr/web/ar/lu/luLandDet.jsp?pnu=3611010700108290000&amp;isNoScr=script&amp;mode=search", "토지이음")</f>
        <v/>
      </c>
      <c r="T636" s="3" t="inlineStr">
        <is>
          <t>삼익</t>
        </is>
      </c>
      <c r="U636" s="3" t="n">
        <v>1</v>
      </c>
      <c r="V636" s="3" t="inlineStr">
        <is>
          <t>공동주택 주민공동시설</t>
        </is>
      </c>
      <c r="W636" s="4" t="n">
        <v>214</v>
      </c>
      <c r="X636" s="3" t="inlineStr">
        <is>
          <t>철근콘크리트구조</t>
        </is>
      </c>
      <c r="Y636" s="3" t="inlineStr">
        <is>
          <t>공동주택</t>
        </is>
      </c>
      <c r="Z636" s="3" t="inlineStr">
        <is>
          <t>-m</t>
        </is>
      </c>
      <c r="AA636" s="3" t="inlineStr">
        <is>
          <t>2021-08-20</t>
        </is>
      </c>
    </row>
    <row r="637">
      <c r="A637" s="3" t="inlineStr">
        <is>
          <t>세종특별자치시 나성동 829</t>
        </is>
      </c>
      <c r="B637" s="3" t="inlineStr">
        <is>
          <t>중심상업지역</t>
        </is>
      </c>
      <c r="C637" s="3" t="inlineStr">
        <is>
          <t>대</t>
        </is>
      </c>
      <c r="D637" s="3" t="inlineStr">
        <is>
          <t>공장</t>
        </is>
      </c>
      <c r="E637" s="3" t="inlineStr">
        <is>
          <t>매매</t>
        </is>
      </c>
      <c r="F637" s="4" t="n">
        <v>100000</v>
      </c>
      <c r="G637" s="4" t="n">
        <v>0</v>
      </c>
      <c r="H637" s="4" t="n">
        <v>600</v>
      </c>
      <c r="I637" s="4" t="n">
        <v>182</v>
      </c>
      <c r="J637" s="5" t="n">
        <v>549.5</v>
      </c>
      <c r="K637" s="4" t="n">
        <v>449</v>
      </c>
      <c r="L637" s="4" t="n">
        <v>136</v>
      </c>
      <c r="M637" s="5" t="n">
        <v>735.3</v>
      </c>
      <c r="N637" s="3" t="inlineStr">
        <is>
          <t>2</t>
        </is>
      </c>
      <c r="O637" s="3" t="inlineStr">
        <is>
          <t>-</t>
        </is>
      </c>
      <c r="P637" s="3" t="inlineStr">
        <is>
          <t>대화동  귀한 소형공장 매매  전기150kw   호이스트 있음</t>
        </is>
      </c>
      <c r="Q637" s="6">
        <f>HYPERLINK("https://fin.land.naver.com/articles/2647813644", "매물Link")</f>
        <v/>
      </c>
      <c r="R637" s="6">
        <f>HYPERLINK("https://map.naver.com/p/search/세종특별자치시 나성동 829", "지도Link")</f>
        <v/>
      </c>
      <c r="S637" s="6">
        <f>HYPERLINK("http://www.eum.go.kr/web/ar/lu/luLandDet.jsp?pnu=3611010700108290000&amp;isNoScr=script&amp;mode=search", "토지이음")</f>
        <v/>
      </c>
      <c r="T637" s="3" t="inlineStr">
        <is>
          <t>삼익</t>
        </is>
      </c>
      <c r="U637" s="3" t="n">
        <v>1</v>
      </c>
      <c r="V637" s="3" t="inlineStr">
        <is>
          <t>전망공간 기계실</t>
        </is>
      </c>
      <c r="W637" s="4" t="n">
        <v>449</v>
      </c>
      <c r="X637" s="3" t="inlineStr">
        <is>
          <t>철근콘크리트구조</t>
        </is>
      </c>
      <c r="Y637" s="3" t="inlineStr">
        <is>
          <t>제2종근린생활시설</t>
        </is>
      </c>
      <c r="Z637" s="3" t="inlineStr">
        <is>
          <t>-m</t>
        </is>
      </c>
      <c r="AA637" s="3" t="inlineStr">
        <is>
          <t>2021-08-20</t>
        </is>
      </c>
    </row>
    <row r="638">
      <c r="A638" s="3" t="inlineStr">
        <is>
          <t>세종특별자치시 나성동 829</t>
        </is>
      </c>
      <c r="B638" s="3" t="inlineStr">
        <is>
          <t>중심상업지역</t>
        </is>
      </c>
      <c r="C638" s="3" t="inlineStr">
        <is>
          <t>대</t>
        </is>
      </c>
      <c r="D638" s="3" t="inlineStr">
        <is>
          <t>공장</t>
        </is>
      </c>
      <c r="E638" s="3" t="inlineStr">
        <is>
          <t>월세</t>
        </is>
      </c>
      <c r="F638" s="4" t="n">
        <v>3000</v>
      </c>
      <c r="G638" s="4" t="n">
        <v>140</v>
      </c>
      <c r="H638" s="4" t="n">
        <v>824</v>
      </c>
      <c r="I638" s="4" t="n">
        <v>249</v>
      </c>
      <c r="J638" s="5" t="n">
        <v>0.6</v>
      </c>
      <c r="K638" s="4" t="n">
        <v>164</v>
      </c>
      <c r="L638" s="4" t="n">
        <v>50</v>
      </c>
      <c r="M638" s="5" t="n">
        <v>2.8</v>
      </c>
      <c r="N638" s="3" t="inlineStr">
        <is>
          <t>1</t>
        </is>
      </c>
      <c r="O638" s="3" t="inlineStr">
        <is>
          <t>-</t>
        </is>
      </c>
      <c r="P638" s="3" t="inlineStr">
        <is>
          <t>즉시입주 가능한 공장입니다. 호이스트 있음</t>
        </is>
      </c>
      <c r="Q638" s="6">
        <f>HYPERLINK("https://fin.land.naver.com/articles/2647589562", "매물Link")</f>
        <v/>
      </c>
      <c r="R638" s="6">
        <f>HYPERLINK("https://map.naver.com/p/search/세종특별자치시 나성동 829", "지도Link")</f>
        <v/>
      </c>
      <c r="S638" s="6">
        <f>HYPERLINK("http://www.eum.go.kr/web/ar/lu/luLandDet.jsp?pnu=3611010700108290000&amp;isNoScr=script&amp;mode=search", "토지이음")</f>
        <v/>
      </c>
      <c r="T638" s="3" t="inlineStr">
        <is>
          <t>삼익</t>
        </is>
      </c>
      <c r="U638" s="3" t="n">
        <v>1</v>
      </c>
      <c r="V638" s="3" t="inlineStr">
        <is>
          <t>공동주택 관리사무소</t>
        </is>
      </c>
      <c r="W638" s="4" t="n">
        <v>164</v>
      </c>
      <c r="X638" s="3" t="inlineStr">
        <is>
          <t>철근콘크리트구조</t>
        </is>
      </c>
      <c r="Y638" s="3" t="inlineStr">
        <is>
          <t>공동주택</t>
        </is>
      </c>
      <c r="Z638" s="3" t="inlineStr">
        <is>
          <t>-m</t>
        </is>
      </c>
      <c r="AA638" s="3" t="inlineStr">
        <is>
          <t>2021-08-20</t>
        </is>
      </c>
    </row>
    <row r="639">
      <c r="A639" s="3" t="inlineStr">
        <is>
          <t>세종특별자치시 나성동 829</t>
        </is>
      </c>
      <c r="B639" s="3" t="inlineStr">
        <is>
          <t>중심상업지역</t>
        </is>
      </c>
      <c r="C639" s="3" t="inlineStr">
        <is>
          <t>대</t>
        </is>
      </c>
      <c r="D639" s="3" t="inlineStr">
        <is>
          <t>공장</t>
        </is>
      </c>
      <c r="E639" s="3" t="inlineStr">
        <is>
          <t>월세</t>
        </is>
      </c>
      <c r="F639" s="4" t="n">
        <v>1500</v>
      </c>
      <c r="G639" s="4" t="n">
        <v>140</v>
      </c>
      <c r="H639" s="4" t="n">
        <v>1090</v>
      </c>
      <c r="I639" s="4" t="n">
        <v>330</v>
      </c>
      <c r="J639" s="5" t="n">
        <v>0.4</v>
      </c>
      <c r="K639" s="4" t="n">
        <v>621</v>
      </c>
      <c r="L639" s="4" t="n">
        <v>188</v>
      </c>
      <c r="M639" s="5" t="n">
        <v>0.7</v>
      </c>
      <c r="N639" s="3" t="inlineStr">
        <is>
          <t>1</t>
        </is>
      </c>
      <c r="O639" s="3" t="inlineStr">
        <is>
          <t>B1</t>
        </is>
      </c>
      <c r="P639" s="3" t="inlineStr">
        <is>
          <t>저렴한 소형 신축공장, 산업단지내 공장.</t>
        </is>
      </c>
      <c r="Q639" s="6">
        <f>HYPERLINK("https://fin.land.naver.com/articles/2647419333", "매물Link")</f>
        <v/>
      </c>
      <c r="R639" s="6">
        <f>HYPERLINK("https://map.naver.com/p/search/세종특별자치시 나성동 829", "지도Link")</f>
        <v/>
      </c>
      <c r="S639" s="6">
        <f>HYPERLINK("http://www.eum.go.kr/web/ar/lu/luLandDet.jsp?pnu=3611010700108290000&amp;isNoScr=script&amp;mode=search", "토지이음")</f>
        <v/>
      </c>
      <c r="T639" s="3" t="inlineStr">
        <is>
          <t>성지</t>
        </is>
      </c>
      <c r="U639" s="3" t="n">
        <v>1</v>
      </c>
      <c r="V639" s="3" t="inlineStr">
        <is>
          <t>803</t>
        </is>
      </c>
      <c r="W639" s="4" t="n">
        <v>621</v>
      </c>
      <c r="X639" s="3" t="inlineStr">
        <is>
          <t>철근콘크리트구조</t>
        </is>
      </c>
      <c r="Y639" s="3" t="inlineStr">
        <is>
          <t>제2종근린생활시설</t>
        </is>
      </c>
      <c r="Z639" s="3" t="inlineStr">
        <is>
          <t>-m</t>
        </is>
      </c>
      <c r="AA639" s="3" t="inlineStr">
        <is>
          <t>2021-08-20</t>
        </is>
      </c>
    </row>
    <row r="640">
      <c r="A640" s="3" t="inlineStr">
        <is>
          <t>세종특별자치시 나성동 829</t>
        </is>
      </c>
      <c r="B640" s="3" t="inlineStr">
        <is>
          <t>중심상업지역</t>
        </is>
      </c>
      <c r="C640" s="3" t="inlineStr">
        <is>
          <t>대</t>
        </is>
      </c>
      <c r="D640" s="3" t="inlineStr">
        <is>
          <t>공장</t>
        </is>
      </c>
      <c r="E640" s="3" t="inlineStr">
        <is>
          <t>매매</t>
        </is>
      </c>
      <c r="F640" s="4" t="n">
        <v>1000000</v>
      </c>
      <c r="G640" s="4" t="n">
        <v>0</v>
      </c>
      <c r="H640" s="4" t="n">
        <v>6579</v>
      </c>
      <c r="I640" s="4" t="n">
        <v>1990</v>
      </c>
      <c r="J640" s="5" t="n">
        <v>502.5</v>
      </c>
      <c r="K640" s="4" t="n">
        <v>3882</v>
      </c>
      <c r="L640" s="4" t="n">
        <v>1174</v>
      </c>
      <c r="M640" s="5" t="n">
        <v>851.8</v>
      </c>
      <c r="N640" s="3" t="inlineStr">
        <is>
          <t>2</t>
        </is>
      </c>
      <c r="O640" s="3" t="inlineStr">
        <is>
          <t>-</t>
        </is>
      </c>
      <c r="P640" s="3" t="inlineStr">
        <is>
          <t>nan</t>
        </is>
      </c>
      <c r="Q640" s="6">
        <f>HYPERLINK("https://fin.land.naver.com/articles/2647404554", "매물Link")</f>
        <v/>
      </c>
      <c r="R640" s="6">
        <f>HYPERLINK("https://map.naver.com/p/search/세종특별자치시 나성동 829", "지도Link")</f>
        <v/>
      </c>
      <c r="S640" s="6">
        <f>HYPERLINK("http://www.eum.go.kr/web/ar/lu/luLandDet.jsp?pnu=3611010700108290000&amp;isNoScr=script&amp;mode=search", "토지이음")</f>
        <v/>
      </c>
      <c r="T640" s="3" t="inlineStr">
        <is>
          <t>성훈</t>
        </is>
      </c>
      <c r="U640" s="3" t="n">
        <v>1</v>
      </c>
      <c r="V640" s="3" t="inlineStr">
        <is>
          <t>802</t>
        </is>
      </c>
      <c r="W640" s="4" t="n">
        <v>3882</v>
      </c>
      <c r="X640" s="3" t="inlineStr">
        <is>
          <t>철근콘크리트구조</t>
        </is>
      </c>
      <c r="Y640" s="3" t="inlineStr">
        <is>
          <t>제2종근린생활시설</t>
        </is>
      </c>
      <c r="Z640" s="3" t="inlineStr">
        <is>
          <t>-m</t>
        </is>
      </c>
      <c r="AA640" s="3" t="inlineStr">
        <is>
          <t>2021-08-20</t>
        </is>
      </c>
    </row>
    <row r="641">
      <c r="A641" s="3" t="inlineStr">
        <is>
          <t>세종특별자치시 나성동 829</t>
        </is>
      </c>
      <c r="B641" s="3" t="inlineStr">
        <is>
          <t>중심상업지역</t>
        </is>
      </c>
      <c r="C641" s="3" t="inlineStr">
        <is>
          <t>대</t>
        </is>
      </c>
      <c r="D641" s="3" t="inlineStr">
        <is>
          <t>공장</t>
        </is>
      </c>
      <c r="E641" s="3" t="inlineStr">
        <is>
          <t>매매</t>
        </is>
      </c>
      <c r="F641" s="4" t="n">
        <v>1100000</v>
      </c>
      <c r="G641" s="4" t="n">
        <v>0</v>
      </c>
      <c r="H641" s="4" t="n">
        <v>7425</v>
      </c>
      <c r="I641" s="4" t="n">
        <v>2246</v>
      </c>
      <c r="J641" s="5" t="n">
        <v>489.8</v>
      </c>
      <c r="K641" s="4" t="n">
        <v>3275</v>
      </c>
      <c r="L641" s="4" t="n">
        <v>991</v>
      </c>
      <c r="M641" s="5" t="n">
        <v>1110</v>
      </c>
      <c r="N641" s="3" t="inlineStr">
        <is>
          <t>2</t>
        </is>
      </c>
      <c r="O641" s="3" t="inlineStr">
        <is>
          <t>-</t>
        </is>
      </c>
      <c r="P641" s="3" t="inlineStr">
        <is>
          <t>nan</t>
        </is>
      </c>
      <c r="Q641" s="6">
        <f>HYPERLINK("https://fin.land.naver.com/articles/2646738216", "매물Link")</f>
        <v/>
      </c>
      <c r="R641" s="6">
        <f>HYPERLINK("https://map.naver.com/p/search/세종특별자치시 나성동 829", "지도Link")</f>
        <v/>
      </c>
      <c r="S641" s="6">
        <f>HYPERLINK("http://www.eum.go.kr/web/ar/lu/luLandDet.jsp?pnu=3611010700108290000&amp;isNoScr=script&amp;mode=search", "토지이음")</f>
        <v/>
      </c>
      <c r="T641" s="3" t="inlineStr">
        <is>
          <t>대전명품</t>
        </is>
      </c>
      <c r="U641" s="3" t="n">
        <v>1</v>
      </c>
      <c r="V641" s="3" t="inlineStr">
        <is>
          <t>802</t>
        </is>
      </c>
      <c r="W641" s="4" t="n">
        <v>3275</v>
      </c>
      <c r="X641" s="3" t="inlineStr">
        <is>
          <t>철근콘크리트구조</t>
        </is>
      </c>
      <c r="Y641" s="3" t="inlineStr">
        <is>
          <t>제2종근린생활시설</t>
        </is>
      </c>
      <c r="Z641" s="3" t="inlineStr">
        <is>
          <t>-m</t>
        </is>
      </c>
      <c r="AA641" s="3" t="inlineStr">
        <is>
          <t>2021-08-20</t>
        </is>
      </c>
    </row>
    <row r="642">
      <c r="A642" s="3" t="inlineStr">
        <is>
          <t>세종특별자치시 나성동 829</t>
        </is>
      </c>
      <c r="B642" s="3" t="inlineStr">
        <is>
          <t>중심상업지역</t>
        </is>
      </c>
      <c r="C642" s="3" t="inlineStr">
        <is>
          <t>대</t>
        </is>
      </c>
      <c r="D642" s="3" t="inlineStr">
        <is>
          <t>창고</t>
        </is>
      </c>
      <c r="E642" s="3" t="inlineStr">
        <is>
          <t>매매</t>
        </is>
      </c>
      <c r="F642" s="4" t="n">
        <v>315000</v>
      </c>
      <c r="G642" s="4" t="n">
        <v>0</v>
      </c>
      <c r="H642" s="4" t="n">
        <v>1130</v>
      </c>
      <c r="I642" s="4" t="n">
        <v>342</v>
      </c>
      <c r="J642" s="5" t="n">
        <v>921.1</v>
      </c>
      <c r="K642" s="4" t="n">
        <v>950</v>
      </c>
      <c r="L642" s="4" t="n">
        <v>287</v>
      </c>
      <c r="M642" s="5" t="n">
        <v>1097.6</v>
      </c>
      <c r="N642" s="3" t="inlineStr">
        <is>
          <t>1</t>
        </is>
      </c>
      <c r="O642" s="3" t="inlineStr">
        <is>
          <t>-</t>
        </is>
      </c>
      <c r="P642" s="3" t="inlineStr">
        <is>
          <t>nan</t>
        </is>
      </c>
      <c r="Q642" s="6">
        <f>HYPERLINK("https://fin.land.naver.com/articles/2648315622", "매물Link")</f>
        <v/>
      </c>
      <c r="R642" s="6">
        <f>HYPERLINK("https://map.naver.com/p/search/세종특별자치시 나성동 829", "지도Link")</f>
        <v/>
      </c>
      <c r="S642" s="6">
        <f>HYPERLINK("http://www.eum.go.kr/web/ar/lu/luLandDet.jsp?pnu=3611010700108290000&amp;isNoScr=script&amp;mode=search", "토지이음")</f>
        <v/>
      </c>
      <c r="T642" s="3" t="inlineStr">
        <is>
          <t>탑</t>
        </is>
      </c>
      <c r="U642" s="3" t="n">
        <v>1</v>
      </c>
      <c r="V642" s="3" t="inlineStr">
        <is>
          <t>전망공간 지하주차장</t>
        </is>
      </c>
      <c r="W642" s="4" t="n">
        <v>950</v>
      </c>
      <c r="X642" s="3" t="inlineStr">
        <is>
          <t>철근콘크리트구조</t>
        </is>
      </c>
      <c r="Y642" s="3" t="inlineStr">
        <is>
          <t>제2종근린생활시설</t>
        </is>
      </c>
      <c r="Z642" s="3" t="inlineStr">
        <is>
          <t>4.50m</t>
        </is>
      </c>
      <c r="AA642" s="3" t="inlineStr">
        <is>
          <t>2021-08-20</t>
        </is>
      </c>
    </row>
    <row r="643">
      <c r="A643" s="3" t="inlineStr">
        <is>
          <t>세종특별자치시 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HYPERLINK("https://map.naver.com/p/search/세종특별자치시 나성동 829", "지도Link")</f>
        <v/>
      </c>
      <c r="S643" s="6">
        <f>HYPERLINK("http://www.eum.go.kr/web/ar/lu/luLandDet.jsp?pnu=3611010700108290000&amp;isNoScr=script&amp;mode=search", "토지이음")</f>
        <v/>
      </c>
      <c r="T643" s="3" t="inlineStr">
        <is>
          <t>성지</t>
        </is>
      </c>
      <c r="U643" s="3" t="n">
        <v>1</v>
      </c>
      <c r="V643" s="3" t="inlineStr">
        <is>
          <t>701</t>
        </is>
      </c>
      <c r="W643" s="4" t="n">
        <v>183</v>
      </c>
      <c r="X643" s="3" t="inlineStr">
        <is>
          <t>철근콘크리트구조</t>
        </is>
      </c>
      <c r="Y643" s="3" t="inlineStr">
        <is>
          <t>판매시설</t>
        </is>
      </c>
      <c r="Z643" s="3" t="inlineStr">
        <is>
          <t>-m</t>
        </is>
      </c>
      <c r="AA643" s="3" t="inlineStr">
        <is>
          <t>2021-08-20</t>
        </is>
      </c>
    </row>
    <row r="644">
      <c r="A644" s="3" t="inlineStr">
        <is>
          <t>세종특별자치시 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HYPERLINK("https://map.naver.com/p/search/세종특별자치시 나성동 829", "지도Link")</f>
        <v/>
      </c>
      <c r="S644" s="6">
        <f>HYPERLINK("http://www.eum.go.kr/web/ar/lu/luLandDet.jsp?pnu=3611010700108290000&amp;isNoScr=script&amp;mode=search", "토지이음")</f>
        <v/>
      </c>
      <c r="T644" s="3" t="inlineStr">
        <is>
          <t>성지</t>
        </is>
      </c>
      <c r="U644" s="3" t="n">
        <v>1</v>
      </c>
      <c r="V644" s="3" t="inlineStr">
        <is>
          <t>공동주택 경로당</t>
        </is>
      </c>
      <c r="W644" s="4" t="n">
        <v>150</v>
      </c>
      <c r="X644" s="3" t="inlineStr">
        <is>
          <t>철근콘크리트구조</t>
        </is>
      </c>
      <c r="Y644" s="3" t="inlineStr">
        <is>
          <t>공동주택</t>
        </is>
      </c>
      <c r="Z644" s="3" t="inlineStr">
        <is>
          <t>-m</t>
        </is>
      </c>
      <c r="AA644" s="3" t="inlineStr">
        <is>
          <t>2021-08-20</t>
        </is>
      </c>
    </row>
    <row r="645">
      <c r="A645" s="3" t="inlineStr">
        <is>
          <t>세종특별자치시 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HYPERLINK("https://map.naver.com/p/search/세종특별자치시 나성동 829", "지도Link")</f>
        <v/>
      </c>
      <c r="S645" s="6">
        <f>HYPERLINK("http://www.eum.go.kr/web/ar/lu/luLandDet.jsp?pnu=3611010700108290000&amp;isNoScr=script&amp;mode=search", "토지이음")</f>
        <v/>
      </c>
      <c r="T645" s="3" t="inlineStr">
        <is>
          <t>성지</t>
        </is>
      </c>
      <c r="U645" s="3" t="n">
        <v>1</v>
      </c>
      <c r="V645" s="3" t="inlineStr">
        <is>
          <t>공동주택 관리사무소</t>
        </is>
      </c>
      <c r="W645" s="4" t="n">
        <v>165</v>
      </c>
      <c r="X645" s="3" t="inlineStr">
        <is>
          <t>철근콘크리트구조</t>
        </is>
      </c>
      <c r="Y645" s="3" t="inlineStr">
        <is>
          <t>공동주택</t>
        </is>
      </c>
      <c r="Z645" s="3" t="inlineStr">
        <is>
          <t>-m</t>
        </is>
      </c>
      <c r="AA645" s="3" t="inlineStr">
        <is>
          <t>2021-08-20</t>
        </is>
      </c>
    </row>
    <row r="646">
      <c r="A646" s="3" t="inlineStr">
        <is>
          <t>세종특별자치시 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HYPERLINK("https://map.naver.com/p/search/세종특별자치시 나성동 829", "지도Link")</f>
        <v/>
      </c>
      <c r="S646" s="6">
        <f>HYPERLINK("http://www.eum.go.kr/web/ar/lu/luLandDet.jsp?pnu=3611010700108290000&amp;isNoScr=script&amp;mode=search", "토지이음")</f>
        <v/>
      </c>
      <c r="T646" s="3" t="inlineStr">
        <is>
          <t>더끌림</t>
        </is>
      </c>
      <c r="U646" s="3" t="n">
        <v>1</v>
      </c>
      <c r="V646" s="3" t="inlineStr">
        <is>
          <t>803</t>
        </is>
      </c>
      <c r="W646" s="4" t="n">
        <v>579</v>
      </c>
      <c r="X646" s="3" t="inlineStr">
        <is>
          <t>철근콘크리트구조</t>
        </is>
      </c>
      <c r="Y646" s="3" t="inlineStr">
        <is>
          <t>제2종근린생활시설</t>
        </is>
      </c>
      <c r="Z646" s="3" t="inlineStr">
        <is>
          <t>-m</t>
        </is>
      </c>
      <c r="AA646" s="3" t="inlineStr">
        <is>
          <t>2021-08-20</t>
        </is>
      </c>
    </row>
    <row r="647">
      <c r="A647" s="3" t="inlineStr">
        <is>
          <t>세종특별자치시 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HYPERLINK("https://map.naver.com/p/search/세종특별자치시 나성동 829", "지도Link")</f>
        <v/>
      </c>
      <c r="S647" s="6">
        <f>HYPERLINK("http://www.eum.go.kr/web/ar/lu/luLandDet.jsp?pnu=3611010700108290000&amp;isNoScr=script&amp;mode=search", "토지이음")</f>
        <v/>
      </c>
      <c r="T647" s="3" t="inlineStr">
        <is>
          <t>한화타운</t>
        </is>
      </c>
      <c r="U647" s="3" t="n">
        <v>1</v>
      </c>
      <c r="V647" s="3" t="inlineStr">
        <is>
          <t>802</t>
        </is>
      </c>
      <c r="W647" s="4" t="n">
        <v>2768</v>
      </c>
      <c r="X647" s="3" t="inlineStr">
        <is>
          <t>철근콘크리트구조</t>
        </is>
      </c>
      <c r="Y647" s="3" t="inlineStr">
        <is>
          <t>제2종근린생활시설</t>
        </is>
      </c>
      <c r="Z647" s="3" t="inlineStr">
        <is>
          <t>-m</t>
        </is>
      </c>
      <c r="AA647" s="3" t="inlineStr">
        <is>
          <t>2021-08-20</t>
        </is>
      </c>
    </row>
    <row r="648">
      <c r="A648" s="3" t="inlineStr">
        <is>
          <t>세종특별자치시 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HYPERLINK("https://map.naver.com/p/search/세종특별자치시 나성동 829", "지도Link")</f>
        <v/>
      </c>
      <c r="S648" s="6">
        <f>HYPERLINK("http://www.eum.go.kr/web/ar/lu/luLandDet.jsp?pnu=3611010700108290000&amp;isNoScr=script&amp;mode=search", "토지이음")</f>
        <v/>
      </c>
      <c r="T648" s="3" t="inlineStr">
        <is>
          <t>산업</t>
        </is>
      </c>
      <c r="U648" s="3" t="n">
        <v>1</v>
      </c>
      <c r="V648" s="3" t="inlineStr">
        <is>
          <t>802</t>
        </is>
      </c>
      <c r="W648" s="4" t="n">
        <v>3200</v>
      </c>
      <c r="X648" s="3" t="inlineStr">
        <is>
          <t>철근콘크리트구조</t>
        </is>
      </c>
      <c r="Y648" s="3" t="inlineStr">
        <is>
          <t>제2종근린생활시설</t>
        </is>
      </c>
      <c r="Z648" s="3" t="inlineStr">
        <is>
          <t>-m</t>
        </is>
      </c>
      <c r="AA648" s="3" t="inlineStr">
        <is>
          <t>2021-08-20</t>
        </is>
      </c>
    </row>
    <row r="649">
      <c r="A649" s="3" t="inlineStr">
        <is>
          <t>세종특별자치시 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HYPERLINK("https://map.naver.com/p/search/세종특별자치시 나성동 829", "지도Link")</f>
        <v/>
      </c>
      <c r="S649" s="6">
        <f>HYPERLINK("http://www.eum.go.kr/web/ar/lu/luLandDet.jsp?pnu=3611010700108290000&amp;isNoScr=script&amp;mode=search", "토지이음")</f>
        <v/>
      </c>
      <c r="T649" s="3" t="inlineStr">
        <is>
          <t>지운</t>
        </is>
      </c>
      <c r="U649" s="3" t="n">
        <v>1</v>
      </c>
      <c r="V649" s="3" t="inlineStr">
        <is>
          <t>전망공간 기계실</t>
        </is>
      </c>
      <c r="W649" s="4" t="n">
        <v>391</v>
      </c>
      <c r="X649" s="3" t="inlineStr">
        <is>
          <t>철근콘크리트구조</t>
        </is>
      </c>
      <c r="Y649" s="3" t="inlineStr">
        <is>
          <t>제2종근린생활시설</t>
        </is>
      </c>
      <c r="Z649" s="3" t="inlineStr">
        <is>
          <t>-m</t>
        </is>
      </c>
      <c r="AA649" s="3" t="inlineStr">
        <is>
          <t>2021-08-20</t>
        </is>
      </c>
    </row>
    <row r="650">
      <c r="A650" s="3" t="inlineStr">
        <is>
          <t>세종특별자치시 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HYPERLINK("https://map.naver.com/p/search/세종특별자치시 나성동 829", "지도Link")</f>
        <v/>
      </c>
      <c r="S650" s="6">
        <f>HYPERLINK("http://www.eum.go.kr/web/ar/lu/luLandDet.jsp?pnu=3611010700108290000&amp;isNoScr=script&amp;mode=search", "토지이음")</f>
        <v/>
      </c>
      <c r="T650" s="3" t="inlineStr">
        <is>
          <t>성지</t>
        </is>
      </c>
      <c r="U650" s="3" t="n">
        <v>1</v>
      </c>
      <c r="V650" s="3" t="inlineStr">
        <is>
          <t>공동주택 관리사무소</t>
        </is>
      </c>
      <c r="W650" s="4" t="n">
        <v>153</v>
      </c>
      <c r="X650" s="3" t="inlineStr">
        <is>
          <t>철근콘크리트구조</t>
        </is>
      </c>
      <c r="Y650" s="3" t="inlineStr">
        <is>
          <t>공동주택</t>
        </is>
      </c>
      <c r="Z650" s="3" t="inlineStr">
        <is>
          <t>-m</t>
        </is>
      </c>
      <c r="AA650" s="3" t="inlineStr">
        <is>
          <t>2021-08-20</t>
        </is>
      </c>
    </row>
    <row r="651">
      <c r="A651" s="3" t="inlineStr">
        <is>
          <t>세종특별자치시 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HYPERLINK("https://map.naver.com/p/search/세종특별자치시 나성동 829", "지도Link")</f>
        <v/>
      </c>
      <c r="S651" s="6">
        <f>HYPERLINK("http://www.eum.go.kr/web/ar/lu/luLandDet.jsp?pnu=3611010700108290000&amp;isNoScr=script&amp;mode=search", "토지이음")</f>
        <v/>
      </c>
      <c r="T651" s="3" t="inlineStr">
        <is>
          <t>지운</t>
        </is>
      </c>
      <c r="U651" s="3" t="n">
        <v>1</v>
      </c>
      <c r="V651" s="3" t="inlineStr">
        <is>
          <t>전망공간 기계실</t>
        </is>
      </c>
      <c r="W651" s="4" t="n">
        <v>423</v>
      </c>
      <c r="X651" s="3" t="inlineStr">
        <is>
          <t>철근콘크리트구조</t>
        </is>
      </c>
      <c r="Y651" s="3" t="inlineStr">
        <is>
          <t>제2종근린생활시설</t>
        </is>
      </c>
      <c r="Z651" s="3" t="inlineStr">
        <is>
          <t>-m</t>
        </is>
      </c>
      <c r="AA651" s="3" t="inlineStr">
        <is>
          <t>2021-08-20</t>
        </is>
      </c>
    </row>
    <row r="652">
      <c r="A652" s="3" t="inlineStr">
        <is>
          <t>세종특별자치시 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HYPERLINK("https://map.naver.com/p/search/세종특별자치시 나성동 829", "지도Link")</f>
        <v/>
      </c>
      <c r="S652" s="6">
        <f>HYPERLINK("http://www.eum.go.kr/web/ar/lu/luLandDet.jsp?pnu=3611010700108290000&amp;isNoScr=script&amp;mode=search", "토지이음")</f>
        <v/>
      </c>
      <c r="T652" s="3" t="inlineStr">
        <is>
          <t>성지</t>
        </is>
      </c>
      <c r="U652" s="3" t="n">
        <v>1</v>
      </c>
      <c r="V652" s="3" t="inlineStr">
        <is>
          <t>공동주택 보육시설</t>
        </is>
      </c>
      <c r="W652" s="4" t="n">
        <v>247</v>
      </c>
      <c r="X652" s="3" t="inlineStr">
        <is>
          <t>철근콘크리트구조</t>
        </is>
      </c>
      <c r="Y652" s="3" t="inlineStr">
        <is>
          <t>공동주택</t>
        </is>
      </c>
      <c r="Z652" s="3" t="inlineStr">
        <is>
          <t>-m</t>
        </is>
      </c>
      <c r="AA652" s="3" t="inlineStr">
        <is>
          <t>2021-08-20</t>
        </is>
      </c>
    </row>
    <row r="653">
      <c r="A653" s="3" t="inlineStr">
        <is>
          <t>세종특별자치시 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HYPERLINK("https://map.naver.com/p/search/세종특별자치시 나성동 829", "지도Link")</f>
        <v/>
      </c>
      <c r="S653" s="6">
        <f>HYPERLINK("http://www.eum.go.kr/web/ar/lu/luLandDet.jsp?pnu=3611010700108290000&amp;isNoScr=script&amp;mode=search", "토지이음")</f>
        <v/>
      </c>
      <c r="T653" s="3" t="inlineStr">
        <is>
          <t>KS</t>
        </is>
      </c>
      <c r="U653" s="3" t="n">
        <v>1</v>
      </c>
      <c r="V653" s="3" t="inlineStr">
        <is>
          <t>공동주택 전기,발전기실</t>
        </is>
      </c>
      <c r="W653" s="4" t="n">
        <v>294</v>
      </c>
      <c r="X653" s="3" t="inlineStr">
        <is>
          <t>철근콘크리트구조</t>
        </is>
      </c>
      <c r="Y653" s="3" t="inlineStr">
        <is>
          <t>공동주택</t>
        </is>
      </c>
      <c r="Z653" s="3" t="inlineStr">
        <is>
          <t>-m</t>
        </is>
      </c>
      <c r="AA653" s="3" t="inlineStr">
        <is>
          <t>2021-08-20</t>
        </is>
      </c>
    </row>
    <row r="654">
      <c r="A654" s="3" t="inlineStr">
        <is>
          <t>세종특별자치시 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HYPERLINK("https://map.naver.com/p/search/세종특별자치시 나성동 829", "지도Link")</f>
        <v/>
      </c>
      <c r="S654" s="6">
        <f>HYPERLINK("http://www.eum.go.kr/web/ar/lu/luLandDet.jsp?pnu=3611010700108290000&amp;isNoScr=script&amp;mode=search", "토지이음")</f>
        <v/>
      </c>
      <c r="T654" s="3" t="inlineStr">
        <is>
          <t>바로e</t>
        </is>
      </c>
      <c r="U654" s="3" t="n">
        <v>1</v>
      </c>
      <c r="V654" s="3" t="inlineStr">
        <is>
          <t>701</t>
        </is>
      </c>
      <c r="W654" s="4" t="n">
        <v>188</v>
      </c>
      <c r="X654" s="3" t="inlineStr">
        <is>
          <t>철근콘크리트구조</t>
        </is>
      </c>
      <c r="Y654" s="3" t="inlineStr">
        <is>
          <t>판매시설</t>
        </is>
      </c>
      <c r="Z654" s="3" t="inlineStr">
        <is>
          <t>-m</t>
        </is>
      </c>
      <c r="AA654" s="3" t="inlineStr">
        <is>
          <t>2021-08-20</t>
        </is>
      </c>
    </row>
    <row r="655">
      <c r="A655" s="3" t="inlineStr">
        <is>
          <t>세종특별자치시 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HYPERLINK("https://map.naver.com/p/search/세종특별자치시 나성동 829", "지도Link")</f>
        <v/>
      </c>
      <c r="S655" s="6">
        <f>HYPERLINK("http://www.eum.go.kr/web/ar/lu/luLandDet.jsp?pnu=3611010700108290000&amp;isNoScr=script&amp;mode=search", "토지이음")</f>
        <v/>
      </c>
      <c r="T655" s="3" t="inlineStr">
        <is>
          <t>지운</t>
        </is>
      </c>
      <c r="U655" s="3" t="n">
        <v>1</v>
      </c>
      <c r="V655" s="3" t="inlineStr">
        <is>
          <t>전망공간 기계실</t>
        </is>
      </c>
      <c r="W655" s="4" t="n">
        <v>381</v>
      </c>
      <c r="X655" s="3" t="inlineStr">
        <is>
          <t>철근콘크리트구조</t>
        </is>
      </c>
      <c r="Y655" s="3" t="inlineStr">
        <is>
          <t>제2종근린생활시설</t>
        </is>
      </c>
      <c r="Z655" s="3" t="inlineStr">
        <is>
          <t>-m</t>
        </is>
      </c>
      <c r="AA655" s="3" t="inlineStr">
        <is>
          <t>2021-08-20</t>
        </is>
      </c>
    </row>
    <row r="656">
      <c r="A656" s="3" t="inlineStr">
        <is>
          <t>세종특별자치시 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HYPERLINK("https://map.naver.com/p/search/세종특별자치시 나성동 829", "지도Link")</f>
        <v/>
      </c>
      <c r="S656" s="6">
        <f>HYPERLINK("http://www.eum.go.kr/web/ar/lu/luLandDet.jsp?pnu=3611010700108290000&amp;isNoScr=script&amp;mode=search", "토지이음")</f>
        <v/>
      </c>
      <c r="T656" s="3" t="inlineStr">
        <is>
          <t>지운</t>
        </is>
      </c>
      <c r="U656" s="3" t="n">
        <v>1</v>
      </c>
      <c r="V656" s="3" t="inlineStr">
        <is>
          <t>공동주택 주민공동시설</t>
        </is>
      </c>
      <c r="W656" s="4" t="n">
        <v>197</v>
      </c>
      <c r="X656" s="3" t="inlineStr">
        <is>
          <t>철근콘크리트구조</t>
        </is>
      </c>
      <c r="Y656" s="3" t="inlineStr">
        <is>
          <t>공동주택</t>
        </is>
      </c>
      <c r="Z656" s="3" t="inlineStr">
        <is>
          <t>-m</t>
        </is>
      </c>
      <c r="AA656" s="3" t="inlineStr">
        <is>
          <t>2021-08-20</t>
        </is>
      </c>
    </row>
    <row r="657">
      <c r="A657" s="3" t="inlineStr">
        <is>
          <t>세종특별자치시 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HYPERLINK("https://map.naver.com/p/search/세종특별자치시 나성동 829", "지도Link")</f>
        <v/>
      </c>
      <c r="S657" s="6">
        <f>HYPERLINK("http://www.eum.go.kr/web/ar/lu/luLandDet.jsp?pnu=3611010700108290000&amp;isNoScr=script&amp;mode=search", "토지이음")</f>
        <v/>
      </c>
      <c r="T657" s="3" t="inlineStr">
        <is>
          <t>파라디아</t>
        </is>
      </c>
      <c r="U657" s="3" t="n">
        <v>1</v>
      </c>
      <c r="V657" s="3" t="inlineStr">
        <is>
          <t>근린생활시설 기계실</t>
        </is>
      </c>
      <c r="W657" s="4" t="n">
        <v>260</v>
      </c>
      <c r="X657" s="3" t="inlineStr">
        <is>
          <t>철근콘크리트구조</t>
        </is>
      </c>
      <c r="Y657" s="3" t="inlineStr">
        <is>
          <t>제2종근린생활시설</t>
        </is>
      </c>
      <c r="Z657" s="3" t="inlineStr">
        <is>
          <t>-m</t>
        </is>
      </c>
      <c r="AA657" s="3" t="inlineStr">
        <is>
          <t>2021-08-20</t>
        </is>
      </c>
    </row>
    <row r="658">
      <c r="A658" s="3" t="inlineStr">
        <is>
          <t>세종특별자치시 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HYPERLINK("https://map.naver.com/p/search/세종특별자치시 나성동 829", "지도Link")</f>
        <v/>
      </c>
      <c r="S658" s="6">
        <f>HYPERLINK("http://www.eum.go.kr/web/ar/lu/luLandDet.jsp?pnu=3611010700108290000&amp;isNoScr=script&amp;mode=search", "토지이음")</f>
        <v/>
      </c>
      <c r="T658" s="3" t="inlineStr">
        <is>
          <t>예미지탑</t>
        </is>
      </c>
      <c r="U658" s="3" t="n">
        <v>1</v>
      </c>
      <c r="V658" s="3" t="inlineStr">
        <is>
          <t>604</t>
        </is>
      </c>
      <c r="W658" s="4" t="n">
        <v>1049</v>
      </c>
      <c r="X658" s="3" t="inlineStr">
        <is>
          <t>철근콘크리트구조</t>
        </is>
      </c>
      <c r="Y658" s="3" t="inlineStr">
        <is>
          <t>공동주택</t>
        </is>
      </c>
      <c r="Z658" s="3" t="inlineStr">
        <is>
          <t>38.30m</t>
        </is>
      </c>
      <c r="AA658" s="3" t="inlineStr">
        <is>
          <t>2021-08-20</t>
        </is>
      </c>
    </row>
    <row r="659">
      <c r="A659" s="3" t="inlineStr">
        <is>
          <t>세종특별자치시 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HYPERLINK("https://map.naver.com/p/search/세종특별자치시 나성동 829", "지도Link")</f>
        <v/>
      </c>
      <c r="S659" s="6">
        <f>HYPERLINK("http://www.eum.go.kr/web/ar/lu/luLandDet.jsp?pnu=3611010700108290000&amp;isNoScr=script&amp;mode=search", "토지이음")</f>
        <v/>
      </c>
      <c r="T659" s="3" t="inlineStr">
        <is>
          <t>삼익</t>
        </is>
      </c>
      <c r="U659" s="3" t="n">
        <v>1</v>
      </c>
      <c r="V659" s="3" t="inlineStr">
        <is>
          <t>공동주택 주민공동시설</t>
        </is>
      </c>
      <c r="W659" s="4" t="n">
        <v>199</v>
      </c>
      <c r="X659" s="3" t="inlineStr">
        <is>
          <t>철근콘크리트구조</t>
        </is>
      </c>
      <c r="Y659" s="3" t="inlineStr">
        <is>
          <t>공동주택</t>
        </is>
      </c>
      <c r="Z659" s="3" t="inlineStr">
        <is>
          <t>-m</t>
        </is>
      </c>
      <c r="AA659" s="3" t="inlineStr">
        <is>
          <t>2021-08-20</t>
        </is>
      </c>
    </row>
    <row r="660">
      <c r="A660" s="3" t="inlineStr">
        <is>
          <t>세종특별자치시 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HYPERLINK("https://map.naver.com/p/search/세종특별자치시 나성동 829", "지도Link")</f>
        <v/>
      </c>
      <c r="S660" s="6">
        <f>HYPERLINK("http://www.eum.go.kr/web/ar/lu/luLandDet.jsp?pnu=3611010700108290000&amp;isNoScr=script&amp;mode=search", "토지이음")</f>
        <v/>
      </c>
      <c r="T660" s="3" t="inlineStr">
        <is>
          <t>나래</t>
        </is>
      </c>
      <c r="U660" s="3" t="n">
        <v>1</v>
      </c>
      <c r="V660" s="3" t="inlineStr">
        <is>
          <t>공동주택 주민공동시설</t>
        </is>
      </c>
      <c r="W660" s="4" t="n">
        <v>200</v>
      </c>
      <c r="X660" s="3" t="inlineStr">
        <is>
          <t>철근콘크리트구조</t>
        </is>
      </c>
      <c r="Y660" s="3" t="inlineStr">
        <is>
          <t>공동주택</t>
        </is>
      </c>
      <c r="Z660" s="3" t="inlineStr">
        <is>
          <t>-m</t>
        </is>
      </c>
      <c r="AA660" s="3" t="inlineStr">
        <is>
          <t>2021-08-20</t>
        </is>
      </c>
    </row>
    <row r="661">
      <c r="A661" s="3" t="inlineStr">
        <is>
          <t>세종특별자치시 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HYPERLINK("https://map.naver.com/p/search/세종특별자치시 나성동 829", "지도Link")</f>
        <v/>
      </c>
      <c r="S661" s="6">
        <f>HYPERLINK("http://www.eum.go.kr/web/ar/lu/luLandDet.jsp?pnu=3611010700108290000&amp;isNoScr=script&amp;mode=search", "토지이음")</f>
        <v/>
      </c>
      <c r="T661" s="3" t="inlineStr">
        <is>
          <t>미래로</t>
        </is>
      </c>
      <c r="U661" s="3" t="n">
        <v>1</v>
      </c>
      <c r="V661" s="3" t="inlineStr">
        <is>
          <t>604</t>
        </is>
      </c>
      <c r="W661" s="4" t="n">
        <v>992</v>
      </c>
      <c r="X661" s="3" t="inlineStr">
        <is>
          <t>철근콘크리트구조</t>
        </is>
      </c>
      <c r="Y661" s="3" t="inlineStr">
        <is>
          <t>공동주택</t>
        </is>
      </c>
      <c r="Z661" s="3" t="inlineStr">
        <is>
          <t>38.30m</t>
        </is>
      </c>
      <c r="AA661" s="3" t="inlineStr">
        <is>
          <t>2021-08-20</t>
        </is>
      </c>
    </row>
    <row r="662">
      <c r="A662" s="3" t="inlineStr">
        <is>
          <t>세종특별자치시 나성동 829</t>
        </is>
      </c>
      <c r="B662" s="3" t="inlineStr">
        <is>
          <t>중심상업지역</t>
        </is>
      </c>
      <c r="C662" s="3" t="inlineStr">
        <is>
          <t>대</t>
        </is>
      </c>
      <c r="D662" s="3" t="inlineStr">
        <is>
          <t>기타</t>
        </is>
      </c>
      <c r="E662" s="3" t="inlineStr">
        <is>
          <t>매매</t>
        </is>
      </c>
      <c r="F662" s="4" t="n">
        <v>600000</v>
      </c>
      <c r="G662" s="4" t="n">
        <v>0</v>
      </c>
      <c r="H662" s="4" t="n">
        <v>446</v>
      </c>
      <c r="I662" s="4" t="n">
        <v>135</v>
      </c>
      <c r="J662" s="5" t="n">
        <v>4444.4</v>
      </c>
      <c r="K662" s="4" t="n">
        <v>89</v>
      </c>
      <c r="L662" s="4" t="n">
        <v>27</v>
      </c>
      <c r="M662" s="5" t="n">
        <v>22222.2</v>
      </c>
      <c r="N662" s="3" t="inlineStr">
        <is>
          <t>1</t>
        </is>
      </c>
      <c r="O662" s="3" t="inlineStr">
        <is>
          <t>-</t>
        </is>
      </c>
      <c r="P662" s="3" t="inlineStr">
        <is>
          <t>도로접. 주변 토지 함께 개발 가능</t>
        </is>
      </c>
      <c r="Q662" s="6">
        <f>HYPERLINK("https://fin.land.naver.com/articles/2645979624", "매물Link")</f>
        <v/>
      </c>
      <c r="R662" s="6">
        <f>HYPERLINK("https://map.naver.com/p/search/세종특별자치시 나성동 829", "지도Link")</f>
        <v/>
      </c>
      <c r="S662" s="6">
        <f>HYPERLINK("http://www.eum.go.kr/web/ar/lu/luLandDet.jsp?pnu=3611010700108290000&amp;isNoScr=script&amp;mode=search", "토지이음")</f>
        <v/>
      </c>
      <c r="T662" s="3" t="inlineStr">
        <is>
          <t>터</t>
        </is>
      </c>
      <c r="U662" s="3" t="n">
        <v>1</v>
      </c>
      <c r="V662" s="3" t="inlineStr">
        <is>
          <t>공동주택 연결통로</t>
        </is>
      </c>
      <c r="W662" s="4" t="n">
        <v>89</v>
      </c>
      <c r="X662" s="3" t="inlineStr">
        <is>
          <t>철근콘크리트구조</t>
        </is>
      </c>
      <c r="Y662" s="3" t="inlineStr">
        <is>
          <t>공동주택</t>
        </is>
      </c>
      <c r="Z662" s="3" t="inlineStr">
        <is>
          <t>-m</t>
        </is>
      </c>
      <c r="AA662" s="3" t="inlineStr">
        <is>
          <t>2021-08-20</t>
        </is>
      </c>
    </row>
    <row r="663">
      <c r="A663" s="3" t="inlineStr">
        <is>
          <t>세종특별자치시 나성동 829</t>
        </is>
      </c>
      <c r="B663" s="3" t="inlineStr">
        <is>
          <t>중심상업지역</t>
        </is>
      </c>
      <c r="C663" s="3" t="inlineStr">
        <is>
          <t>대</t>
        </is>
      </c>
      <c r="D663" s="3" t="inlineStr">
        <is>
          <t>창고</t>
        </is>
      </c>
      <c r="E663" s="3" t="inlineStr">
        <is>
          <t>월세</t>
        </is>
      </c>
      <c r="F663" s="4" t="n">
        <v>100000</v>
      </c>
      <c r="G663" s="4" t="n">
        <v>0</v>
      </c>
      <c r="H663" s="4" t="n">
        <v>8109</v>
      </c>
      <c r="I663" s="4" t="n">
        <v>2453</v>
      </c>
      <c r="J663" s="5" t="n">
        <v>0</v>
      </c>
      <c r="K663" s="4" t="n">
        <v>1986</v>
      </c>
      <c r="L663" s="4" t="n">
        <v>601</v>
      </c>
      <c r="M663" s="5" t="n">
        <v>0</v>
      </c>
      <c r="N663" s="3" t="inlineStr">
        <is>
          <t>2</t>
        </is>
      </c>
      <c r="O663" s="3" t="inlineStr">
        <is>
          <t>-</t>
        </is>
      </c>
      <c r="P663" s="3" t="inlineStr">
        <is>
          <t>40미터 도로변 근린생활시설 창고 전시장</t>
        </is>
      </c>
      <c r="Q663" s="6">
        <f>HYPERLINK("https://fin.land.naver.com/articles/2647545297", "매물Link")</f>
        <v/>
      </c>
      <c r="R663" s="6">
        <f>HYPERLINK("https://map.naver.com/p/search/세종특별자치시 나성동 829", "지도Link")</f>
        <v/>
      </c>
      <c r="S663" s="6">
        <f>HYPERLINK("http://www.eum.go.kr/web/ar/lu/luLandDet.jsp?pnu=3611010700108290000&amp;isNoScr=script&amp;mode=search", "토지이음")</f>
        <v/>
      </c>
      <c r="T663" s="3" t="inlineStr">
        <is>
          <t>예스</t>
        </is>
      </c>
      <c r="U663" s="3" t="n">
        <v>1</v>
      </c>
      <c r="V663" s="3" t="inlineStr">
        <is>
          <t>901(전망공간)</t>
        </is>
      </c>
      <c r="W663" s="4" t="n">
        <v>1986</v>
      </c>
      <c r="X663" s="3" t="inlineStr">
        <is>
          <t>철근콘크리트구조</t>
        </is>
      </c>
      <c r="Y663" s="3" t="inlineStr">
        <is>
          <t>제2종근린생활시설</t>
        </is>
      </c>
      <c r="Z663" s="3" t="inlineStr">
        <is>
          <t>-m</t>
        </is>
      </c>
      <c r="AA663" s="3" t="inlineStr">
        <is>
          <t>2021-08-20</t>
        </is>
      </c>
    </row>
    <row r="664">
      <c r="A664" s="3" t="inlineStr">
        <is>
          <t>세종특별자치시 나성동 829</t>
        </is>
      </c>
      <c r="B664" s="3" t="inlineStr">
        <is>
          <t>중심상업지역</t>
        </is>
      </c>
      <c r="C664" s="3" t="inlineStr">
        <is>
          <t>대</t>
        </is>
      </c>
      <c r="D664" s="3" t="inlineStr">
        <is>
          <t>창고</t>
        </is>
      </c>
      <c r="E664" s="3" t="inlineStr">
        <is>
          <t>매매</t>
        </is>
      </c>
      <c r="F664" s="4" t="n">
        <v>2500000</v>
      </c>
      <c r="G664" s="4" t="n">
        <v>0</v>
      </c>
      <c r="H664" s="4" t="n">
        <v>8109</v>
      </c>
      <c r="I664" s="4" t="n">
        <v>2453</v>
      </c>
      <c r="J664" s="5" t="n">
        <v>1019.2</v>
      </c>
      <c r="K664" s="4" t="n">
        <v>1986</v>
      </c>
      <c r="L664" s="4" t="n">
        <v>601</v>
      </c>
      <c r="M664" s="5" t="n">
        <v>4159.7</v>
      </c>
      <c r="N664" s="3" t="inlineStr">
        <is>
          <t>2</t>
        </is>
      </c>
      <c r="O664" s="3" t="inlineStr">
        <is>
          <t>-</t>
        </is>
      </c>
      <c r="P664" s="3" t="inlineStr">
        <is>
          <t>40미터 도로변 근린생활시설 대형토지</t>
        </is>
      </c>
      <c r="Q664" s="6">
        <f>HYPERLINK("https://fin.land.naver.com/articles/2647542284", "매물Link")</f>
        <v/>
      </c>
      <c r="R664" s="6">
        <f>HYPERLINK("https://map.naver.com/p/search/세종특별자치시 나성동 829", "지도Link")</f>
        <v/>
      </c>
      <c r="S664" s="6">
        <f>HYPERLINK("http://www.eum.go.kr/web/ar/lu/luLandDet.jsp?pnu=3611010700108290000&amp;isNoScr=script&amp;mode=search", "토지이음")</f>
        <v/>
      </c>
      <c r="T664" s="3" t="inlineStr">
        <is>
          <t>예스</t>
        </is>
      </c>
      <c r="U664" s="3" t="n">
        <v>1</v>
      </c>
      <c r="V664" s="3" t="inlineStr">
        <is>
          <t>901(전망공간)</t>
        </is>
      </c>
      <c r="W664" s="4" t="n">
        <v>1986</v>
      </c>
      <c r="X664" s="3" t="inlineStr">
        <is>
          <t>철근콘크리트구조</t>
        </is>
      </c>
      <c r="Y664" s="3" t="inlineStr">
        <is>
          <t>제2종근린생활시설</t>
        </is>
      </c>
      <c r="Z664" s="3" t="inlineStr">
        <is>
          <t>-m</t>
        </is>
      </c>
      <c r="AA664" s="3" t="inlineStr">
        <is>
          <t>2021-08-20</t>
        </is>
      </c>
    </row>
    <row r="665">
      <c r="A665" s="3" t="inlineStr">
        <is>
          <t>세종특별자치시 나성동 829</t>
        </is>
      </c>
      <c r="B665" s="3" t="inlineStr">
        <is>
          <t>중심상업지역</t>
        </is>
      </c>
      <c r="C665" s="3" t="inlineStr">
        <is>
          <t>대</t>
        </is>
      </c>
      <c r="D665" s="3" t="inlineStr">
        <is>
          <t>공장</t>
        </is>
      </c>
      <c r="E665" s="3" t="inlineStr">
        <is>
          <t>월세</t>
        </is>
      </c>
      <c r="F665" s="4" t="n">
        <v>8000</v>
      </c>
      <c r="G665" s="4" t="n">
        <v>650</v>
      </c>
      <c r="H665" s="4" t="n">
        <v>10052</v>
      </c>
      <c r="I665" s="4" t="n">
        <v>3041</v>
      </c>
      <c r="J665" s="5" t="n">
        <v>0.2</v>
      </c>
      <c r="K665" s="4" t="n">
        <v>5252</v>
      </c>
      <c r="L665" s="4" t="n">
        <v>1589</v>
      </c>
      <c r="M665" s="5" t="n">
        <v>0.4</v>
      </c>
      <c r="N665" s="3" t="inlineStr">
        <is>
          <t>5</t>
        </is>
      </c>
      <c r="O665" s="3" t="inlineStr">
        <is>
          <t>-</t>
        </is>
      </c>
      <c r="P665" s="3" t="inlineStr">
        <is>
          <t>유성IC인근 교통편리 쾌적한 죽동 벤처단지 신축사옥 공장 연구소 사무실</t>
        </is>
      </c>
      <c r="Q665" s="6">
        <f>HYPERLINK("https://fin.land.naver.com/articles/2646742174", "매물Link")</f>
        <v/>
      </c>
      <c r="R665" s="6">
        <f>HYPERLINK("https://map.naver.com/p/search/세종특별자치시 나성동 829", "지도Link")</f>
        <v/>
      </c>
      <c r="S665" s="6">
        <f>HYPERLINK("http://www.eum.go.kr/web/ar/lu/luLandDet.jsp?pnu=3611010700108290000&amp;isNoScr=script&amp;mode=search", "토지이음")</f>
        <v/>
      </c>
      <c r="T665" s="3" t="inlineStr">
        <is>
          <t>테크노반석</t>
        </is>
      </c>
      <c r="U665" s="3" t="n">
        <v>1</v>
      </c>
      <c r="V665" s="3" t="inlineStr">
        <is>
          <t>802</t>
        </is>
      </c>
      <c r="W665" s="4" t="n">
        <v>5252</v>
      </c>
      <c r="X665" s="3" t="inlineStr">
        <is>
          <t>철근콘크리트구조</t>
        </is>
      </c>
      <c r="Y665" s="3" t="inlineStr">
        <is>
          <t>제2종근린생활시설</t>
        </is>
      </c>
      <c r="Z665" s="3" t="inlineStr">
        <is>
          <t>-m</t>
        </is>
      </c>
      <c r="AA665" s="3" t="inlineStr">
        <is>
          <t>2021-08-20</t>
        </is>
      </c>
    </row>
    <row r="666">
      <c r="A666" s="3" t="inlineStr">
        <is>
          <t>세종특별자치시 나성동 829</t>
        </is>
      </c>
      <c r="B666" s="3" t="inlineStr">
        <is>
          <t>중심상업지역</t>
        </is>
      </c>
      <c r="C666" s="3" t="inlineStr">
        <is>
          <t>대</t>
        </is>
      </c>
      <c r="D666" s="3" t="inlineStr">
        <is>
          <t>공장</t>
        </is>
      </c>
      <c r="E666" s="3" t="inlineStr">
        <is>
          <t>월세</t>
        </is>
      </c>
      <c r="F666" s="4" t="n">
        <v>8000</v>
      </c>
      <c r="G666" s="4" t="n">
        <v>660</v>
      </c>
      <c r="H666" s="4" t="n">
        <v>3300</v>
      </c>
      <c r="I666" s="4" t="n">
        <v>998</v>
      </c>
      <c r="J666" s="5" t="n">
        <v>0.7</v>
      </c>
      <c r="K666" s="4" t="n">
        <v>3600</v>
      </c>
      <c r="L666" s="4" t="n">
        <v>1089</v>
      </c>
      <c r="M666" s="5" t="n">
        <v>0.6</v>
      </c>
      <c r="N666" s="3" t="inlineStr">
        <is>
          <t>5</t>
        </is>
      </c>
      <c r="O666" s="3" t="inlineStr">
        <is>
          <t>-</t>
        </is>
      </c>
      <c r="P666" s="3" t="inlineStr">
        <is>
          <t>죽동산업단지 철콘신축사옥 3층 사무실 공장  연구실 유성IC인접 교통편리</t>
        </is>
      </c>
      <c r="Q666" s="6">
        <f>HYPERLINK("https://fin.land.naver.com/articles/2644711287", "매물Link")</f>
        <v/>
      </c>
      <c r="R666" s="6">
        <f>HYPERLINK("https://map.naver.com/p/search/세종특별자치시 나성동 829", "지도Link")</f>
        <v/>
      </c>
      <c r="S666" s="6">
        <f>HYPERLINK("http://www.eum.go.kr/web/ar/lu/luLandDet.jsp?pnu=3611010700108290000&amp;isNoScr=script&amp;mode=search", "토지이음")</f>
        <v/>
      </c>
      <c r="T666" s="3" t="inlineStr">
        <is>
          <t>테크노반석</t>
        </is>
      </c>
      <c r="U666" s="3" t="n">
        <v>1</v>
      </c>
      <c r="V666" s="3" t="inlineStr">
        <is>
          <t>802</t>
        </is>
      </c>
      <c r="W666" s="4" t="n">
        <v>3600</v>
      </c>
      <c r="X666" s="3" t="inlineStr">
        <is>
          <t>철근콘크리트구조</t>
        </is>
      </c>
      <c r="Y666" s="3" t="inlineStr">
        <is>
          <t>제2종근린생활시설</t>
        </is>
      </c>
      <c r="Z666" s="3" t="inlineStr">
        <is>
          <t>-m</t>
        </is>
      </c>
      <c r="AA666" s="3" t="inlineStr">
        <is>
          <t>2021-08-20</t>
        </is>
      </c>
    </row>
    <row r="667">
      <c r="A667" s="3" t="inlineStr">
        <is>
          <t>세종특별자치시 나성동 829</t>
        </is>
      </c>
      <c r="B667" s="3" t="inlineStr">
        <is>
          <t>중심상업지역</t>
        </is>
      </c>
      <c r="C667" s="3" t="inlineStr">
        <is>
          <t>대</t>
        </is>
      </c>
      <c r="D667" s="3" t="inlineStr">
        <is>
          <t>공장</t>
        </is>
      </c>
      <c r="E667" s="3" t="inlineStr">
        <is>
          <t>월세</t>
        </is>
      </c>
      <c r="F667" s="4" t="n">
        <v>3500</v>
      </c>
      <c r="G667" s="4" t="n">
        <v>350</v>
      </c>
      <c r="H667" s="4" t="n">
        <v>3000</v>
      </c>
      <c r="I667" s="4" t="n">
        <v>908</v>
      </c>
      <c r="J667" s="5" t="n">
        <v>0.4</v>
      </c>
      <c r="K667" s="4" t="n">
        <v>2900</v>
      </c>
      <c r="L667" s="4" t="n">
        <v>877</v>
      </c>
      <c r="M667" s="5" t="n">
        <v>0.4</v>
      </c>
      <c r="N667" s="3" t="inlineStr">
        <is>
          <t>2</t>
        </is>
      </c>
      <c r="O667" s="3" t="inlineStr">
        <is>
          <t>-</t>
        </is>
      </c>
      <c r="P667" s="3" t="inlineStr">
        <is>
          <t>신성방현지구 벤처사옥 소형공장 창고 및 사무실 교통편리 입지양호</t>
        </is>
      </c>
      <c r="Q667" s="6">
        <f>HYPERLINK("https://fin.land.naver.com/articles/2644223355", "매물Link")</f>
        <v/>
      </c>
      <c r="R667" s="6">
        <f>HYPERLINK("https://map.naver.com/p/search/세종특별자치시 나성동 829", "지도Link")</f>
        <v/>
      </c>
      <c r="S667" s="6">
        <f>HYPERLINK("http://www.eum.go.kr/web/ar/lu/luLandDet.jsp?pnu=3611010700108290000&amp;isNoScr=script&amp;mode=search", "토지이음")</f>
        <v/>
      </c>
      <c r="T667" s="3" t="inlineStr">
        <is>
          <t>테크노반석</t>
        </is>
      </c>
      <c r="U667" s="3" t="n">
        <v>1</v>
      </c>
      <c r="V667" s="3" t="inlineStr">
        <is>
          <t>802</t>
        </is>
      </c>
      <c r="W667" s="4" t="n">
        <v>2900</v>
      </c>
      <c r="X667" s="3" t="inlineStr">
        <is>
          <t>철근콘크리트구조</t>
        </is>
      </c>
      <c r="Y667" s="3" t="inlineStr">
        <is>
          <t>제2종근린생활시설</t>
        </is>
      </c>
      <c r="Z667" s="3" t="inlineStr">
        <is>
          <t>-m</t>
        </is>
      </c>
      <c r="AA667" s="3" t="inlineStr">
        <is>
          <t>2021-08-20</t>
        </is>
      </c>
    </row>
    <row r="668">
      <c r="A668" s="3" t="inlineStr">
        <is>
          <t>세종특별자치시 나성동 829</t>
        </is>
      </c>
      <c r="B668" s="3" t="inlineStr">
        <is>
          <t>중심상업지역</t>
        </is>
      </c>
      <c r="C668" s="3" t="inlineStr">
        <is>
          <t>대</t>
        </is>
      </c>
      <c r="D668" s="3" t="inlineStr">
        <is>
          <t>창고</t>
        </is>
      </c>
      <c r="E668" s="3" t="inlineStr">
        <is>
          <t>매매</t>
        </is>
      </c>
      <c r="F668" s="4" t="n">
        <v>93500</v>
      </c>
      <c r="G668" s="4" t="n">
        <v>0</v>
      </c>
      <c r="H668" s="4" t="n">
        <v>619</v>
      </c>
      <c r="I668" s="4" t="n">
        <v>187</v>
      </c>
      <c r="J668" s="5" t="n">
        <v>500</v>
      </c>
      <c r="K668" s="4" t="n">
        <v>122</v>
      </c>
      <c r="L668" s="4" t="n">
        <v>37</v>
      </c>
      <c r="M668" s="5" t="n">
        <v>2527</v>
      </c>
      <c r="N668" s="3" t="inlineStr">
        <is>
          <t>1</t>
        </is>
      </c>
      <c r="O668" s="3" t="inlineStr">
        <is>
          <t>-</t>
        </is>
      </c>
      <c r="P668" s="3" t="inlineStr">
        <is>
          <t>복용동 소형 창고매매 층고 높음</t>
        </is>
      </c>
      <c r="Q668" s="6">
        <f>HYPERLINK("https://fin.land.naver.com/articles/2644923443", "매물Link")</f>
        <v/>
      </c>
      <c r="R668" s="6">
        <f>HYPERLINK("https://map.naver.com/p/search/세종특별자치시 나성동 829", "지도Link")</f>
        <v/>
      </c>
      <c r="S668" s="6">
        <f>HYPERLINK("http://www.eum.go.kr/web/ar/lu/luLandDet.jsp?pnu=3611010700108290000&amp;isNoScr=script&amp;mode=search", "토지이음")</f>
        <v/>
      </c>
      <c r="T668" s="3" t="inlineStr">
        <is>
          <t>학하랜드</t>
        </is>
      </c>
      <c r="U668" s="3" t="n">
        <v>1</v>
      </c>
      <c r="V668" s="3" t="inlineStr">
        <is>
          <t>판매시설 지하주차장</t>
        </is>
      </c>
      <c r="W668" s="4" t="n">
        <v>122</v>
      </c>
      <c r="X668" s="3" t="inlineStr">
        <is>
          <t>철근콘크리트구조</t>
        </is>
      </c>
      <c r="Y668" s="3" t="inlineStr">
        <is>
          <t>판매시설</t>
        </is>
      </c>
      <c r="Z668" s="3" t="inlineStr">
        <is>
          <t>-m</t>
        </is>
      </c>
      <c r="AA668" s="3" t="inlineStr">
        <is>
          <t>2021-08-20</t>
        </is>
      </c>
    </row>
    <row r="669">
      <c r="A669" s="3" t="inlineStr">
        <is>
          <t>세종특별자치시 나성동 829</t>
        </is>
      </c>
      <c r="B669" s="3" t="inlineStr">
        <is>
          <t>중심상업지역</t>
        </is>
      </c>
      <c r="C669" s="3" t="inlineStr">
        <is>
          <t>대</t>
        </is>
      </c>
      <c r="D669" s="3" t="inlineStr">
        <is>
          <t>창고</t>
        </is>
      </c>
      <c r="E669" s="3" t="inlineStr">
        <is>
          <t>매매</t>
        </is>
      </c>
      <c r="F669" s="4" t="n">
        <v>67000</v>
      </c>
      <c r="G669" s="4" t="n">
        <v>0</v>
      </c>
      <c r="H669" s="4" t="n">
        <v>284</v>
      </c>
      <c r="I669" s="4" t="n">
        <v>86</v>
      </c>
      <c r="J669" s="5" t="n">
        <v>779.1</v>
      </c>
      <c r="K669" s="4" t="n">
        <v>99</v>
      </c>
      <c r="L669" s="4" t="n">
        <v>30</v>
      </c>
      <c r="M669" s="5" t="n">
        <v>2233.3</v>
      </c>
      <c r="N669" s="3" t="inlineStr">
        <is>
          <t>1</t>
        </is>
      </c>
      <c r="O669" s="3" t="inlineStr">
        <is>
          <t>-</t>
        </is>
      </c>
      <c r="P669" s="3" t="inlineStr">
        <is>
          <t>소형창고겸 사무실</t>
        </is>
      </c>
      <c r="Q669" s="6">
        <f>HYPERLINK("https://fin.land.naver.com/articles/2648141662", "매물Link")</f>
        <v/>
      </c>
      <c r="R669" s="6">
        <f>HYPERLINK("https://map.naver.com/p/search/세종특별자치시 나성동 829", "지도Link")</f>
        <v/>
      </c>
      <c r="S669" s="6">
        <f>HYPERLINK("http://www.eum.go.kr/web/ar/lu/luLandDet.jsp?pnu=3611010700108290000&amp;isNoScr=script&amp;mode=search", "토지이음")</f>
        <v/>
      </c>
      <c r="T669" s="3" t="inlineStr">
        <is>
          <t>가경</t>
        </is>
      </c>
      <c r="U669" s="3" t="n">
        <v>1</v>
      </c>
      <c r="V669" s="3" t="inlineStr">
        <is>
          <t>공동주택 연결통로</t>
        </is>
      </c>
      <c r="W669" s="4" t="n">
        <v>99</v>
      </c>
      <c r="X669" s="3" t="inlineStr">
        <is>
          <t>철근콘크리트구조</t>
        </is>
      </c>
      <c r="Y669" s="3" t="inlineStr">
        <is>
          <t>공동주택</t>
        </is>
      </c>
      <c r="Z669" s="3" t="inlineStr">
        <is>
          <t>-m</t>
        </is>
      </c>
      <c r="AA669" s="3" t="inlineStr">
        <is>
          <t>2021-08-20</t>
        </is>
      </c>
    </row>
    <row r="670">
      <c r="A670" s="3" t="inlineStr">
        <is>
          <t>세종특별자치시 나성동 829</t>
        </is>
      </c>
      <c r="B670" s="3" t="inlineStr">
        <is>
          <t>중심상업지역</t>
        </is>
      </c>
      <c r="C670" s="3" t="inlineStr">
        <is>
          <t>대</t>
        </is>
      </c>
      <c r="D670" s="3" t="inlineStr">
        <is>
          <t>창고</t>
        </is>
      </c>
      <c r="E670" s="3" t="inlineStr">
        <is>
          <t>월세</t>
        </is>
      </c>
      <c r="F670" s="4" t="n">
        <v>2000</v>
      </c>
      <c r="G670" s="4" t="n">
        <v>120</v>
      </c>
      <c r="H670" s="4" t="n">
        <v>197</v>
      </c>
      <c r="I670" s="4" t="n">
        <v>60</v>
      </c>
      <c r="J670" s="5" t="n">
        <v>2</v>
      </c>
      <c r="K670" s="4" t="n">
        <v>98</v>
      </c>
      <c r="L670" s="4" t="n">
        <v>30</v>
      </c>
      <c r="M670" s="5" t="n">
        <v>4</v>
      </c>
      <c r="N670" s="3" t="inlineStr">
        <is>
          <t>1</t>
        </is>
      </c>
      <c r="O670" s="3" t="inlineStr">
        <is>
          <t>-</t>
        </is>
      </c>
      <c r="P670" s="3" t="inlineStr">
        <is>
          <t>창고로 중심도심에 있어서 편리성이 좋습니다.차임은 세금계산서 끊어줍니다.</t>
        </is>
      </c>
      <c r="Q670" s="6">
        <f>HYPERLINK("https://fin.land.naver.com/articles/2649939661", "매물Link")</f>
        <v/>
      </c>
      <c r="R670" s="6">
        <f>HYPERLINK("https://map.naver.com/p/search/세종특별자치시 나성동 829", "지도Link")</f>
        <v/>
      </c>
      <c r="S670" s="6">
        <f>HYPERLINK("http://www.eum.go.kr/web/ar/lu/luLandDet.jsp?pnu=3611010700108290000&amp;isNoScr=script&amp;mode=search", "토지이음")</f>
        <v/>
      </c>
      <c r="T670" s="3" t="inlineStr">
        <is>
          <t>노은미래</t>
        </is>
      </c>
      <c r="U670" s="3" t="n">
        <v>1</v>
      </c>
      <c r="V670" s="3" t="inlineStr">
        <is>
          <t>공동주택 연결통로</t>
        </is>
      </c>
      <c r="W670" s="4" t="n">
        <v>98</v>
      </c>
      <c r="X670" s="3" t="inlineStr">
        <is>
          <t>철근콘크리트구조</t>
        </is>
      </c>
      <c r="Y670" s="3" t="inlineStr">
        <is>
          <t>공동주택</t>
        </is>
      </c>
      <c r="Z670" s="3" t="inlineStr">
        <is>
          <t>-m</t>
        </is>
      </c>
      <c r="AA670" s="3" t="inlineStr">
        <is>
          <t>2021-08-20</t>
        </is>
      </c>
    </row>
    <row r="671">
      <c r="A671" s="3" t="inlineStr">
        <is>
          <t>세종특별자치시 나성동 829</t>
        </is>
      </c>
      <c r="B671" s="3" t="inlineStr">
        <is>
          <t>중심상업지역</t>
        </is>
      </c>
      <c r="C671" s="3" t="inlineStr">
        <is>
          <t>대</t>
        </is>
      </c>
      <c r="D671" s="3" t="inlineStr">
        <is>
          <t>공장</t>
        </is>
      </c>
      <c r="E671" s="3" t="inlineStr">
        <is>
          <t>월세</t>
        </is>
      </c>
      <c r="F671" s="4" t="n">
        <v>4000</v>
      </c>
      <c r="G671" s="4" t="n">
        <v>350</v>
      </c>
      <c r="H671" s="4" t="n">
        <v>6579</v>
      </c>
      <c r="I671" s="4" t="n">
        <v>1990</v>
      </c>
      <c r="J671" s="5" t="n">
        <v>0.2</v>
      </c>
      <c r="K671" s="4" t="n">
        <v>3882</v>
      </c>
      <c r="L671" s="4" t="n">
        <v>1174</v>
      </c>
      <c r="M671" s="5" t="n">
        <v>0.3</v>
      </c>
      <c r="N671" s="3" t="inlineStr">
        <is>
          <t>2</t>
        </is>
      </c>
      <c r="O671" s="3" t="inlineStr">
        <is>
          <t>-</t>
        </is>
      </c>
      <c r="P671" s="3" t="inlineStr">
        <is>
          <t>nan</t>
        </is>
      </c>
      <c r="Q671" s="6">
        <f>HYPERLINK("https://fin.land.naver.com/articles/2646205786", "매물Link")</f>
        <v/>
      </c>
      <c r="R671" s="6">
        <f>HYPERLINK("https://map.naver.com/p/search/세종특별자치시 나성동 829", "지도Link")</f>
        <v/>
      </c>
      <c r="S671" s="6">
        <f>HYPERLINK("http://www.eum.go.kr/web/ar/lu/luLandDet.jsp?pnu=3611010700108290000&amp;isNoScr=script&amp;mode=search", "토지이음")</f>
        <v/>
      </c>
      <c r="T671" s="3" t="inlineStr">
        <is>
          <t>삼익</t>
        </is>
      </c>
      <c r="U671" s="3" t="n">
        <v>1</v>
      </c>
      <c r="V671" s="3" t="inlineStr">
        <is>
          <t>802</t>
        </is>
      </c>
      <c r="W671" s="4" t="n">
        <v>3882</v>
      </c>
      <c r="X671" s="3" t="inlineStr">
        <is>
          <t>철근콘크리트구조</t>
        </is>
      </c>
      <c r="Y671" s="3" t="inlineStr">
        <is>
          <t>제2종근린생활시설</t>
        </is>
      </c>
      <c r="Z671" s="3" t="inlineStr">
        <is>
          <t>-m</t>
        </is>
      </c>
      <c r="AA671" s="3" t="inlineStr">
        <is>
          <t>2021-08-20</t>
        </is>
      </c>
    </row>
    <row r="672">
      <c r="A672" s="3" t="inlineStr">
        <is>
          <t>세종특별자치시 나성동 829</t>
        </is>
      </c>
      <c r="B672" s="3" t="inlineStr">
        <is>
          <t>중심상업지역</t>
        </is>
      </c>
      <c r="C672" s="3" t="inlineStr">
        <is>
          <t>대</t>
        </is>
      </c>
      <c r="D672" s="3" t="inlineStr">
        <is>
          <t>공장</t>
        </is>
      </c>
      <c r="E672" s="3" t="inlineStr">
        <is>
          <t>매매</t>
        </is>
      </c>
      <c r="F672" s="4" t="n">
        <v>120000</v>
      </c>
      <c r="G672" s="4" t="n">
        <v>0</v>
      </c>
      <c r="H672" s="4" t="n">
        <v>430</v>
      </c>
      <c r="I672" s="4" t="n">
        <v>130</v>
      </c>
      <c r="J672" s="5" t="n">
        <v>923.1</v>
      </c>
      <c r="K672" s="4" t="n">
        <v>380</v>
      </c>
      <c r="L672" s="4" t="n">
        <v>115</v>
      </c>
      <c r="M672" s="5" t="n">
        <v>1043.5</v>
      </c>
      <c r="N672" s="3" t="inlineStr">
        <is>
          <t>2</t>
        </is>
      </c>
      <c r="O672" s="3" t="inlineStr">
        <is>
          <t>-</t>
        </is>
      </c>
      <c r="P672" s="3" t="inlineStr">
        <is>
          <t>신축공장매매 사무실 완비  임차인 있는   투자용 매물</t>
        </is>
      </c>
      <c r="Q672" s="6">
        <f>HYPERLINK("https://fin.land.naver.com/articles/2648135774", "매물Link")</f>
        <v/>
      </c>
      <c r="R672" s="6">
        <f>HYPERLINK("https://map.naver.com/p/search/세종특별자치시 나성동 829", "지도Link")</f>
        <v/>
      </c>
      <c r="S672" s="6">
        <f>HYPERLINK("http://www.eum.go.kr/web/ar/lu/luLandDet.jsp?pnu=3611010700108290000&amp;isNoScr=script&amp;mode=search", "토지이음")</f>
        <v/>
      </c>
      <c r="T672" s="3" t="inlineStr">
        <is>
          <t>삼익</t>
        </is>
      </c>
      <c r="U672" s="3" t="n">
        <v>1</v>
      </c>
      <c r="V672" s="3" t="inlineStr">
        <is>
          <t>전망공간 기계실</t>
        </is>
      </c>
      <c r="W672" s="4" t="n">
        <v>380</v>
      </c>
      <c r="X672" s="3" t="inlineStr">
        <is>
          <t>철근콘크리트구조</t>
        </is>
      </c>
      <c r="Y672" s="3" t="inlineStr">
        <is>
          <t>제2종근린생활시설</t>
        </is>
      </c>
      <c r="Z672" s="3" t="inlineStr">
        <is>
          <t>-m</t>
        </is>
      </c>
      <c r="AA672" s="3" t="inlineStr">
        <is>
          <t>2021-08-20</t>
        </is>
      </c>
    </row>
    <row r="673">
      <c r="A673" s="3" t="inlineStr">
        <is>
          <t>세종특별자치시 나성동 829</t>
        </is>
      </c>
      <c r="B673" s="3" t="inlineStr">
        <is>
          <t>중심상업지역</t>
        </is>
      </c>
      <c r="C673" s="3" t="inlineStr">
        <is>
          <t>대</t>
        </is>
      </c>
      <c r="D673" s="3" t="inlineStr">
        <is>
          <t>공장</t>
        </is>
      </c>
      <c r="E673" s="3" t="inlineStr">
        <is>
          <t>월세</t>
        </is>
      </c>
      <c r="F673" s="4" t="n">
        <v>2000</v>
      </c>
      <c r="G673" s="4" t="n">
        <v>168</v>
      </c>
      <c r="H673" s="4" t="n">
        <v>460</v>
      </c>
      <c r="I673" s="4" t="n">
        <v>139</v>
      </c>
      <c r="J673" s="5" t="n">
        <v>1.2</v>
      </c>
      <c r="K673" s="4" t="n">
        <v>315</v>
      </c>
      <c r="L673" s="4" t="n">
        <v>95</v>
      </c>
      <c r="M673" s="5" t="n">
        <v>1.8</v>
      </c>
      <c r="N673" s="3" t="inlineStr">
        <is>
          <t>1</t>
        </is>
      </c>
      <c r="O673" s="3" t="inlineStr">
        <is>
          <t>-</t>
        </is>
      </c>
      <c r="P673" s="3" t="inlineStr">
        <is>
          <t>신축  소형공장  임대    호이스트  사무실 완비 전력30kw</t>
        </is>
      </c>
      <c r="Q673" s="6">
        <f>HYPERLINK("https://fin.land.naver.com/articles/2646189097", "매물Link")</f>
        <v/>
      </c>
      <c r="R673" s="6">
        <f>HYPERLINK("https://map.naver.com/p/search/세종특별자치시 나성동 829", "지도Link")</f>
        <v/>
      </c>
      <c r="S673" s="6">
        <f>HYPERLINK("http://www.eum.go.kr/web/ar/lu/luLandDet.jsp?pnu=3611010700108290000&amp;isNoScr=script&amp;mode=search", "토지이음")</f>
        <v/>
      </c>
      <c r="T673" s="3" t="inlineStr">
        <is>
          <t>삼익</t>
        </is>
      </c>
      <c r="U673" s="3" t="n">
        <v>2</v>
      </c>
      <c r="V673" s="3" t="inlineStr">
        <is>
          <t>801</t>
        </is>
      </c>
      <c r="W673" s="4" t="n">
        <v>315</v>
      </c>
      <c r="X673" s="3" t="inlineStr">
        <is>
          <t>철근콘크리트구조</t>
        </is>
      </c>
      <c r="Y673" s="3" t="inlineStr">
        <is>
          <t>제2종근린생활시설</t>
        </is>
      </c>
      <c r="Z673" s="3" t="inlineStr">
        <is>
          <t>-m</t>
        </is>
      </c>
      <c r="AA673" s="3" t="inlineStr">
        <is>
          <t>2021-08-20</t>
        </is>
      </c>
    </row>
    <row r="674">
      <c r="A674" s="3" t="inlineStr">
        <is>
          <t>세종특별자치시 나성동 829</t>
        </is>
      </c>
      <c r="B674" s="3" t="inlineStr">
        <is>
          <t>중심상업지역</t>
        </is>
      </c>
      <c r="C674" s="3" t="inlineStr">
        <is>
          <t>대</t>
        </is>
      </c>
      <c r="D674" s="3" t="inlineStr">
        <is>
          <t>공장</t>
        </is>
      </c>
      <c r="E674" s="3" t="inlineStr">
        <is>
          <t>월세</t>
        </is>
      </c>
      <c r="F674" s="4" t="n">
        <v>3000</v>
      </c>
      <c r="G674" s="4" t="n">
        <v>300</v>
      </c>
      <c r="H674" s="4" t="n">
        <v>411</v>
      </c>
      <c r="I674" s="4" t="n">
        <v>124</v>
      </c>
      <c r="J674" s="5" t="n">
        <v>2.4</v>
      </c>
      <c r="K674" s="4" t="n">
        <v>286</v>
      </c>
      <c r="L674" s="4" t="n">
        <v>87</v>
      </c>
      <c r="M674" s="5" t="n">
        <v>3.4</v>
      </c>
      <c r="N674" s="3" t="inlineStr">
        <is>
          <t>1</t>
        </is>
      </c>
      <c r="O674" s="3" t="inlineStr">
        <is>
          <t>-</t>
        </is>
      </c>
      <c r="P674" s="3" t="inlineStr">
        <is>
          <t>단독  깔끔한 준신축공장  사무실 있음   호이스트 완비</t>
        </is>
      </c>
      <c r="Q674" s="6">
        <f>HYPERLINK("https://fin.land.naver.com/articles/2646187572", "매물Link")</f>
        <v/>
      </c>
      <c r="R674" s="6">
        <f>HYPERLINK("https://map.naver.com/p/search/세종특별자치시 나성동 829", "지도Link")</f>
        <v/>
      </c>
      <c r="S674" s="6">
        <f>HYPERLINK("http://www.eum.go.kr/web/ar/lu/luLandDet.jsp?pnu=3611010700108290000&amp;isNoScr=script&amp;mode=search", "토지이음")</f>
        <v/>
      </c>
      <c r="T674" s="3" t="inlineStr">
        <is>
          <t>삼익</t>
        </is>
      </c>
      <c r="U674" s="3" t="n">
        <v>2</v>
      </c>
      <c r="V674" s="3" t="inlineStr">
        <is>
          <t>공동주택 전기,발전기실</t>
        </is>
      </c>
      <c r="W674" s="4" t="n">
        <v>286</v>
      </c>
      <c r="X674" s="3" t="inlineStr">
        <is>
          <t>철근콘크리트구조</t>
        </is>
      </c>
      <c r="Y674" s="3" t="inlineStr">
        <is>
          <t>공동주택</t>
        </is>
      </c>
      <c r="Z674" s="3" t="inlineStr">
        <is>
          <t>-m</t>
        </is>
      </c>
      <c r="AA674" s="3" t="inlineStr">
        <is>
          <t>2021-08-20</t>
        </is>
      </c>
    </row>
    <row r="675">
      <c r="A675" s="3" t="inlineStr">
        <is>
          <t>세종특별자치시 나성동 829</t>
        </is>
      </c>
      <c r="B675" s="3" t="inlineStr">
        <is>
          <t>중심상업지역</t>
        </is>
      </c>
      <c r="C675" s="3" t="inlineStr">
        <is>
          <t>대</t>
        </is>
      </c>
      <c r="D675" s="3" t="inlineStr">
        <is>
          <t>공장</t>
        </is>
      </c>
      <c r="E675" s="3" t="inlineStr">
        <is>
          <t>월세</t>
        </is>
      </c>
      <c r="F675" s="4" t="n">
        <v>2000</v>
      </c>
      <c r="G675" s="4" t="n">
        <v>200</v>
      </c>
      <c r="H675" s="4" t="n">
        <v>1421</v>
      </c>
      <c r="I675" s="4" t="n">
        <v>430</v>
      </c>
      <c r="J675" s="5" t="n">
        <v>0.5</v>
      </c>
      <c r="K675" s="4" t="n">
        <v>297</v>
      </c>
      <c r="L675" s="4" t="n">
        <v>90</v>
      </c>
      <c r="M675" s="5" t="n">
        <v>2.2</v>
      </c>
      <c r="N675" s="3" t="inlineStr">
        <is>
          <t>1</t>
        </is>
      </c>
      <c r="O675" s="3" t="inlineStr">
        <is>
          <t>-</t>
        </is>
      </c>
      <c r="P675" s="3" t="inlineStr">
        <is>
          <t>중소형 공장임대 호이스트 포함 매물</t>
        </is>
      </c>
      <c r="Q675" s="6">
        <f>HYPERLINK("https://fin.land.naver.com/articles/2644575403", "매물Link")</f>
        <v/>
      </c>
      <c r="R675" s="6">
        <f>HYPERLINK("https://map.naver.com/p/search/세종특별자치시 나성동 829", "지도Link")</f>
        <v/>
      </c>
      <c r="S675" s="6">
        <f>HYPERLINK("http://www.eum.go.kr/web/ar/lu/luLandDet.jsp?pnu=3611010700108290000&amp;isNoScr=script&amp;mode=search", "토지이음")</f>
        <v/>
      </c>
      <c r="T675" s="3" t="inlineStr">
        <is>
          <t>삼익</t>
        </is>
      </c>
      <c r="U675" s="3" t="n">
        <v>1</v>
      </c>
      <c r="V675" s="3" t="inlineStr">
        <is>
          <t>공동주택 전기,발전기실</t>
        </is>
      </c>
      <c r="W675" s="4" t="n">
        <v>297</v>
      </c>
      <c r="X675" s="3" t="inlineStr">
        <is>
          <t>철근콘크리트구조</t>
        </is>
      </c>
      <c r="Y675" s="3" t="inlineStr">
        <is>
          <t>공동주택</t>
        </is>
      </c>
      <c r="Z675" s="3" t="inlineStr">
        <is>
          <t>-m</t>
        </is>
      </c>
      <c r="AA675" s="3" t="inlineStr">
        <is>
          <t>2021-08-20</t>
        </is>
      </c>
    </row>
    <row r="676">
      <c r="A676" s="3" t="inlineStr">
        <is>
          <t>세종특별자치시 나성동 829</t>
        </is>
      </c>
      <c r="B676" s="3" t="inlineStr">
        <is>
          <t>중심상업지역</t>
        </is>
      </c>
      <c r="C676" s="3" t="inlineStr">
        <is>
          <t>대</t>
        </is>
      </c>
      <c r="D676" s="3" t="inlineStr">
        <is>
          <t>공장</t>
        </is>
      </c>
      <c r="E676" s="3" t="inlineStr">
        <is>
          <t>월세</t>
        </is>
      </c>
      <c r="F676" s="4" t="n">
        <v>2000</v>
      </c>
      <c r="G676" s="4" t="n">
        <v>168</v>
      </c>
      <c r="H676" s="4" t="n">
        <v>157</v>
      </c>
      <c r="I676" s="4" t="n">
        <v>47</v>
      </c>
      <c r="J676" s="5" t="n">
        <v>3.6</v>
      </c>
      <c r="K676" s="4" t="n">
        <v>157</v>
      </c>
      <c r="L676" s="4" t="n">
        <v>47</v>
      </c>
      <c r="M676" s="5" t="n">
        <v>3.6</v>
      </c>
      <c r="N676" s="3" t="inlineStr">
        <is>
          <t>1</t>
        </is>
      </c>
      <c r="O676" s="3" t="inlineStr">
        <is>
          <t>-</t>
        </is>
      </c>
      <c r="P676" s="3" t="inlineStr">
        <is>
          <t>사진 有 호이스트 있는 첫 입주 신축 공장</t>
        </is>
      </c>
      <c r="Q676" s="6">
        <f>HYPERLINK("https://fin.land.naver.com/articles/2644345957", "매물Link")</f>
        <v/>
      </c>
      <c r="R676" s="6">
        <f>HYPERLINK("https://map.naver.com/p/search/세종특별자치시 나성동 829", "지도Link")</f>
        <v/>
      </c>
      <c r="S676" s="6">
        <f>HYPERLINK("http://www.eum.go.kr/web/ar/lu/luLandDet.jsp?pnu=3611010700108290000&amp;isNoScr=script&amp;mode=search", "토지이음")</f>
        <v/>
      </c>
      <c r="T676" s="3" t="inlineStr">
        <is>
          <t>KS</t>
        </is>
      </c>
      <c r="U676" s="3" t="n">
        <v>1</v>
      </c>
      <c r="V676" s="3" t="inlineStr">
        <is>
          <t>공동주택 관리사무소</t>
        </is>
      </c>
      <c r="W676" s="4" t="n">
        <v>157</v>
      </c>
      <c r="X676" s="3" t="inlineStr">
        <is>
          <t>철근콘크리트구조</t>
        </is>
      </c>
      <c r="Y676" s="3" t="inlineStr">
        <is>
          <t>공동주택</t>
        </is>
      </c>
      <c r="Z676" s="3" t="inlineStr">
        <is>
          <t>-m</t>
        </is>
      </c>
      <c r="AA676" s="3" t="inlineStr">
        <is>
          <t>2021-08-20</t>
        </is>
      </c>
    </row>
    <row r="677">
      <c r="A677" s="3" t="inlineStr">
        <is>
          <t>세종특별자치시 나성동 829</t>
        </is>
      </c>
      <c r="B677" s="3" t="inlineStr">
        <is>
          <t>중심상업지역</t>
        </is>
      </c>
      <c r="C677" s="3" t="inlineStr">
        <is>
          <t>대</t>
        </is>
      </c>
      <c r="D677" s="3" t="inlineStr">
        <is>
          <t>공장</t>
        </is>
      </c>
      <c r="E677" s="3" t="inlineStr">
        <is>
          <t>매매</t>
        </is>
      </c>
      <c r="F677" s="4" t="n">
        <v>190000</v>
      </c>
      <c r="G677" s="4" t="n">
        <v>0</v>
      </c>
      <c r="H677" s="4" t="n">
        <v>1400</v>
      </c>
      <c r="I677" s="4" t="n">
        <v>424</v>
      </c>
      <c r="J677" s="5" t="n">
        <v>448.1</v>
      </c>
      <c r="K677" s="4" t="n">
        <v>976</v>
      </c>
      <c r="L677" s="4" t="n">
        <v>295</v>
      </c>
      <c r="M677" s="5" t="n">
        <v>644.1</v>
      </c>
      <c r="N677" s="3" t="inlineStr">
        <is>
          <t>3</t>
        </is>
      </c>
      <c r="O677" s="3" t="inlineStr">
        <is>
          <t>-</t>
        </is>
      </c>
      <c r="P677" s="3" t="inlineStr">
        <is>
          <t>층고 7m. 호이스트 2기</t>
        </is>
      </c>
      <c r="Q677" s="6">
        <f>HYPERLINK("https://fin.land.naver.com/articles/2648300440", "매물Link")</f>
        <v/>
      </c>
      <c r="R677" s="6">
        <f>HYPERLINK("https://map.naver.com/p/search/세종특별자치시 나성동 829", "지도Link")</f>
        <v/>
      </c>
      <c r="S677" s="6">
        <f>HYPERLINK("http://www.eum.go.kr/web/ar/lu/luLandDet.jsp?pnu=3611010700108290000&amp;isNoScr=script&amp;mode=search", "토지이음")</f>
        <v/>
      </c>
      <c r="T677" s="3" t="inlineStr">
        <is>
          <t>산업</t>
        </is>
      </c>
      <c r="U677" s="3" t="n">
        <v>1</v>
      </c>
      <c r="V677" s="3" t="inlineStr">
        <is>
          <t>전망공간 지하주차장</t>
        </is>
      </c>
      <c r="W677" s="4" t="n">
        <v>976</v>
      </c>
      <c r="X677" s="3" t="inlineStr">
        <is>
          <t>철근콘크리트구조</t>
        </is>
      </c>
      <c r="Y677" s="3" t="inlineStr">
        <is>
          <t>제2종근린생활시설</t>
        </is>
      </c>
      <c r="Z677" s="3" t="inlineStr">
        <is>
          <t>4.50m</t>
        </is>
      </c>
      <c r="AA677" s="3" t="inlineStr">
        <is>
          <t>2021-08-20</t>
        </is>
      </c>
    </row>
    <row r="678">
      <c r="A678" s="3" t="inlineStr">
        <is>
          <t>세종특별자치시 나성동 829</t>
        </is>
      </c>
      <c r="B678" s="3" t="inlineStr">
        <is>
          <t>중심상업지역</t>
        </is>
      </c>
      <c r="C678" s="3" t="inlineStr">
        <is>
          <t>대</t>
        </is>
      </c>
      <c r="D678" s="3" t="inlineStr">
        <is>
          <t>공장</t>
        </is>
      </c>
      <c r="E678" s="3" t="inlineStr">
        <is>
          <t>월세</t>
        </is>
      </c>
      <c r="F678" s="4" t="n">
        <v>3000</v>
      </c>
      <c r="G678" s="4" t="n">
        <v>300</v>
      </c>
      <c r="H678" s="4" t="n">
        <v>411</v>
      </c>
      <c r="I678" s="4" t="n">
        <v>124</v>
      </c>
      <c r="J678" s="5" t="n">
        <v>2.4</v>
      </c>
      <c r="K678" s="4" t="n">
        <v>286</v>
      </c>
      <c r="L678" s="4" t="n">
        <v>87</v>
      </c>
      <c r="M678" s="5" t="n">
        <v>3.4</v>
      </c>
      <c r="N678" s="3" t="inlineStr">
        <is>
          <t>1</t>
        </is>
      </c>
      <c r="O678" s="3" t="inlineStr">
        <is>
          <t>-</t>
        </is>
      </c>
      <c r="P678" s="3" t="inlineStr">
        <is>
          <t>신탄진 평촌지구 신축공장, 창고 임대, 호이스트, 동력</t>
        </is>
      </c>
      <c r="Q678" s="6">
        <f>HYPERLINK("https://fin.land.naver.com/articles/2645117509", "매물Link")</f>
        <v/>
      </c>
      <c r="R678" s="6">
        <f>HYPERLINK("https://map.naver.com/p/search/세종특별자치시 나성동 829", "지도Link")</f>
        <v/>
      </c>
      <c r="S678" s="6">
        <f>HYPERLINK("http://www.eum.go.kr/web/ar/lu/luLandDet.jsp?pnu=3611010700108290000&amp;isNoScr=script&amp;mode=search", "토지이음")</f>
        <v/>
      </c>
      <c r="T678" s="3" t="inlineStr">
        <is>
          <t>신탄진다온</t>
        </is>
      </c>
      <c r="U678" s="3" t="n">
        <v>1</v>
      </c>
      <c r="V678" s="3" t="inlineStr">
        <is>
          <t>공동주택 전기,발전기실</t>
        </is>
      </c>
      <c r="W678" s="4" t="n">
        <v>286</v>
      </c>
      <c r="X678" s="3" t="inlineStr">
        <is>
          <t>철근콘크리트구조</t>
        </is>
      </c>
      <c r="Y678" s="3" t="inlineStr">
        <is>
          <t>공동주택</t>
        </is>
      </c>
      <c r="Z678" s="3" t="inlineStr">
        <is>
          <t>-m</t>
        </is>
      </c>
      <c r="AA678" s="3" t="inlineStr">
        <is>
          <t>2021-08-20</t>
        </is>
      </c>
    </row>
    <row r="679">
      <c r="A679" s="3" t="inlineStr">
        <is>
          <t>세종특별자치시 나성동 829</t>
        </is>
      </c>
      <c r="B679" s="3" t="inlineStr">
        <is>
          <t>중심상업지역</t>
        </is>
      </c>
      <c r="C679" s="3" t="inlineStr">
        <is>
          <t>대</t>
        </is>
      </c>
      <c r="D679" s="3" t="inlineStr">
        <is>
          <t>창고</t>
        </is>
      </c>
      <c r="E679" s="3" t="inlineStr">
        <is>
          <t>월세</t>
        </is>
      </c>
      <c r="F679" s="4" t="n">
        <v>2000</v>
      </c>
      <c r="G679" s="4" t="n">
        <v>150</v>
      </c>
      <c r="H679" s="4" t="n">
        <v>327</v>
      </c>
      <c r="I679" s="4" t="n">
        <v>99</v>
      </c>
      <c r="J679" s="5" t="n">
        <v>1.5</v>
      </c>
      <c r="K679" s="4" t="n">
        <v>187</v>
      </c>
      <c r="L679" s="4" t="n">
        <v>57</v>
      </c>
      <c r="M679" s="5" t="n">
        <v>2.6</v>
      </c>
      <c r="N679" s="3" t="inlineStr">
        <is>
          <t>1</t>
        </is>
      </c>
      <c r="O679" s="3" t="inlineStr">
        <is>
          <t>-</t>
        </is>
      </c>
      <c r="P679" s="3" t="inlineStr">
        <is>
          <t>입주협의</t>
        </is>
      </c>
      <c r="Q679" s="6">
        <f>HYPERLINK("https://fin.land.naver.com/articles/2645164402", "매물Link")</f>
        <v/>
      </c>
      <c r="R679" s="6">
        <f>HYPERLINK("https://map.naver.com/p/search/세종특별자치시 나성동 829", "지도Link")</f>
        <v/>
      </c>
      <c r="S679" s="6">
        <f>HYPERLINK("http://www.eum.go.kr/web/ar/lu/luLandDet.jsp?pnu=3611010700108290000&amp;isNoScr=script&amp;mode=search", "토지이음")</f>
        <v/>
      </c>
      <c r="T679" s="3" t="inlineStr">
        <is>
          <t>웰컴</t>
        </is>
      </c>
      <c r="U679" s="3" t="n">
        <v>2</v>
      </c>
      <c r="V679" s="3" t="inlineStr">
        <is>
          <t>701</t>
        </is>
      </c>
      <c r="W679" s="4" t="n">
        <v>187</v>
      </c>
      <c r="X679" s="3" t="inlineStr">
        <is>
          <t>철근콘크리트구조</t>
        </is>
      </c>
      <c r="Y679" s="3" t="inlineStr">
        <is>
          <t>판매시설</t>
        </is>
      </c>
      <c r="Z679" s="3" t="inlineStr">
        <is>
          <t>-m</t>
        </is>
      </c>
      <c r="AA679" s="3" t="inlineStr">
        <is>
          <t>2021-08-20</t>
        </is>
      </c>
    </row>
    <row r="680">
      <c r="A680" s="3" t="inlineStr">
        <is>
          <t>세종특별자치시 나성동 829</t>
        </is>
      </c>
      <c r="B680" s="3" t="inlineStr">
        <is>
          <t>중심상업지역</t>
        </is>
      </c>
      <c r="C680" s="3" t="inlineStr">
        <is>
          <t>대</t>
        </is>
      </c>
      <c r="D680" s="3" t="inlineStr">
        <is>
          <t>공장</t>
        </is>
      </c>
      <c r="E680" s="3" t="inlineStr">
        <is>
          <t>월세</t>
        </is>
      </c>
      <c r="F680" s="4" t="n">
        <v>1000</v>
      </c>
      <c r="G680" s="4" t="n">
        <v>70</v>
      </c>
      <c r="H680" s="4" t="n">
        <v>346</v>
      </c>
      <c r="I680" s="4" t="n">
        <v>105</v>
      </c>
      <c r="J680" s="5" t="n">
        <v>0.7</v>
      </c>
      <c r="K680" s="4" t="n">
        <v>99</v>
      </c>
      <c r="L680" s="4" t="n">
        <v>30</v>
      </c>
      <c r="M680" s="5" t="n">
        <v>2.3</v>
      </c>
      <c r="N680" s="3" t="inlineStr">
        <is>
          <t>2</t>
        </is>
      </c>
      <c r="O680" s="3" t="inlineStr">
        <is>
          <t>-</t>
        </is>
      </c>
      <c r="P680" s="3" t="inlineStr">
        <is>
          <t>호이스트및 사무실있음, 신축.</t>
        </is>
      </c>
      <c r="Q680" s="6">
        <f>HYPERLINK("https://fin.land.naver.com/articles/2644663908", "매물Link")</f>
        <v/>
      </c>
      <c r="R680" s="6">
        <f>HYPERLINK("https://map.naver.com/p/search/세종특별자치시 나성동 829", "지도Link")</f>
        <v/>
      </c>
      <c r="S680" s="6">
        <f>HYPERLINK("http://www.eum.go.kr/web/ar/lu/luLandDet.jsp?pnu=3611010700108290000&amp;isNoScr=script&amp;mode=search", "토지이음")</f>
        <v/>
      </c>
      <c r="T680" s="3" t="inlineStr">
        <is>
          <t>성지</t>
        </is>
      </c>
      <c r="U680" s="3" t="n">
        <v>1</v>
      </c>
      <c r="V680" s="3" t="inlineStr">
        <is>
          <t>공동주택 연결통로</t>
        </is>
      </c>
      <c r="W680" s="4" t="n">
        <v>99</v>
      </c>
      <c r="X680" s="3" t="inlineStr">
        <is>
          <t>철근콘크리트구조</t>
        </is>
      </c>
      <c r="Y680" s="3" t="inlineStr">
        <is>
          <t>공동주택</t>
        </is>
      </c>
      <c r="Z680" s="3" t="inlineStr">
        <is>
          <t>-m</t>
        </is>
      </c>
      <c r="AA680" s="3" t="inlineStr">
        <is>
          <t>2021-08-20</t>
        </is>
      </c>
    </row>
    <row r="681">
      <c r="A681" s="3" t="inlineStr">
        <is>
          <t>세종특별자치시 나성동 829</t>
        </is>
      </c>
      <c r="B681" s="3" t="inlineStr">
        <is>
          <t>중심상업지역</t>
        </is>
      </c>
      <c r="C681" s="3" t="inlineStr">
        <is>
          <t>대</t>
        </is>
      </c>
      <c r="D681" s="3" t="inlineStr">
        <is>
          <t>공장</t>
        </is>
      </c>
      <c r="E681" s="3" t="inlineStr">
        <is>
          <t>매매</t>
        </is>
      </c>
      <c r="F681" s="4" t="n">
        <v>65000</v>
      </c>
      <c r="G681" s="4" t="n">
        <v>0</v>
      </c>
      <c r="H681" s="4" t="n">
        <v>340</v>
      </c>
      <c r="I681" s="4" t="n">
        <v>103</v>
      </c>
      <c r="J681" s="5" t="n">
        <v>631.1</v>
      </c>
      <c r="K681" s="4" t="n">
        <v>290</v>
      </c>
      <c r="L681" s="4" t="n">
        <v>88</v>
      </c>
      <c r="M681" s="5" t="n">
        <v>738.6</v>
      </c>
      <c r="N681" s="3" t="inlineStr">
        <is>
          <t>2</t>
        </is>
      </c>
      <c r="O681" s="3" t="inlineStr">
        <is>
          <t>-</t>
        </is>
      </c>
      <c r="P681" s="3" t="inlineStr">
        <is>
          <t>1층 공장 2층 사무실 구조 실 속형 공장 매매</t>
        </is>
      </c>
      <c r="Q681" s="6">
        <f>HYPERLINK("https://fin.land.naver.com/articles/2649612612", "매물Link")</f>
        <v/>
      </c>
      <c r="R681" s="6">
        <f>HYPERLINK("https://map.naver.com/p/search/세종특별자치시 나성동 829", "지도Link")</f>
        <v/>
      </c>
      <c r="S681" s="6">
        <f>HYPERLINK("http://www.eum.go.kr/web/ar/lu/luLandDet.jsp?pnu=3611010700108290000&amp;isNoScr=script&amp;mode=search", "토지이음")</f>
        <v/>
      </c>
      <c r="T681" s="3" t="inlineStr">
        <is>
          <t>삼익</t>
        </is>
      </c>
      <c r="U681" s="3" t="n">
        <v>1</v>
      </c>
      <c r="V681" s="3" t="inlineStr">
        <is>
          <t>공동주택 전기,발전기실</t>
        </is>
      </c>
      <c r="W681" s="4" t="n">
        <v>290</v>
      </c>
      <c r="X681" s="3" t="inlineStr">
        <is>
          <t>철근콘크리트구조</t>
        </is>
      </c>
      <c r="Y681" s="3" t="inlineStr">
        <is>
          <t>공동주택</t>
        </is>
      </c>
      <c r="Z681" s="3" t="inlineStr">
        <is>
          <t>-m</t>
        </is>
      </c>
      <c r="AA681" s="3" t="inlineStr">
        <is>
          <t>2021-08-20</t>
        </is>
      </c>
    </row>
    <row r="682">
      <c r="A682" s="3" t="inlineStr">
        <is>
          <t>세종특별자치시 나성동 829</t>
        </is>
      </c>
      <c r="B682" s="3" t="inlineStr">
        <is>
          <t>중심상업지역</t>
        </is>
      </c>
      <c r="C682" s="3" t="inlineStr">
        <is>
          <t>대</t>
        </is>
      </c>
      <c r="D682" s="3" t="inlineStr">
        <is>
          <t>공장</t>
        </is>
      </c>
      <c r="E682" s="3" t="inlineStr">
        <is>
          <t>매매</t>
        </is>
      </c>
      <c r="F682" s="4" t="n">
        <v>350000</v>
      </c>
      <c r="G682" s="4" t="n">
        <v>0</v>
      </c>
      <c r="H682" s="4" t="n">
        <v>2143</v>
      </c>
      <c r="I682" s="4" t="n">
        <v>648</v>
      </c>
      <c r="J682" s="5" t="n">
        <v>540.1</v>
      </c>
      <c r="K682" s="4" t="n">
        <v>1061</v>
      </c>
      <c r="L682" s="4" t="n">
        <v>321</v>
      </c>
      <c r="M682" s="5" t="n">
        <v>1090.3</v>
      </c>
      <c r="N682" s="3" t="inlineStr">
        <is>
          <t>2</t>
        </is>
      </c>
      <c r="O682" s="3" t="inlineStr">
        <is>
          <t>-</t>
        </is>
      </c>
      <c r="P682" s="3" t="inlineStr">
        <is>
          <t>호이스트 있는 마당넓은 공장입니다.</t>
        </is>
      </c>
      <c r="Q682" s="6">
        <f>HYPERLINK("https://fin.land.naver.com/articles/2648140232", "매물Link")</f>
        <v/>
      </c>
      <c r="R682" s="6">
        <f>HYPERLINK("https://map.naver.com/p/search/세종특별자치시 나성동 829", "지도Link")</f>
        <v/>
      </c>
      <c r="S682" s="6">
        <f>HYPERLINK("http://www.eum.go.kr/web/ar/lu/luLandDet.jsp?pnu=3611010700108290000&amp;isNoScr=script&amp;mode=search", "토지이음")</f>
        <v/>
      </c>
      <c r="T682" s="3" t="inlineStr">
        <is>
          <t>삼익</t>
        </is>
      </c>
      <c r="U682" s="3" t="n">
        <v>1</v>
      </c>
      <c r="V682" s="3" t="inlineStr">
        <is>
          <t>604</t>
        </is>
      </c>
      <c r="W682" s="4" t="n">
        <v>1061</v>
      </c>
      <c r="X682" s="3" t="inlineStr">
        <is>
          <t>철근콘크리트구조</t>
        </is>
      </c>
      <c r="Y682" s="3" t="inlineStr">
        <is>
          <t>공동주택</t>
        </is>
      </c>
      <c r="Z682" s="3" t="inlineStr">
        <is>
          <t>38.30m</t>
        </is>
      </c>
      <c r="AA682" s="3" t="inlineStr">
        <is>
          <t>2021-08-20</t>
        </is>
      </c>
    </row>
    <row r="683">
      <c r="A683" s="3" t="inlineStr">
        <is>
          <t>세종특별자치시 나성동 829</t>
        </is>
      </c>
      <c r="B683" s="3" t="inlineStr">
        <is>
          <t>중심상업지역</t>
        </is>
      </c>
      <c r="C683" s="3" t="inlineStr">
        <is>
          <t>대</t>
        </is>
      </c>
      <c r="D683" s="3" t="inlineStr">
        <is>
          <t>공장</t>
        </is>
      </c>
      <c r="E683" s="3" t="inlineStr">
        <is>
          <t>월세</t>
        </is>
      </c>
      <c r="F683" s="4" t="n">
        <v>2000</v>
      </c>
      <c r="G683" s="4" t="n">
        <v>160</v>
      </c>
      <c r="H683" s="4" t="n">
        <v>320</v>
      </c>
      <c r="I683" s="4" t="n">
        <v>97</v>
      </c>
      <c r="J683" s="5" t="n">
        <v>1.6</v>
      </c>
      <c r="K683" s="4" t="n">
        <v>262</v>
      </c>
      <c r="L683" s="4" t="n">
        <v>79</v>
      </c>
      <c r="M683" s="5" t="n">
        <v>2</v>
      </c>
      <c r="N683" s="3" t="inlineStr">
        <is>
          <t>2</t>
        </is>
      </c>
      <c r="O683" s="3" t="inlineStr">
        <is>
          <t>-</t>
        </is>
      </c>
      <c r="P683" s="3" t="inlineStr">
        <is>
          <t>nan</t>
        </is>
      </c>
      <c r="Q683" s="6">
        <f>HYPERLINK("https://fin.land.naver.com/articles/2646685659", "매물Link")</f>
        <v/>
      </c>
      <c r="R683" s="6">
        <f>HYPERLINK("https://map.naver.com/p/search/세종특별자치시 나성동 829", "지도Link")</f>
        <v/>
      </c>
      <c r="S683" s="6">
        <f>HYPERLINK("http://www.eum.go.kr/web/ar/lu/luLandDet.jsp?pnu=3611010700108290000&amp;isNoScr=script&amp;mode=search", "토지이음")</f>
        <v/>
      </c>
      <c r="T683" s="3" t="inlineStr">
        <is>
          <t>성지</t>
        </is>
      </c>
      <c r="U683" s="3" t="n">
        <v>1</v>
      </c>
      <c r="V683" s="3" t="inlineStr">
        <is>
          <t>근린생활시설 기계실</t>
        </is>
      </c>
      <c r="W683" s="4" t="n">
        <v>262</v>
      </c>
      <c r="X683" s="3" t="inlineStr">
        <is>
          <t>철근콘크리트구조</t>
        </is>
      </c>
      <c r="Y683" s="3" t="inlineStr">
        <is>
          <t>제2종근린생활시설</t>
        </is>
      </c>
      <c r="Z683" s="3" t="inlineStr">
        <is>
          <t>-m</t>
        </is>
      </c>
      <c r="AA683" s="3" t="inlineStr">
        <is>
          <t>2021-08-20</t>
        </is>
      </c>
    </row>
    <row r="684">
      <c r="A684" s="3" t="inlineStr">
        <is>
          <t>세종특별자치시 나성동 829</t>
        </is>
      </c>
      <c r="B684" s="3" t="inlineStr">
        <is>
          <t>중심상업지역</t>
        </is>
      </c>
      <c r="C684" s="3" t="inlineStr">
        <is>
          <t>대</t>
        </is>
      </c>
      <c r="D684" s="3" t="inlineStr">
        <is>
          <t>공장</t>
        </is>
      </c>
      <c r="E684" s="3" t="inlineStr">
        <is>
          <t>매매</t>
        </is>
      </c>
      <c r="F684" s="4" t="n">
        <v>155000</v>
      </c>
      <c r="G684" s="4" t="n">
        <v>0</v>
      </c>
      <c r="H684" s="4" t="n">
        <v>760</v>
      </c>
      <c r="I684" s="4" t="n">
        <v>230</v>
      </c>
      <c r="J684" s="5" t="n">
        <v>673.9</v>
      </c>
      <c r="K684" s="4" t="n">
        <v>456</v>
      </c>
      <c r="L684" s="4" t="n">
        <v>138</v>
      </c>
      <c r="M684" s="5" t="n">
        <v>1123.2</v>
      </c>
      <c r="N684" s="3" t="inlineStr">
        <is>
          <t>1</t>
        </is>
      </c>
      <c r="O684" s="3" t="inlineStr">
        <is>
          <t>-</t>
        </is>
      </c>
      <c r="P684" s="3" t="inlineStr">
        <is>
          <t>실사용 좋은 공장 호이스트2대 설치 공장매매</t>
        </is>
      </c>
      <c r="Q684" s="6">
        <f>HYPERLINK("https://fin.land.naver.com/articles/2646208228", "매물Link")</f>
        <v/>
      </c>
      <c r="R684" s="6">
        <f>HYPERLINK("https://map.naver.com/p/search/세종특별자치시 나성동 829", "지도Link")</f>
        <v/>
      </c>
      <c r="S684" s="6">
        <f>HYPERLINK("http://www.eum.go.kr/web/ar/lu/luLandDet.jsp?pnu=3611010700108290000&amp;isNoScr=script&amp;mode=search", "토지이음")</f>
        <v/>
      </c>
      <c r="T684" s="3" t="inlineStr">
        <is>
          <t>삼익</t>
        </is>
      </c>
      <c r="U684" s="3" t="n">
        <v>1</v>
      </c>
      <c r="V684" s="3" t="inlineStr">
        <is>
          <t>전망공간 기계실</t>
        </is>
      </c>
      <c r="W684" s="4" t="n">
        <v>456</v>
      </c>
      <c r="X684" s="3" t="inlineStr">
        <is>
          <t>철근콘크리트구조</t>
        </is>
      </c>
      <c r="Y684" s="3" t="inlineStr">
        <is>
          <t>제2종근린생활시설</t>
        </is>
      </c>
      <c r="Z684" s="3" t="inlineStr">
        <is>
          <t>-m</t>
        </is>
      </c>
      <c r="AA684" s="3" t="inlineStr">
        <is>
          <t>2021-08-20</t>
        </is>
      </c>
    </row>
    <row r="685">
      <c r="A685" s="3" t="inlineStr">
        <is>
          <t>세종특별자치시 나성동 829</t>
        </is>
      </c>
      <c r="B685" s="3" t="inlineStr">
        <is>
          <t>중심상업지역</t>
        </is>
      </c>
      <c r="C685" s="3" t="inlineStr">
        <is>
          <t>대</t>
        </is>
      </c>
      <c r="D685" s="3" t="inlineStr">
        <is>
          <t>공장</t>
        </is>
      </c>
      <c r="E685" s="3" t="inlineStr">
        <is>
          <t>월세</t>
        </is>
      </c>
      <c r="F685" s="4" t="n">
        <v>2000</v>
      </c>
      <c r="G685" s="4" t="n">
        <v>170</v>
      </c>
      <c r="H685" s="4" t="n">
        <v>400</v>
      </c>
      <c r="I685" s="4" t="n">
        <v>121</v>
      </c>
      <c r="J685" s="5" t="n">
        <v>1.4</v>
      </c>
      <c r="K685" s="4" t="n">
        <v>195</v>
      </c>
      <c r="L685" s="4" t="n">
        <v>59</v>
      </c>
      <c r="M685" s="5" t="n">
        <v>2.9</v>
      </c>
      <c r="N685" s="3" t="inlineStr">
        <is>
          <t>1</t>
        </is>
      </c>
      <c r="O685" s="3" t="inlineStr">
        <is>
          <t>-</t>
        </is>
      </c>
      <c r="P685" s="3" t="inlineStr">
        <is>
          <t>신축건물,</t>
        </is>
      </c>
      <c r="Q685" s="6">
        <f>HYPERLINK("https://fin.land.naver.com/articles/2650092815", "매물Link")</f>
        <v/>
      </c>
      <c r="R685" s="6">
        <f>HYPERLINK("https://map.naver.com/p/search/세종특별자치시 나성동 829", "지도Link")</f>
        <v/>
      </c>
      <c r="S685" s="6">
        <f>HYPERLINK("http://www.eum.go.kr/web/ar/lu/luLandDet.jsp?pnu=3611010700108290000&amp;isNoScr=script&amp;mode=search", "토지이음")</f>
        <v/>
      </c>
      <c r="T685" s="3" t="inlineStr">
        <is>
          <t>산업</t>
        </is>
      </c>
      <c r="U685" s="3" t="n">
        <v>1</v>
      </c>
      <c r="V685" s="3" t="inlineStr">
        <is>
          <t>공동주택 주민공동시설</t>
        </is>
      </c>
      <c r="W685" s="4" t="n">
        <v>195</v>
      </c>
      <c r="X685" s="3" t="inlineStr">
        <is>
          <t>철근콘크리트구조</t>
        </is>
      </c>
      <c r="Y685" s="3" t="inlineStr">
        <is>
          <t>공동주택</t>
        </is>
      </c>
      <c r="Z685" s="3" t="inlineStr">
        <is>
          <t>-m</t>
        </is>
      </c>
      <c r="AA685" s="3" t="inlineStr">
        <is>
          <t>2021-08-20</t>
        </is>
      </c>
    </row>
    <row r="686">
      <c r="A686" s="3" t="inlineStr">
        <is>
          <t>세종특별자치시 나성동 829</t>
        </is>
      </c>
      <c r="B686" s="3" t="inlineStr">
        <is>
          <t>중심상업지역</t>
        </is>
      </c>
      <c r="C686" s="3" t="inlineStr">
        <is>
          <t>대</t>
        </is>
      </c>
      <c r="D686" s="3" t="inlineStr">
        <is>
          <t>공장</t>
        </is>
      </c>
      <c r="E686" s="3" t="inlineStr">
        <is>
          <t>매매</t>
        </is>
      </c>
      <c r="F686" s="4" t="n">
        <v>520000</v>
      </c>
      <c r="G686" s="4" t="n">
        <v>0</v>
      </c>
      <c r="H686" s="4" t="n">
        <v>3786</v>
      </c>
      <c r="I686" s="4" t="n">
        <v>1145</v>
      </c>
      <c r="J686" s="5" t="n">
        <v>454.1</v>
      </c>
      <c r="K686" s="4" t="n">
        <v>1858</v>
      </c>
      <c r="L686" s="4" t="n">
        <v>562</v>
      </c>
      <c r="M686" s="5" t="n">
        <v>925.3</v>
      </c>
      <c r="N686" s="3" t="inlineStr">
        <is>
          <t>2</t>
        </is>
      </c>
      <c r="O686" s="3" t="inlineStr">
        <is>
          <t>-</t>
        </is>
      </c>
      <c r="P686" s="3" t="inlineStr">
        <is>
          <t>신탄진 평촌동 공단에 위치한 공장매매, 동력 940Kw</t>
        </is>
      </c>
      <c r="Q686" s="6">
        <f>HYPERLINK("https://fin.land.naver.com/articles/2648840999", "매물Link")</f>
        <v/>
      </c>
      <c r="R686" s="6">
        <f>HYPERLINK("https://map.naver.com/p/search/세종특별자치시 나성동 829", "지도Link")</f>
        <v/>
      </c>
      <c r="S686" s="6">
        <f>HYPERLINK("http://www.eum.go.kr/web/ar/lu/luLandDet.jsp?pnu=3611010700108290000&amp;isNoScr=script&amp;mode=search", "토지이음")</f>
        <v/>
      </c>
      <c r="T686" s="3" t="inlineStr">
        <is>
          <t>엘크루</t>
        </is>
      </c>
      <c r="U686" s="3" t="n">
        <v>1</v>
      </c>
      <c r="V686" s="3" t="inlineStr">
        <is>
          <t>901(전망공간)</t>
        </is>
      </c>
      <c r="W686" s="4" t="n">
        <v>1858</v>
      </c>
      <c r="X686" s="3" t="inlineStr">
        <is>
          <t>철근콘크리트구조</t>
        </is>
      </c>
      <c r="Y686" s="3" t="inlineStr">
        <is>
          <t>제2종근린생활시설</t>
        </is>
      </c>
      <c r="Z686" s="3" t="inlineStr">
        <is>
          <t>-m</t>
        </is>
      </c>
      <c r="AA686" s="3" t="inlineStr">
        <is>
          <t>2021-08-20</t>
        </is>
      </c>
    </row>
    <row r="687">
      <c r="A687" s="3" t="inlineStr">
        <is>
          <t>세종특별자치시 나성동 829</t>
        </is>
      </c>
      <c r="B687" s="3" t="inlineStr">
        <is>
          <t>중심상업지역</t>
        </is>
      </c>
      <c r="C687" s="3" t="inlineStr">
        <is>
          <t>대</t>
        </is>
      </c>
      <c r="D687" s="3" t="inlineStr">
        <is>
          <t>공장</t>
        </is>
      </c>
      <c r="E687" s="3" t="inlineStr">
        <is>
          <t>매매</t>
        </is>
      </c>
      <c r="F687" s="4" t="n">
        <v>130000</v>
      </c>
      <c r="G687" s="4" t="n">
        <v>0</v>
      </c>
      <c r="H687" s="4" t="n">
        <v>690</v>
      </c>
      <c r="I687" s="4" t="n">
        <v>209</v>
      </c>
      <c r="J687" s="5" t="n">
        <v>622</v>
      </c>
      <c r="K687" s="4" t="n">
        <v>497</v>
      </c>
      <c r="L687" s="4" t="n">
        <v>150</v>
      </c>
      <c r="M687" s="5" t="n">
        <v>866.7</v>
      </c>
      <c r="N687" s="3" t="inlineStr">
        <is>
          <t>1</t>
        </is>
      </c>
      <c r="O687" s="3" t="inlineStr">
        <is>
          <t>-</t>
        </is>
      </c>
      <c r="P687" s="3" t="inlineStr">
        <is>
          <t>nan</t>
        </is>
      </c>
      <c r="Q687" s="6">
        <f>HYPERLINK("https://fin.land.naver.com/articles/2646279838", "매물Link")</f>
        <v/>
      </c>
      <c r="R687" s="6">
        <f>HYPERLINK("https://map.naver.com/p/search/세종특별자치시 나성동 829", "지도Link")</f>
        <v/>
      </c>
      <c r="S687" s="6">
        <f>HYPERLINK("http://www.eum.go.kr/web/ar/lu/luLandDet.jsp?pnu=3611010700108290000&amp;isNoScr=script&amp;mode=search", "토지이음")</f>
        <v/>
      </c>
      <c r="T687" s="3" t="inlineStr">
        <is>
          <t>공장전문(주)</t>
        </is>
      </c>
      <c r="U687" s="3" t="n">
        <v>1</v>
      </c>
      <c r="V687" s="3" t="inlineStr">
        <is>
          <t>전망공간 기계실</t>
        </is>
      </c>
      <c r="W687" s="4" t="n">
        <v>497</v>
      </c>
      <c r="X687" s="3" t="inlineStr">
        <is>
          <t>철근콘크리트구조</t>
        </is>
      </c>
      <c r="Y687" s="3" t="inlineStr">
        <is>
          <t>제2종근린생활시설</t>
        </is>
      </c>
      <c r="Z687" s="3" t="inlineStr">
        <is>
          <t>-m</t>
        </is>
      </c>
      <c r="AA687" s="3" t="inlineStr">
        <is>
          <t>2021-08-20</t>
        </is>
      </c>
    </row>
    <row r="688">
      <c r="A688" s="3" t="inlineStr">
        <is>
          <t>세종특별자치시 나성동 829</t>
        </is>
      </c>
      <c r="B688" s="3" t="inlineStr">
        <is>
          <t>중심상업지역</t>
        </is>
      </c>
      <c r="C688" s="3" t="inlineStr">
        <is>
          <t>대</t>
        </is>
      </c>
      <c r="D688" s="3" t="inlineStr">
        <is>
          <t>창고</t>
        </is>
      </c>
      <c r="E688" s="3" t="inlineStr">
        <is>
          <t>매매</t>
        </is>
      </c>
      <c r="F688" s="4" t="n">
        <v>30000</v>
      </c>
      <c r="G688" s="4" t="n">
        <v>0</v>
      </c>
      <c r="H688" s="4" t="n">
        <v>172</v>
      </c>
      <c r="I688" s="4" t="n">
        <v>52</v>
      </c>
      <c r="J688" s="5" t="n">
        <v>576.9</v>
      </c>
      <c r="K688" s="4" t="n">
        <v>99</v>
      </c>
      <c r="L688" s="4" t="n">
        <v>30</v>
      </c>
      <c r="M688" s="5" t="n">
        <v>1000</v>
      </c>
      <c r="N688" s="3" t="inlineStr">
        <is>
          <t>1</t>
        </is>
      </c>
      <c r="O688" s="3" t="inlineStr">
        <is>
          <t>-</t>
        </is>
      </c>
      <c r="P688" s="3" t="inlineStr">
        <is>
          <t>nan</t>
        </is>
      </c>
      <c r="Q688" s="6">
        <f>HYPERLINK("https://fin.land.naver.com/articles/2645164359", "매물Link")</f>
        <v/>
      </c>
      <c r="R688" s="6">
        <f>HYPERLINK("https://map.naver.com/p/search/세종특별자치시 나성동 829", "지도Link")</f>
        <v/>
      </c>
      <c r="S688" s="6">
        <f>HYPERLINK("http://www.eum.go.kr/web/ar/lu/luLandDet.jsp?pnu=3611010700108290000&amp;isNoScr=script&amp;mode=search", "토지이음")</f>
        <v/>
      </c>
      <c r="T688" s="3" t="inlineStr">
        <is>
          <t>웰컴</t>
        </is>
      </c>
      <c r="U688" s="3" t="n">
        <v>1</v>
      </c>
      <c r="V688" s="3" t="inlineStr">
        <is>
          <t>공동주택 연결통로</t>
        </is>
      </c>
      <c r="W688" s="4" t="n">
        <v>99</v>
      </c>
      <c r="X688" s="3" t="inlineStr">
        <is>
          <t>철근콘크리트구조</t>
        </is>
      </c>
      <c r="Y688" s="3" t="inlineStr">
        <is>
          <t>공동주택</t>
        </is>
      </c>
      <c r="Z688" s="3" t="inlineStr">
        <is>
          <t>-m</t>
        </is>
      </c>
      <c r="AA688" s="3" t="inlineStr">
        <is>
          <t>2021-08-20</t>
        </is>
      </c>
    </row>
    <row r="689">
      <c r="A689" s="3" t="inlineStr">
        <is>
          <t>세종특별자치시 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4m 도로에 접, 신축창고 층고 3~5m</t>
        </is>
      </c>
      <c r="Q689" s="6">
        <f>HYPERLINK("https://fin.land.naver.com/articles/2644483032", "매물Link")</f>
        <v/>
      </c>
      <c r="R689" s="6">
        <f>HYPERLINK("https://map.naver.com/p/search/세종특별자치시 나성동 829", "지도Link")</f>
        <v/>
      </c>
      <c r="S689" s="6">
        <f>HYPERLINK("http://www.eum.go.kr/web/ar/lu/luLandDet.jsp?pnu=3611010700108290000&amp;isNoScr=script&amp;mode=search", "토지이음")</f>
        <v/>
      </c>
      <c r="T689" s="3" t="inlineStr">
        <is>
          <t>산업</t>
        </is>
      </c>
      <c r="U689" s="3" t="n">
        <v>1</v>
      </c>
      <c r="V689" s="3" t="inlineStr">
        <is>
          <t>공동주택 연결통로</t>
        </is>
      </c>
      <c r="W689" s="4" t="n">
        <v>99</v>
      </c>
      <c r="X689" s="3" t="inlineStr">
        <is>
          <t>철근콘크리트구조</t>
        </is>
      </c>
      <c r="Y689" s="3" t="inlineStr">
        <is>
          <t>공동주택</t>
        </is>
      </c>
      <c r="Z689" s="3" t="inlineStr">
        <is>
          <t>-m</t>
        </is>
      </c>
      <c r="AA689" s="3" t="inlineStr">
        <is>
          <t>2021-08-20</t>
        </is>
      </c>
    </row>
    <row r="690">
      <c r="A690" s="3" t="inlineStr">
        <is>
          <t>세종특별자치시 나성동 829</t>
        </is>
      </c>
      <c r="B690" s="3" t="inlineStr">
        <is>
          <t>중심상업지역</t>
        </is>
      </c>
      <c r="C690" s="3" t="inlineStr">
        <is>
          <t>대</t>
        </is>
      </c>
      <c r="D690" s="3" t="inlineStr">
        <is>
          <t>창고</t>
        </is>
      </c>
      <c r="E690" s="3" t="inlineStr">
        <is>
          <t>월세</t>
        </is>
      </c>
      <c r="F690" s="4" t="n">
        <v>900</v>
      </c>
      <c r="G690" s="4" t="n">
        <v>90</v>
      </c>
      <c r="H690" s="4" t="n">
        <v>660</v>
      </c>
      <c r="I690" s="4" t="n">
        <v>200</v>
      </c>
      <c r="J690" s="5" t="n">
        <v>0.5</v>
      </c>
      <c r="K690" s="4" t="n">
        <v>198</v>
      </c>
      <c r="L690" s="4" t="n">
        <v>60</v>
      </c>
      <c r="M690" s="5" t="n">
        <v>1.5</v>
      </c>
      <c r="N690" s="3" t="inlineStr">
        <is>
          <t>1</t>
        </is>
      </c>
      <c r="O690" s="3" t="inlineStr">
        <is>
          <t>-</t>
        </is>
      </c>
      <c r="P690" s="3" t="inlineStr">
        <is>
          <t>현재공실 즉시입주가능 넓은마당 다 사용가능 창고공장 모두 가</t>
        </is>
      </c>
      <c r="Q690" s="6">
        <f>HYPERLINK("https://fin.land.naver.com/articles/2647626458", "매물Link")</f>
        <v/>
      </c>
      <c r="R690" s="6">
        <f>HYPERLINK("https://map.naver.com/p/search/세종특별자치시 나성동 829", "지도Link")</f>
        <v/>
      </c>
      <c r="S690" s="6">
        <f>HYPERLINK("http://www.eum.go.kr/web/ar/lu/luLandDet.jsp?pnu=3611010700108290000&amp;isNoScr=script&amp;mode=search", "토지이음")</f>
        <v/>
      </c>
      <c r="T690" s="3" t="inlineStr">
        <is>
          <t>탑</t>
        </is>
      </c>
      <c r="U690" s="3" t="n">
        <v>1</v>
      </c>
      <c r="V690" s="3" t="inlineStr">
        <is>
          <t>공동주택 주민공동시설</t>
        </is>
      </c>
      <c r="W690" s="4" t="n">
        <v>198</v>
      </c>
      <c r="X690" s="3" t="inlineStr">
        <is>
          <t>철근콘크리트구조</t>
        </is>
      </c>
      <c r="Y690" s="3" t="inlineStr">
        <is>
          <t>공동주택</t>
        </is>
      </c>
      <c r="Z690" s="3" t="inlineStr">
        <is>
          <t>-m</t>
        </is>
      </c>
      <c r="AA690" s="3" t="inlineStr">
        <is>
          <t>2021-08-20</t>
        </is>
      </c>
    </row>
    <row r="691">
      <c r="A691" s="3" t="inlineStr">
        <is>
          <t>세종특별자치시 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HYPERLINK("https://map.naver.com/p/search/세종특별자치시 나성동 829", "지도Link")</f>
        <v/>
      </c>
      <c r="S691" s="6">
        <f>HYPERLINK("http://www.eum.go.kr/web/ar/lu/luLandDet.jsp?pnu=3611010700108290000&amp;isNoScr=script&amp;mode=search", "토지이음")</f>
        <v/>
      </c>
      <c r="T691" s="3" t="inlineStr">
        <is>
          <t>운산</t>
        </is>
      </c>
      <c r="U691" s="3" t="n">
        <v>1</v>
      </c>
      <c r="V691" s="3" t="inlineStr">
        <is>
          <t>605</t>
        </is>
      </c>
      <c r="W691" s="4" t="n">
        <v>1286</v>
      </c>
      <c r="X691" s="3" t="inlineStr">
        <is>
          <t>철근콘크리트구조</t>
        </is>
      </c>
      <c r="Y691" s="3" t="inlineStr">
        <is>
          <t>공동주택</t>
        </is>
      </c>
      <c r="Z691" s="3" t="inlineStr">
        <is>
          <t>45.30m</t>
        </is>
      </c>
      <c r="AA691" s="3" t="inlineStr">
        <is>
          <t>2021-08-20</t>
        </is>
      </c>
    </row>
    <row r="692">
      <c r="A692" s="3" t="inlineStr">
        <is>
          <t>세종특별자치시 나성동 829</t>
        </is>
      </c>
      <c r="B692" s="3" t="inlineStr">
        <is>
          <t>중심상업지역</t>
        </is>
      </c>
      <c r="C692" s="3" t="inlineStr">
        <is>
          <t>대</t>
        </is>
      </c>
      <c r="D692" s="3" t="inlineStr">
        <is>
          <t>공장</t>
        </is>
      </c>
      <c r="E692" s="3" t="inlineStr">
        <is>
          <t>월세</t>
        </is>
      </c>
      <c r="F692" s="4" t="n">
        <v>1000</v>
      </c>
      <c r="G692" s="4" t="n">
        <v>140</v>
      </c>
      <c r="H692" s="4" t="n">
        <v>1045</v>
      </c>
      <c r="I692" s="4" t="n">
        <v>316</v>
      </c>
      <c r="J692" s="5" t="n">
        <v>0.4</v>
      </c>
      <c r="K692" s="4" t="n">
        <v>430</v>
      </c>
      <c r="L692" s="4" t="n">
        <v>130</v>
      </c>
      <c r="M692" s="5" t="n">
        <v>1.1</v>
      </c>
      <c r="N692" s="3" t="inlineStr">
        <is>
          <t>1</t>
        </is>
      </c>
      <c r="O692" s="3" t="inlineStr">
        <is>
          <t>-</t>
        </is>
      </c>
      <c r="P692" s="3" t="inlineStr">
        <is>
          <t>사진, 서세종IC5분, 호이스트있음, 공장등록가능, 물류창고가능</t>
        </is>
      </c>
      <c r="Q692" s="6">
        <f>HYPERLINK("https://fin.land.naver.com/articles/2648414926", "매물Link")</f>
        <v/>
      </c>
      <c r="R692" s="6">
        <f>HYPERLINK("https://map.naver.com/p/search/세종특별자치시 나성동 829", "지도Link")</f>
        <v/>
      </c>
      <c r="S692" s="6">
        <f>HYPERLINK("http://www.eum.go.kr/web/ar/lu/luLandDet.jsp?pnu=3611010700108290000&amp;isNoScr=script&amp;mode=search", "토지이음")</f>
        <v/>
      </c>
      <c r="T692" s="3" t="inlineStr">
        <is>
          <t>OK허니</t>
        </is>
      </c>
      <c r="U692" s="3" t="n">
        <v>1</v>
      </c>
      <c r="V692" s="3" t="inlineStr">
        <is>
          <t>전망공간 기계실</t>
        </is>
      </c>
      <c r="W692" s="4" t="n">
        <v>430</v>
      </c>
      <c r="X692" s="3" t="inlineStr">
        <is>
          <t>철근콘크리트구조</t>
        </is>
      </c>
      <c r="Y692" s="3" t="inlineStr">
        <is>
          <t>제2종근린생활시설</t>
        </is>
      </c>
      <c r="Z692" s="3" t="inlineStr">
        <is>
          <t>-m</t>
        </is>
      </c>
      <c r="AA692" s="3" t="inlineStr">
        <is>
          <t>2021-08-20</t>
        </is>
      </c>
    </row>
    <row r="693">
      <c r="A693" s="3" t="inlineStr">
        <is>
          <t>세종특별자치시 나성동 829</t>
        </is>
      </c>
      <c r="B693" s="3" t="inlineStr">
        <is>
          <t>중심상업지역</t>
        </is>
      </c>
      <c r="C693" s="3" t="inlineStr">
        <is>
          <t>대</t>
        </is>
      </c>
      <c r="D693" s="3" t="inlineStr">
        <is>
          <t>창고</t>
        </is>
      </c>
      <c r="E693" s="3" t="inlineStr">
        <is>
          <t>월세</t>
        </is>
      </c>
      <c r="F693" s="4" t="n">
        <v>50</v>
      </c>
      <c r="G693" s="4" t="n">
        <v>25</v>
      </c>
      <c r="H693" s="4" t="n">
        <v>20</v>
      </c>
      <c r="I693" s="4" t="n">
        <v>6</v>
      </c>
      <c r="J693" s="5" t="n">
        <v>4.2</v>
      </c>
      <c r="K693" s="4" t="n">
        <v>20</v>
      </c>
      <c r="L693" s="4" t="n">
        <v>6</v>
      </c>
      <c r="M693" s="5" t="n">
        <v>4.2</v>
      </c>
      <c r="N693" s="3" t="inlineStr">
        <is>
          <t>1</t>
        </is>
      </c>
      <c r="O693" s="3" t="inlineStr">
        <is>
          <t>-</t>
        </is>
      </c>
      <c r="P693" s="3" t="inlineStr">
        <is>
          <t>nan</t>
        </is>
      </c>
      <c r="Q693" s="6">
        <f>HYPERLINK("https://fin.land.naver.com/articles/2646173271", "매물Link")</f>
        <v/>
      </c>
      <c r="R693" s="6">
        <f>HYPERLINK("https://map.naver.com/p/search/세종특별자치시 나성동 829", "지도Link")</f>
        <v/>
      </c>
      <c r="S693" s="6">
        <f>HYPERLINK("http://www.eum.go.kr/web/ar/lu/luLandDet.jsp?pnu=3611010700108290000&amp;isNoScr=script&amp;mode=search", "토지이음")</f>
        <v/>
      </c>
      <c r="T693" s="3" t="inlineStr">
        <is>
          <t>신안무소</t>
        </is>
      </c>
      <c r="U693" s="3" t="n">
        <v>1</v>
      </c>
      <c r="V693" s="3" t="inlineStr">
        <is>
          <t>공동주택 경비실</t>
        </is>
      </c>
      <c r="W693" s="4" t="n">
        <v>20</v>
      </c>
      <c r="X693" s="3" t="inlineStr">
        <is>
          <t>철근콘크리트구조</t>
        </is>
      </c>
      <c r="Y693" s="3" t="inlineStr">
        <is>
          <t>공동주택</t>
        </is>
      </c>
      <c r="Z693" s="3" t="inlineStr">
        <is>
          <t>-m</t>
        </is>
      </c>
      <c r="AA693" s="3" t="inlineStr">
        <is>
          <t>2021-08-20</t>
        </is>
      </c>
    </row>
    <row r="694">
      <c r="A694" s="3" t="inlineStr">
        <is>
          <t>세종특별자치시 나성동 829</t>
        </is>
      </c>
      <c r="B694" s="3" t="inlineStr">
        <is>
          <t>중심상업지역</t>
        </is>
      </c>
      <c r="C694" s="3" t="inlineStr">
        <is>
          <t>대</t>
        </is>
      </c>
      <c r="D694" s="3" t="inlineStr">
        <is>
          <t>공장</t>
        </is>
      </c>
      <c r="E694" s="3" t="inlineStr">
        <is>
          <t>월세</t>
        </is>
      </c>
      <c r="F694" s="4" t="n">
        <v>20000</v>
      </c>
      <c r="G694" s="4" t="n">
        <v>0</v>
      </c>
      <c r="H694" s="4" t="n">
        <v>40908</v>
      </c>
      <c r="I694" s="4" t="n">
        <v>12375</v>
      </c>
      <c r="J694" s="5" t="n">
        <v>0</v>
      </c>
      <c r="K694" s="4" t="n">
        <v>6611</v>
      </c>
      <c r="L694" s="4" t="n">
        <v>2000</v>
      </c>
      <c r="M694" s="5" t="n">
        <v>0</v>
      </c>
      <c r="N694" s="3" t="inlineStr">
        <is>
          <t>1</t>
        </is>
      </c>
      <c r="O694" s="3" t="inlineStr">
        <is>
          <t>-</t>
        </is>
      </c>
      <c r="P694" s="3" t="inlineStr">
        <is>
          <t>마당넓은 공장입니다. 큰차 진입 및 회전 수월 창고하실 분 추천</t>
        </is>
      </c>
      <c r="Q694" s="6">
        <f>HYPERLINK("https://fin.land.naver.com/articles/2649569241", "매물Link")</f>
        <v/>
      </c>
      <c r="R694" s="6">
        <f>HYPERLINK("https://map.naver.com/p/search/세종특별자치시 나성동 829", "지도Link")</f>
        <v/>
      </c>
      <c r="S694" s="6">
        <f>HYPERLINK("http://www.eum.go.kr/web/ar/lu/luLandDet.jsp?pnu=3611010700108290000&amp;isNoScr=script&amp;mode=search", "토지이음")</f>
        <v/>
      </c>
      <c r="T694" s="3" t="inlineStr">
        <is>
          <t>삼익</t>
        </is>
      </c>
      <c r="U694" s="3" t="n">
        <v>1</v>
      </c>
      <c r="V694" s="3" t="inlineStr">
        <is>
          <t>802</t>
        </is>
      </c>
      <c r="W694" s="4" t="n">
        <v>6611</v>
      </c>
      <c r="X694" s="3" t="inlineStr">
        <is>
          <t>철근콘크리트구조</t>
        </is>
      </c>
      <c r="Y694" s="3" t="inlineStr">
        <is>
          <t>제2종근린생활시설</t>
        </is>
      </c>
      <c r="Z694" s="3" t="inlineStr">
        <is>
          <t>-m</t>
        </is>
      </c>
      <c r="AA694" s="3" t="inlineStr">
        <is>
          <t>2021-08-20</t>
        </is>
      </c>
    </row>
    <row r="695">
      <c r="A695" s="3" t="inlineStr">
        <is>
          <t>세종특별자치시 나성동 829</t>
        </is>
      </c>
      <c r="B695" s="3" t="inlineStr">
        <is>
          <t>중심상업지역</t>
        </is>
      </c>
      <c r="C695" s="3" t="inlineStr">
        <is>
          <t>대</t>
        </is>
      </c>
      <c r="D695" s="3" t="inlineStr">
        <is>
          <t>공장</t>
        </is>
      </c>
      <c r="E695" s="3" t="inlineStr">
        <is>
          <t>월세</t>
        </is>
      </c>
      <c r="F695" s="4" t="n">
        <v>4000</v>
      </c>
      <c r="G695" s="4" t="n">
        <v>280</v>
      </c>
      <c r="H695" s="4" t="n">
        <v>330</v>
      </c>
      <c r="I695" s="4" t="n">
        <v>100</v>
      </c>
      <c r="J695" s="5" t="n">
        <v>2.8</v>
      </c>
      <c r="K695" s="4" t="n">
        <v>300</v>
      </c>
      <c r="L695" s="4" t="n">
        <v>91</v>
      </c>
      <c r="M695" s="5" t="n">
        <v>3.1</v>
      </c>
      <c r="N695" s="3" t="inlineStr">
        <is>
          <t>1</t>
        </is>
      </c>
      <c r="O695" s="3" t="inlineStr">
        <is>
          <t>-</t>
        </is>
      </c>
      <c r="P695" s="3" t="inlineStr">
        <is>
          <t>층고 7m, 호이스트  전기 30kw</t>
        </is>
      </c>
      <c r="Q695" s="6">
        <f>HYPERLINK("https://fin.land.naver.com/articles/2645581453", "매물Link")</f>
        <v/>
      </c>
      <c r="R695" s="6">
        <f>HYPERLINK("https://map.naver.com/p/search/세종특별자치시 나성동 829", "지도Link")</f>
        <v/>
      </c>
      <c r="S695" s="6">
        <f>HYPERLINK("http://www.eum.go.kr/web/ar/lu/luLandDet.jsp?pnu=3611010700108290000&amp;isNoScr=script&amp;mode=search", "토지이음")</f>
        <v/>
      </c>
      <c r="T695" s="3" t="inlineStr">
        <is>
          <t>산업</t>
        </is>
      </c>
      <c r="U695" s="3" t="n">
        <v>1</v>
      </c>
      <c r="V695" s="3" t="inlineStr">
        <is>
          <t>801</t>
        </is>
      </c>
      <c r="W695" s="4" t="n">
        <v>300</v>
      </c>
      <c r="X695" s="3" t="inlineStr">
        <is>
          <t>철근콘크리트구조</t>
        </is>
      </c>
      <c r="Y695" s="3" t="inlineStr">
        <is>
          <t>제2종근린생활시설</t>
        </is>
      </c>
      <c r="Z695" s="3" t="inlineStr">
        <is>
          <t>-m</t>
        </is>
      </c>
      <c r="AA695" s="3" t="inlineStr">
        <is>
          <t>2021-08-20</t>
        </is>
      </c>
    </row>
    <row r="696">
      <c r="A696" s="3" t="inlineStr">
        <is>
          <t>세종특별자치시 나성동 829</t>
        </is>
      </c>
      <c r="B696" s="3" t="inlineStr">
        <is>
          <t>중심상업지역</t>
        </is>
      </c>
      <c r="C696" s="3" t="inlineStr">
        <is>
          <t>대</t>
        </is>
      </c>
      <c r="D696" s="3" t="inlineStr">
        <is>
          <t>공장</t>
        </is>
      </c>
      <c r="E696" s="3" t="inlineStr">
        <is>
          <t>매매</t>
        </is>
      </c>
      <c r="F696" s="4" t="n">
        <v>1000000</v>
      </c>
      <c r="G696" s="4" t="n">
        <v>0</v>
      </c>
      <c r="H696" s="4" t="n">
        <v>6560</v>
      </c>
      <c r="I696" s="4" t="n">
        <v>1984</v>
      </c>
      <c r="J696" s="5" t="n">
        <v>504</v>
      </c>
      <c r="K696" s="4" t="n">
        <v>4115</v>
      </c>
      <c r="L696" s="4" t="n">
        <v>1245</v>
      </c>
      <c r="M696" s="5" t="n">
        <v>803.2</v>
      </c>
      <c r="N696" s="3" t="inlineStr">
        <is>
          <t>2</t>
        </is>
      </c>
      <c r="O696" s="3" t="inlineStr">
        <is>
          <t>B1</t>
        </is>
      </c>
      <c r="P696" s="3" t="inlineStr">
        <is>
          <t>도심에 인접한 공장, 창고 등 활용가능한 관리 잘된 공장</t>
        </is>
      </c>
      <c r="Q696" s="6">
        <f>HYPERLINK("https://fin.land.naver.com/articles/2649996834", "매물Link")</f>
        <v/>
      </c>
      <c r="R696" s="6">
        <f>HYPERLINK("https://map.naver.com/p/search/세종특별자치시 나성동 829", "지도Link")</f>
        <v/>
      </c>
      <c r="S696" s="6">
        <f>HYPERLINK("http://www.eum.go.kr/web/ar/lu/luLandDet.jsp?pnu=3611010700108290000&amp;isNoScr=script&amp;mode=search", "토지이음")</f>
        <v/>
      </c>
      <c r="T696" s="3" t="inlineStr">
        <is>
          <t>(주)미르</t>
        </is>
      </c>
      <c r="U696" s="3" t="n">
        <v>2</v>
      </c>
      <c r="V696" s="3" t="inlineStr">
        <is>
          <t>802</t>
        </is>
      </c>
      <c r="W696" s="4" t="n">
        <v>4115</v>
      </c>
      <c r="X696" s="3" t="inlineStr">
        <is>
          <t>철근콘크리트구조</t>
        </is>
      </c>
      <c r="Y696" s="3" t="inlineStr">
        <is>
          <t>제2종근린생활시설</t>
        </is>
      </c>
      <c r="Z696" s="3" t="inlineStr">
        <is>
          <t>-m</t>
        </is>
      </c>
      <c r="AA696" s="3" t="inlineStr">
        <is>
          <t>2021-08-20</t>
        </is>
      </c>
    </row>
    <row r="697">
      <c r="A697" s="3" t="inlineStr">
        <is>
          <t>세종특별자치시 나성동 829</t>
        </is>
      </c>
      <c r="B697" s="3" t="inlineStr">
        <is>
          <t>중심상업지역</t>
        </is>
      </c>
      <c r="C697" s="3" t="inlineStr">
        <is>
          <t>대</t>
        </is>
      </c>
      <c r="D697" s="3" t="inlineStr">
        <is>
          <t>창고</t>
        </is>
      </c>
      <c r="E697" s="3" t="inlineStr">
        <is>
          <t>매매</t>
        </is>
      </c>
      <c r="F697" s="4" t="n">
        <v>55000</v>
      </c>
      <c r="G697" s="4" t="n">
        <v>0</v>
      </c>
      <c r="H697" s="4" t="n">
        <v>383</v>
      </c>
      <c r="I697" s="4" t="n">
        <v>116</v>
      </c>
      <c r="J697" s="5" t="n">
        <v>474.1</v>
      </c>
      <c r="K697" s="4" t="n">
        <v>65</v>
      </c>
      <c r="L697" s="4" t="n">
        <v>20</v>
      </c>
      <c r="M697" s="5" t="n">
        <v>2750</v>
      </c>
      <c r="N697" s="3" t="inlineStr">
        <is>
          <t>1</t>
        </is>
      </c>
      <c r="O697" s="3" t="inlineStr">
        <is>
          <t>-</t>
        </is>
      </c>
      <c r="P697" s="3" t="inlineStr">
        <is>
          <t>많은 호재속에 있는 투자 가치 높은 창고 매매</t>
        </is>
      </c>
      <c r="Q697" s="6">
        <f>HYPERLINK("https://fin.land.naver.com/articles/2647226391", "매물Link")</f>
        <v/>
      </c>
      <c r="R697" s="6">
        <f>HYPERLINK("https://map.naver.com/p/search/세종특별자치시 나성동 829", "지도Link")</f>
        <v/>
      </c>
      <c r="S697" s="6">
        <f>HYPERLINK("http://www.eum.go.kr/web/ar/lu/luLandDet.jsp?pnu=3611010700108290000&amp;isNoScr=script&amp;mode=search", "토지이음")</f>
        <v/>
      </c>
      <c r="T697" s="3" t="inlineStr">
        <is>
          <t>왕중왕기업</t>
        </is>
      </c>
      <c r="U697" s="3" t="n">
        <v>1</v>
      </c>
      <c r="V697" s="3" t="inlineStr">
        <is>
          <t>공동주택 방재실</t>
        </is>
      </c>
      <c r="W697" s="4" t="n">
        <v>65</v>
      </c>
      <c r="X697" s="3" t="inlineStr">
        <is>
          <t>철근콘크리트구조</t>
        </is>
      </c>
      <c r="Y697" s="3" t="inlineStr">
        <is>
          <t>공동주택</t>
        </is>
      </c>
      <c r="Z697" s="3" t="inlineStr">
        <is>
          <t>-m</t>
        </is>
      </c>
      <c r="AA697" s="3" t="inlineStr">
        <is>
          <t>2021-08-20</t>
        </is>
      </c>
    </row>
    <row r="698">
      <c r="A698" s="3" t="inlineStr">
        <is>
          <t>세종특별자치시 나성동 829</t>
        </is>
      </c>
      <c r="B698" s="3" t="inlineStr">
        <is>
          <t>중심상업지역</t>
        </is>
      </c>
      <c r="C698" s="3" t="inlineStr">
        <is>
          <t>대</t>
        </is>
      </c>
      <c r="D698" s="3" t="inlineStr">
        <is>
          <t>공장</t>
        </is>
      </c>
      <c r="E698" s="3" t="inlineStr">
        <is>
          <t>매매</t>
        </is>
      </c>
      <c r="F698" s="4" t="n">
        <v>1000000</v>
      </c>
      <c r="G698" s="4" t="n">
        <v>0</v>
      </c>
      <c r="H698" s="4" t="n">
        <v>6560</v>
      </c>
      <c r="I698" s="4" t="n">
        <v>1984</v>
      </c>
      <c r="J698" s="5" t="n">
        <v>504</v>
      </c>
      <c r="K698" s="4" t="n">
        <v>2925</v>
      </c>
      <c r="L698" s="4" t="n">
        <v>885</v>
      </c>
      <c r="M698" s="5" t="n">
        <v>1129.9</v>
      </c>
      <c r="N698" s="3" t="inlineStr">
        <is>
          <t>2</t>
        </is>
      </c>
      <c r="O698" s="3" t="inlineStr">
        <is>
          <t>B2</t>
        </is>
      </c>
      <c r="P698" s="3" t="inlineStr">
        <is>
          <t>읍내동 일반공업지역.대도로변광고효과최상.대형차진입가능</t>
        </is>
      </c>
      <c r="Q698" s="6">
        <f>HYPERLINK("https://fin.land.naver.com/articles/2647138016", "매물Link")</f>
        <v/>
      </c>
      <c r="R698" s="6">
        <f>HYPERLINK("https://map.naver.com/p/search/세종특별자치시 나성동 829", "지도Link")</f>
        <v/>
      </c>
      <c r="S698" s="6">
        <f>HYPERLINK("http://www.eum.go.kr/web/ar/lu/luLandDet.jsp?pnu=3611010700108290000&amp;isNoScr=script&amp;mode=search", "토지이음")</f>
        <v/>
      </c>
      <c r="T698" s="3" t="inlineStr">
        <is>
          <t>한솔</t>
        </is>
      </c>
      <c r="U698" s="3" t="n">
        <v>1</v>
      </c>
      <c r="V698" s="3" t="inlineStr">
        <is>
          <t>802</t>
        </is>
      </c>
      <c r="W698" s="4" t="n">
        <v>2925</v>
      </c>
      <c r="X698" s="3" t="inlineStr">
        <is>
          <t>철근콘크리트구조</t>
        </is>
      </c>
      <c r="Y698" s="3" t="inlineStr">
        <is>
          <t>제2종근린생활시설</t>
        </is>
      </c>
      <c r="Z698" s="3" t="inlineStr">
        <is>
          <t>-m</t>
        </is>
      </c>
      <c r="AA698" s="3" t="inlineStr">
        <is>
          <t>2021-08-20</t>
        </is>
      </c>
    </row>
    <row r="699">
      <c r="A699" s="3" t="inlineStr">
        <is>
          <t>세종특별자치시 나성동 829</t>
        </is>
      </c>
      <c r="B699" s="3" t="inlineStr">
        <is>
          <t>중심상업지역</t>
        </is>
      </c>
      <c r="C699" s="3" t="inlineStr">
        <is>
          <t>대</t>
        </is>
      </c>
      <c r="D699" s="3" t="inlineStr">
        <is>
          <t>공장</t>
        </is>
      </c>
      <c r="E699" s="3" t="inlineStr">
        <is>
          <t>매매</t>
        </is>
      </c>
      <c r="F699" s="4" t="n">
        <v>410000</v>
      </c>
      <c r="G699" s="4" t="n">
        <v>0</v>
      </c>
      <c r="H699" s="4" t="n">
        <v>1831</v>
      </c>
      <c r="I699" s="4" t="n">
        <v>554</v>
      </c>
      <c r="J699" s="5" t="n">
        <v>740.1</v>
      </c>
      <c r="K699" s="4" t="n">
        <v>1409</v>
      </c>
      <c r="L699" s="4" t="n">
        <v>426</v>
      </c>
      <c r="M699" s="5" t="n">
        <v>962.4</v>
      </c>
      <c r="N699" s="3" t="inlineStr">
        <is>
          <t>1</t>
        </is>
      </c>
      <c r="O699" s="3" t="inlineStr">
        <is>
          <t>-</t>
        </is>
      </c>
      <c r="P699" s="3" t="inlineStr">
        <is>
          <t>nan</t>
        </is>
      </c>
      <c r="Q699" s="6">
        <f>HYPERLINK("https://fin.land.naver.com/articles/2645690445", "매물Link")</f>
        <v/>
      </c>
      <c r="R699" s="6">
        <f>HYPERLINK("https://map.naver.com/p/search/세종특별자치시 나성동 829", "지도Link")</f>
        <v/>
      </c>
      <c r="S699" s="6">
        <f>HYPERLINK("http://www.eum.go.kr/web/ar/lu/luLandDet.jsp?pnu=3611010700108290000&amp;isNoScr=script&amp;mode=search", "토지이음")</f>
        <v/>
      </c>
      <c r="T699" s="3" t="inlineStr">
        <is>
          <t>모아</t>
        </is>
      </c>
      <c r="U699" s="3" t="n">
        <v>1</v>
      </c>
      <c r="V699" s="3" t="inlineStr">
        <is>
          <t>605</t>
        </is>
      </c>
      <c r="W699" s="4" t="n">
        <v>1409</v>
      </c>
      <c r="X699" s="3" t="inlineStr">
        <is>
          <t>철근콘크리트구조</t>
        </is>
      </c>
      <c r="Y699" s="3" t="inlineStr">
        <is>
          <t>공동주택</t>
        </is>
      </c>
      <c r="Z699" s="3" t="inlineStr">
        <is>
          <t>45.30m</t>
        </is>
      </c>
      <c r="AA699" s="3" t="inlineStr">
        <is>
          <t>2021-08-20</t>
        </is>
      </c>
    </row>
    <row r="700">
      <c r="A700" s="3" t="inlineStr">
        <is>
          <t>세종특별자치시 나성동 829</t>
        </is>
      </c>
      <c r="B700" s="3" t="inlineStr">
        <is>
          <t>중심상업지역</t>
        </is>
      </c>
      <c r="C700" s="3" t="inlineStr">
        <is>
          <t>대</t>
        </is>
      </c>
      <c r="D700" s="3" t="inlineStr">
        <is>
          <t>창고</t>
        </is>
      </c>
      <c r="E700" s="3" t="inlineStr">
        <is>
          <t>매매</t>
        </is>
      </c>
      <c r="F700" s="4" t="n">
        <v>130000</v>
      </c>
      <c r="G700" s="4" t="n">
        <v>0</v>
      </c>
      <c r="H700" s="4" t="n">
        <v>1193</v>
      </c>
      <c r="I700" s="4" t="n">
        <v>361</v>
      </c>
      <c r="J700" s="5" t="n">
        <v>360.1</v>
      </c>
      <c r="K700" s="4" t="n">
        <v>476</v>
      </c>
      <c r="L700" s="4" t="n">
        <v>144</v>
      </c>
      <c r="M700" s="5" t="n">
        <v>902.8</v>
      </c>
      <c r="N700" s="3" t="inlineStr">
        <is>
          <t>2</t>
        </is>
      </c>
      <c r="O700" s="3" t="inlineStr">
        <is>
          <t>-</t>
        </is>
      </c>
      <c r="P700" s="3" t="inlineStr">
        <is>
          <t>nan</t>
        </is>
      </c>
      <c r="Q700" s="6">
        <f>HYPERLINK("https://fin.land.naver.com/articles/2645439370", "매물Link")</f>
        <v/>
      </c>
      <c r="R700" s="6">
        <f>HYPERLINK("https://map.naver.com/p/search/세종특별자치시 나성동 829", "지도Link")</f>
        <v/>
      </c>
      <c r="S700" s="6">
        <f>HYPERLINK("http://www.eum.go.kr/web/ar/lu/luLandDet.jsp?pnu=3611010700108290000&amp;isNoScr=script&amp;mode=search", "토지이음")</f>
        <v/>
      </c>
      <c r="T700" s="3" t="inlineStr">
        <is>
          <t>미더스</t>
        </is>
      </c>
      <c r="U700" s="3" t="n">
        <v>1</v>
      </c>
      <c r="V700" s="3" t="inlineStr">
        <is>
          <t>전망공간 기계실</t>
        </is>
      </c>
      <c r="W700" s="4" t="n">
        <v>476</v>
      </c>
      <c r="X700" s="3" t="inlineStr">
        <is>
          <t>철근콘크리트구조</t>
        </is>
      </c>
      <c r="Y700" s="3" t="inlineStr">
        <is>
          <t>제2종근린생활시설</t>
        </is>
      </c>
      <c r="Z700" s="3" t="inlineStr">
        <is>
          <t>-m</t>
        </is>
      </c>
      <c r="AA700" s="3" t="inlineStr">
        <is>
          <t>2021-08-20</t>
        </is>
      </c>
    </row>
    <row r="701">
      <c r="A701" s="3" t="inlineStr">
        <is>
          <t>세종특별자치시 나성동 829</t>
        </is>
      </c>
      <c r="B701" s="3" t="inlineStr">
        <is>
          <t>중심상업지역</t>
        </is>
      </c>
      <c r="C701" s="3" t="inlineStr">
        <is>
          <t>대</t>
        </is>
      </c>
      <c r="D701" s="3" t="inlineStr">
        <is>
          <t>창고</t>
        </is>
      </c>
      <c r="E701" s="3" t="inlineStr">
        <is>
          <t>월세</t>
        </is>
      </c>
      <c r="F701" s="4" t="n">
        <v>10000</v>
      </c>
      <c r="G701" s="4" t="n">
        <v>0</v>
      </c>
      <c r="H701" s="4" t="n">
        <v>1644</v>
      </c>
      <c r="I701" s="4" t="n">
        <v>497</v>
      </c>
      <c r="J701" s="5" t="n">
        <v>0</v>
      </c>
      <c r="K701" s="4" t="n">
        <v>1110</v>
      </c>
      <c r="L701" s="4" t="n">
        <v>336</v>
      </c>
      <c r="M701" s="5" t="n">
        <v>0</v>
      </c>
      <c r="N701" s="3" t="inlineStr">
        <is>
          <t>3</t>
        </is>
      </c>
      <c r="O701" s="3" t="inlineStr">
        <is>
          <t>-</t>
        </is>
      </c>
      <c r="P701" s="3" t="inlineStr">
        <is>
          <t>준신축이며, 공장 및 창고</t>
        </is>
      </c>
      <c r="Q701" s="6">
        <f>HYPERLINK("https://fin.land.naver.com/articles/2646019663", "매물Link")</f>
        <v/>
      </c>
      <c r="R701" s="6">
        <f>HYPERLINK("https://map.naver.com/p/search/세종특별자치시 나성동 829", "지도Link")</f>
        <v/>
      </c>
      <c r="S701" s="6">
        <f>HYPERLINK("http://www.eum.go.kr/web/ar/lu/luLandDet.jsp?pnu=3611010700108290000&amp;isNoScr=script&amp;mode=search", "토지이음")</f>
        <v/>
      </c>
      <c r="T701" s="3" t="inlineStr">
        <is>
          <t>성지</t>
        </is>
      </c>
      <c r="U701" s="3" t="n">
        <v>1</v>
      </c>
      <c r="V701" s="3" t="inlineStr">
        <is>
          <t>605</t>
        </is>
      </c>
      <c r="W701" s="4" t="n">
        <v>1110</v>
      </c>
      <c r="X701" s="3" t="inlineStr">
        <is>
          <t>철근콘크리트구조</t>
        </is>
      </c>
      <c r="Y701" s="3" t="inlineStr">
        <is>
          <t>공동주택</t>
        </is>
      </c>
      <c r="Z701" s="3" t="inlineStr">
        <is>
          <t>45.30m</t>
        </is>
      </c>
      <c r="AA701" s="3" t="inlineStr">
        <is>
          <t>2021-08-20</t>
        </is>
      </c>
    </row>
    <row r="702">
      <c r="A702" s="3" t="inlineStr">
        <is>
          <t>세종특별자치시 나성동 829</t>
        </is>
      </c>
      <c r="B702" s="3" t="inlineStr">
        <is>
          <t>중심상업지역</t>
        </is>
      </c>
      <c r="C702" s="3" t="inlineStr">
        <is>
          <t>대</t>
        </is>
      </c>
      <c r="D702" s="3" t="inlineStr">
        <is>
          <t>공장</t>
        </is>
      </c>
      <c r="E702" s="3" t="inlineStr">
        <is>
          <t>매매</t>
        </is>
      </c>
      <c r="F702" s="4" t="n">
        <v>75000</v>
      </c>
      <c r="G702" s="4" t="n">
        <v>0</v>
      </c>
      <c r="H702" s="4" t="n">
        <v>281</v>
      </c>
      <c r="I702" s="4" t="n">
        <v>85</v>
      </c>
      <c r="J702" s="5" t="n">
        <v>882.4</v>
      </c>
      <c r="K702" s="4" t="n">
        <v>180</v>
      </c>
      <c r="L702" s="4" t="n">
        <v>54</v>
      </c>
      <c r="M702" s="5" t="n">
        <v>1388.9</v>
      </c>
      <c r="N702" s="3" t="inlineStr">
        <is>
          <t>2</t>
        </is>
      </c>
      <c r="O702" s="3" t="inlineStr">
        <is>
          <t>-</t>
        </is>
      </c>
      <c r="P702" s="3" t="inlineStr">
        <is>
          <t>와동 6차선 대로변 창고 매매</t>
        </is>
      </c>
      <c r="Q702" s="6">
        <f>HYPERLINK("https://fin.land.naver.com/articles/2646039609", "매물Link")</f>
        <v/>
      </c>
      <c r="R702" s="6">
        <f>HYPERLINK("https://map.naver.com/p/search/세종특별자치시 나성동 829", "지도Link")</f>
        <v/>
      </c>
      <c r="S702" s="6">
        <f>HYPERLINK("http://www.eum.go.kr/web/ar/lu/luLandDet.jsp?pnu=3611010700108290000&amp;isNoScr=script&amp;mode=search", "토지이음")</f>
        <v/>
      </c>
      <c r="T702" s="3" t="inlineStr">
        <is>
          <t>왕중왕기업</t>
        </is>
      </c>
      <c r="U702" s="3" t="n">
        <v>1</v>
      </c>
      <c r="V702" s="3" t="inlineStr">
        <is>
          <t>701</t>
        </is>
      </c>
      <c r="W702" s="4" t="n">
        <v>180</v>
      </c>
      <c r="X702" s="3" t="inlineStr">
        <is>
          <t>철근콘크리트구조</t>
        </is>
      </c>
      <c r="Y702" s="3" t="inlineStr">
        <is>
          <t>판매시설</t>
        </is>
      </c>
      <c r="Z702" s="3" t="inlineStr">
        <is>
          <t>-m</t>
        </is>
      </c>
      <c r="AA702" s="3" t="inlineStr">
        <is>
          <t>2021-08-20</t>
        </is>
      </c>
    </row>
    <row r="703">
      <c r="A703" s="3" t="inlineStr">
        <is>
          <t>세종특별자치시 나성동 829</t>
        </is>
      </c>
      <c r="B703" s="3" t="inlineStr">
        <is>
          <t>중심상업지역</t>
        </is>
      </c>
      <c r="C703" s="3" t="inlineStr">
        <is>
          <t>대</t>
        </is>
      </c>
      <c r="D703" s="3" t="inlineStr">
        <is>
          <t>공장</t>
        </is>
      </c>
      <c r="E703" s="3" t="inlineStr">
        <is>
          <t>매매</t>
        </is>
      </c>
      <c r="F703" s="4" t="n">
        <v>130000</v>
      </c>
      <c r="G703" s="4" t="n">
        <v>0</v>
      </c>
      <c r="H703" s="4" t="n">
        <v>707</v>
      </c>
      <c r="I703" s="4" t="n">
        <v>214</v>
      </c>
      <c r="J703" s="5" t="n">
        <v>607.5</v>
      </c>
      <c r="K703" s="4" t="n">
        <v>362</v>
      </c>
      <c r="L703" s="4" t="n">
        <v>110</v>
      </c>
      <c r="M703" s="5" t="n">
        <v>1181.8</v>
      </c>
      <c r="N703" s="3" t="inlineStr">
        <is>
          <t>1</t>
        </is>
      </c>
      <c r="O703" s="3" t="inlineStr">
        <is>
          <t>-</t>
        </is>
      </c>
      <c r="P703" s="3" t="inlineStr">
        <is>
          <t>층고 약 7m 호이스트 있는 공장 겸 창고 매매</t>
        </is>
      </c>
      <c r="Q703" s="6">
        <f>HYPERLINK("https://fin.land.naver.com/articles/2644229480", "매물Link")</f>
        <v/>
      </c>
      <c r="R703" s="6">
        <f>HYPERLINK("https://map.naver.com/p/search/세종특별자치시 나성동 829", "지도Link")</f>
        <v/>
      </c>
      <c r="S703" s="6">
        <f>HYPERLINK("http://www.eum.go.kr/web/ar/lu/luLandDet.jsp?pnu=3611010700108290000&amp;isNoScr=script&amp;mode=search", "토지이음")</f>
        <v/>
      </c>
      <c r="T703" s="3" t="inlineStr">
        <is>
          <t>삼익</t>
        </is>
      </c>
      <c r="U703" s="3" t="n">
        <v>1</v>
      </c>
      <c r="V703" s="3" t="inlineStr">
        <is>
          <t>전망공간 기계실</t>
        </is>
      </c>
      <c r="W703" s="4" t="n">
        <v>362</v>
      </c>
      <c r="X703" s="3" t="inlineStr">
        <is>
          <t>철근콘크리트구조</t>
        </is>
      </c>
      <c r="Y703" s="3" t="inlineStr">
        <is>
          <t>제2종근린생활시설</t>
        </is>
      </c>
      <c r="Z703" s="3" t="inlineStr">
        <is>
          <t>-m</t>
        </is>
      </c>
      <c r="AA703" s="3" t="inlineStr">
        <is>
          <t>2021-08-20</t>
        </is>
      </c>
    </row>
    <row r="704">
      <c r="A704" s="3" t="inlineStr">
        <is>
          <t>세종특별자치시 나성동 829</t>
        </is>
      </c>
      <c r="B704" s="3" t="inlineStr">
        <is>
          <t>중심상업지역</t>
        </is>
      </c>
      <c r="C704" s="3" t="inlineStr">
        <is>
          <t>대</t>
        </is>
      </c>
      <c r="D704" s="3" t="inlineStr">
        <is>
          <t>창고</t>
        </is>
      </c>
      <c r="E704" s="3" t="inlineStr">
        <is>
          <t>월세</t>
        </is>
      </c>
      <c r="F704" s="4" t="n">
        <v>3500</v>
      </c>
      <c r="G704" s="4" t="n">
        <v>350</v>
      </c>
      <c r="H704" s="4" t="n">
        <v>690</v>
      </c>
      <c r="I704" s="4" t="n">
        <v>209</v>
      </c>
      <c r="J704" s="5" t="n">
        <v>1.7</v>
      </c>
      <c r="K704" s="4" t="n">
        <v>363</v>
      </c>
      <c r="L704" s="4" t="n">
        <v>110</v>
      </c>
      <c r="M704" s="5" t="n">
        <v>3.2</v>
      </c>
      <c r="N704" s="3" t="inlineStr">
        <is>
          <t>1</t>
        </is>
      </c>
      <c r="O704" s="3" t="inlineStr">
        <is>
          <t>-</t>
        </is>
      </c>
      <c r="P704" s="3" t="inlineStr">
        <is>
          <t>층고 8m, 호이스트, 공장임대 가능</t>
        </is>
      </c>
      <c r="Q704" s="6">
        <f>HYPERLINK("https://fin.land.naver.com/articles/2647627819", "매물Link")</f>
        <v/>
      </c>
      <c r="R704" s="6">
        <f>HYPERLINK("https://map.naver.com/p/search/세종특별자치시 나성동 829", "지도Link")</f>
        <v/>
      </c>
      <c r="S704" s="6">
        <f>HYPERLINK("http://www.eum.go.kr/web/ar/lu/luLandDet.jsp?pnu=3611010700108290000&amp;isNoScr=script&amp;mode=search", "토지이음")</f>
        <v/>
      </c>
      <c r="T704" s="3" t="inlineStr">
        <is>
          <t>산업</t>
        </is>
      </c>
      <c r="U704" s="3" t="n">
        <v>2</v>
      </c>
      <c r="V704" s="3" t="inlineStr">
        <is>
          <t>전망공간 기계실</t>
        </is>
      </c>
      <c r="W704" s="4" t="n">
        <v>363</v>
      </c>
      <c r="X704" s="3" t="inlineStr">
        <is>
          <t>철근콘크리트구조</t>
        </is>
      </c>
      <c r="Y704" s="3" t="inlineStr">
        <is>
          <t>제2종근린생활시설</t>
        </is>
      </c>
      <c r="Z704" s="3" t="inlineStr">
        <is>
          <t>-m</t>
        </is>
      </c>
      <c r="AA704" s="3" t="inlineStr">
        <is>
          <t>2021-08-20</t>
        </is>
      </c>
    </row>
    <row r="705">
      <c r="A705" s="3" t="inlineStr">
        <is>
          <t>세종특별자치시 나성동 829</t>
        </is>
      </c>
      <c r="B705" s="3" t="inlineStr">
        <is>
          <t>중심상업지역</t>
        </is>
      </c>
      <c r="C705" s="3" t="inlineStr">
        <is>
          <t>대</t>
        </is>
      </c>
      <c r="D705" s="3" t="inlineStr">
        <is>
          <t>창고</t>
        </is>
      </c>
      <c r="E705" s="3" t="inlineStr">
        <is>
          <t>월세</t>
        </is>
      </c>
      <c r="F705" s="4" t="n">
        <v>1000</v>
      </c>
      <c r="G705" s="4" t="n">
        <v>110</v>
      </c>
      <c r="H705" s="4" t="n">
        <v>1901</v>
      </c>
      <c r="I705" s="4" t="n">
        <v>575</v>
      </c>
      <c r="J705" s="5" t="n">
        <v>0.2</v>
      </c>
      <c r="K705" s="4" t="n">
        <v>1031</v>
      </c>
      <c r="L705" s="4" t="n">
        <v>312</v>
      </c>
      <c r="M705" s="5" t="n">
        <v>0.4</v>
      </c>
      <c r="N705" s="3" t="inlineStr">
        <is>
          <t>1</t>
        </is>
      </c>
      <c r="O705" s="3" t="inlineStr">
        <is>
          <t>-</t>
        </is>
      </c>
      <c r="P705" s="3" t="inlineStr">
        <is>
          <t>대전IC 초인접 소형창고</t>
        </is>
      </c>
      <c r="Q705" s="6">
        <f>HYPERLINK("https://fin.land.naver.com/articles/2644432695", "매물Link")</f>
        <v/>
      </c>
      <c r="R705" s="6">
        <f>HYPERLINK("https://map.naver.com/p/search/세종특별자치시 나성동 829", "지도Link")</f>
        <v/>
      </c>
      <c r="S705" s="6">
        <f>HYPERLINK("http://www.eum.go.kr/web/ar/lu/luLandDet.jsp?pnu=3611010700108290000&amp;isNoScr=script&amp;mode=search", "토지이음")</f>
        <v/>
      </c>
      <c r="T705" s="3" t="inlineStr">
        <is>
          <t>탑</t>
        </is>
      </c>
      <c r="U705" s="3" t="n">
        <v>1</v>
      </c>
      <c r="V705" s="3" t="inlineStr">
        <is>
          <t>604</t>
        </is>
      </c>
      <c r="W705" s="4" t="n">
        <v>1031</v>
      </c>
      <c r="X705" s="3" t="inlineStr">
        <is>
          <t>철근콘크리트구조</t>
        </is>
      </c>
      <c r="Y705" s="3" t="inlineStr">
        <is>
          <t>공동주택</t>
        </is>
      </c>
      <c r="Z705" s="3" t="inlineStr">
        <is>
          <t>38.30m</t>
        </is>
      </c>
      <c r="AA705" s="3" t="inlineStr">
        <is>
          <t>2021-08-20</t>
        </is>
      </c>
    </row>
    <row r="706">
      <c r="A706" s="3" t="inlineStr">
        <is>
          <t>세종특별자치시 나성동 829</t>
        </is>
      </c>
      <c r="B706" s="3" t="inlineStr">
        <is>
          <t>중심상업지역</t>
        </is>
      </c>
      <c r="C706" s="3" t="inlineStr">
        <is>
          <t>대</t>
        </is>
      </c>
      <c r="D706" s="3" t="inlineStr">
        <is>
          <t>공장</t>
        </is>
      </c>
      <c r="E706" s="3" t="inlineStr">
        <is>
          <t>매매</t>
        </is>
      </c>
      <c r="F706" s="4" t="n">
        <v>150000</v>
      </c>
      <c r="G706" s="4" t="n">
        <v>0</v>
      </c>
      <c r="H706" s="4" t="n">
        <v>693</v>
      </c>
      <c r="I706" s="4" t="n">
        <v>210</v>
      </c>
      <c r="J706" s="5" t="n">
        <v>714.3</v>
      </c>
      <c r="K706" s="4" t="n">
        <v>748</v>
      </c>
      <c r="L706" s="4" t="n">
        <v>226</v>
      </c>
      <c r="M706" s="5" t="n">
        <v>663.7</v>
      </c>
      <c r="N706" s="3" t="inlineStr">
        <is>
          <t>2</t>
        </is>
      </c>
      <c r="O706" s="3" t="inlineStr">
        <is>
          <t>B1</t>
        </is>
      </c>
      <c r="P706" s="3" t="inlineStr">
        <is>
          <t>대전 비래동, 비즈니스와 주거를 동시에 공장창고단독주택 매매</t>
        </is>
      </c>
      <c r="Q706" s="6">
        <f>HYPERLINK("https://fin.land.naver.com/articles/2645551119", "매물Link")</f>
        <v/>
      </c>
      <c r="R706" s="6">
        <f>HYPERLINK("https://map.naver.com/p/search/세종특별자치시 나성동 829", "지도Link")</f>
        <v/>
      </c>
      <c r="S706" s="6">
        <f>HYPERLINK("http://www.eum.go.kr/web/ar/lu/luLandDet.jsp?pnu=3611010700108290000&amp;isNoScr=script&amp;mode=search", "토지이음")</f>
        <v/>
      </c>
      <c r="T706" s="3" t="inlineStr">
        <is>
          <t>신화성</t>
        </is>
      </c>
      <c r="U706" s="3" t="n">
        <v>1</v>
      </c>
      <c r="V706" s="3" t="inlineStr">
        <is>
          <t>공동주택 휘트니스</t>
        </is>
      </c>
      <c r="W706" s="4" t="n">
        <v>748</v>
      </c>
      <c r="X706" s="3" t="inlineStr">
        <is>
          <t>철근콘크리트구조</t>
        </is>
      </c>
      <c r="Y706" s="3" t="inlineStr">
        <is>
          <t>공동주택</t>
        </is>
      </c>
      <c r="Z706" s="3" t="inlineStr">
        <is>
          <t>-m</t>
        </is>
      </c>
      <c r="AA706" s="3" t="inlineStr">
        <is>
          <t>2021-08-20</t>
        </is>
      </c>
    </row>
    <row r="707">
      <c r="A707" s="3" t="inlineStr">
        <is>
          <t>세종특별자치시 나성동 829</t>
        </is>
      </c>
      <c r="B707" s="3" t="inlineStr">
        <is>
          <t>중심상업지역</t>
        </is>
      </c>
      <c r="C707" s="3" t="inlineStr">
        <is>
          <t>대</t>
        </is>
      </c>
      <c r="D707" s="3" t="inlineStr">
        <is>
          <t>창고</t>
        </is>
      </c>
      <c r="E707" s="3" t="inlineStr">
        <is>
          <t>매매</t>
        </is>
      </c>
      <c r="F707" s="4" t="n">
        <v>240000</v>
      </c>
      <c r="G707" s="4" t="n">
        <v>0</v>
      </c>
      <c r="H707" s="4" t="n">
        <v>780</v>
      </c>
      <c r="I707" s="4" t="n">
        <v>236</v>
      </c>
      <c r="J707" s="5" t="n">
        <v>1016.9</v>
      </c>
      <c r="K707" s="4" t="n">
        <v>465</v>
      </c>
      <c r="L707" s="4" t="n">
        <v>141</v>
      </c>
      <c r="M707" s="5" t="n">
        <v>1702.1</v>
      </c>
      <c r="N707" s="3" t="inlineStr">
        <is>
          <t>1</t>
        </is>
      </c>
      <c r="O707" s="3" t="inlineStr">
        <is>
          <t>-</t>
        </is>
      </c>
      <c r="P707" s="3" t="inlineStr">
        <is>
          <t>nan</t>
        </is>
      </c>
      <c r="Q707" s="6">
        <f>HYPERLINK("https://fin.land.naver.com/articles/2649166119", "매물Link")</f>
        <v/>
      </c>
      <c r="R707" s="6">
        <f>HYPERLINK("https://map.naver.com/p/search/세종특별자치시 나성동 829", "지도Link")</f>
        <v/>
      </c>
      <c r="S707" s="6">
        <f>HYPERLINK("http://www.eum.go.kr/web/ar/lu/luLandDet.jsp?pnu=3611010700108290000&amp;isNoScr=script&amp;mode=search", "토지이음")</f>
        <v/>
      </c>
      <c r="T707" s="3" t="inlineStr">
        <is>
          <t>비래</t>
        </is>
      </c>
      <c r="U707" s="3" t="n">
        <v>1</v>
      </c>
      <c r="V707" s="3" t="inlineStr">
        <is>
          <t>전망공간 기계실</t>
        </is>
      </c>
      <c r="W707" s="4" t="n">
        <v>465</v>
      </c>
      <c r="X707" s="3" t="inlineStr">
        <is>
          <t>철근콘크리트구조</t>
        </is>
      </c>
      <c r="Y707" s="3" t="inlineStr">
        <is>
          <t>제2종근린생활시설</t>
        </is>
      </c>
      <c r="Z707" s="3" t="inlineStr">
        <is>
          <t>-m</t>
        </is>
      </c>
      <c r="AA707" s="3" t="inlineStr">
        <is>
          <t>2021-08-20</t>
        </is>
      </c>
    </row>
    <row r="708">
      <c r="A708" s="3" t="inlineStr">
        <is>
          <t>세종특별자치시 나성동 829</t>
        </is>
      </c>
      <c r="B708" s="3" t="inlineStr">
        <is>
          <t>중심상업지역</t>
        </is>
      </c>
      <c r="C708" s="3" t="inlineStr">
        <is>
          <t>대</t>
        </is>
      </c>
      <c r="D708" s="3" t="inlineStr">
        <is>
          <t>창고</t>
        </is>
      </c>
      <c r="E708" s="3" t="inlineStr">
        <is>
          <t>매매</t>
        </is>
      </c>
      <c r="F708" s="4" t="n">
        <v>51850</v>
      </c>
      <c r="G708" s="4" t="n">
        <v>0</v>
      </c>
      <c r="H708" s="4" t="n">
        <v>202</v>
      </c>
      <c r="I708" s="4" t="n">
        <v>61</v>
      </c>
      <c r="J708" s="5" t="n">
        <v>850</v>
      </c>
      <c r="K708" s="4" t="n">
        <v>200</v>
      </c>
      <c r="L708" s="4" t="n">
        <v>60</v>
      </c>
      <c r="M708" s="5" t="n">
        <v>864.2</v>
      </c>
      <c r="N708" s="3" t="inlineStr">
        <is>
          <t>2</t>
        </is>
      </c>
      <c r="O708" s="3" t="inlineStr">
        <is>
          <t>-</t>
        </is>
      </c>
      <c r="P708" s="3" t="inlineStr">
        <is>
          <t>nan</t>
        </is>
      </c>
      <c r="Q708" s="6">
        <f>HYPERLINK("https://fin.land.naver.com/articles/2647890255", "매물Link")</f>
        <v/>
      </c>
      <c r="R708" s="6">
        <f>HYPERLINK("https://map.naver.com/p/search/세종특별자치시 나성동 829", "지도Link")</f>
        <v/>
      </c>
      <c r="S708" s="6">
        <f>HYPERLINK("http://www.eum.go.kr/web/ar/lu/luLandDet.jsp?pnu=3611010700108290000&amp;isNoScr=script&amp;mode=search", "토지이음")</f>
        <v/>
      </c>
      <c r="T708" s="3" t="inlineStr">
        <is>
          <t>비래</t>
        </is>
      </c>
      <c r="U708" s="3" t="n">
        <v>1</v>
      </c>
      <c r="V708" s="3" t="inlineStr">
        <is>
          <t>공동주택 주민공동시설</t>
        </is>
      </c>
      <c r="W708" s="4" t="n">
        <v>200</v>
      </c>
      <c r="X708" s="3" t="inlineStr">
        <is>
          <t>철근콘크리트구조</t>
        </is>
      </c>
      <c r="Y708" s="3" t="inlineStr">
        <is>
          <t>공동주택</t>
        </is>
      </c>
      <c r="Z708" s="3" t="inlineStr">
        <is>
          <t>-m</t>
        </is>
      </c>
      <c r="AA708" s="3" t="inlineStr">
        <is>
          <t>2021-08-20</t>
        </is>
      </c>
    </row>
    <row r="709">
      <c r="A709" s="3" t="inlineStr">
        <is>
          <t>세종특별자치시 나성동 829</t>
        </is>
      </c>
      <c r="B709" s="3" t="inlineStr">
        <is>
          <t>중심상업지역</t>
        </is>
      </c>
      <c r="C709" s="3" t="inlineStr">
        <is>
          <t>대</t>
        </is>
      </c>
      <c r="D709" s="3" t="inlineStr">
        <is>
          <t>공장</t>
        </is>
      </c>
      <c r="E709" s="3" t="inlineStr">
        <is>
          <t>월세</t>
        </is>
      </c>
      <c r="F709" s="4" t="n">
        <v>1000</v>
      </c>
      <c r="G709" s="4" t="n">
        <v>75</v>
      </c>
      <c r="H709" s="4" t="n">
        <v>150</v>
      </c>
      <c r="I709" s="4" t="n">
        <v>45</v>
      </c>
      <c r="J709" s="5" t="n">
        <v>1.7</v>
      </c>
      <c r="K709" s="4" t="n">
        <v>82</v>
      </c>
      <c r="L709" s="4" t="n">
        <v>25</v>
      </c>
      <c r="M709" s="5" t="n">
        <v>3</v>
      </c>
      <c r="N709" s="3" t="inlineStr">
        <is>
          <t>2</t>
        </is>
      </c>
      <c r="O709" s="3" t="inlineStr">
        <is>
          <t>-</t>
        </is>
      </c>
      <c r="P709" s="3" t="inlineStr">
        <is>
          <t>소형공장, 호이스트자리있음</t>
        </is>
      </c>
      <c r="Q709" s="6">
        <f>HYPERLINK("https://fin.land.naver.com/articles/2644176024", "매물Link")</f>
        <v/>
      </c>
      <c r="R709" s="6">
        <f>HYPERLINK("https://map.naver.com/p/search/세종특별자치시 나성동 829", "지도Link")</f>
        <v/>
      </c>
      <c r="S709" s="6">
        <f>HYPERLINK("http://www.eum.go.kr/web/ar/lu/luLandDet.jsp?pnu=3611010700108290000&amp;isNoScr=script&amp;mode=search", "토지이음")</f>
        <v/>
      </c>
      <c r="T709" s="3" t="inlineStr">
        <is>
          <t>성지</t>
        </is>
      </c>
      <c r="U709" s="3" t="n">
        <v>1</v>
      </c>
      <c r="V709" s="3" t="inlineStr">
        <is>
          <t>공동주택 바이크스테이션</t>
        </is>
      </c>
      <c r="W709" s="4" t="n">
        <v>82</v>
      </c>
      <c r="X709" s="3" t="inlineStr">
        <is>
          <t>철근콘크리트구조</t>
        </is>
      </c>
      <c r="Y709" s="3" t="inlineStr">
        <is>
          <t>공동주택</t>
        </is>
      </c>
      <c r="Z709" s="3" t="inlineStr">
        <is>
          <t>-m</t>
        </is>
      </c>
      <c r="AA709" s="3" t="inlineStr">
        <is>
          <t>2021-08-20</t>
        </is>
      </c>
    </row>
    <row r="710">
      <c r="A710" s="3" t="inlineStr">
        <is>
          <t>세종특별자치시 나성동 829</t>
        </is>
      </c>
      <c r="B710" s="3" t="inlineStr">
        <is>
          <t>중심상업지역</t>
        </is>
      </c>
      <c r="C710" s="3" t="inlineStr">
        <is>
          <t>대</t>
        </is>
      </c>
      <c r="D710" s="3" t="inlineStr">
        <is>
          <t>공장</t>
        </is>
      </c>
      <c r="E710" s="3" t="inlineStr">
        <is>
          <t>월세</t>
        </is>
      </c>
      <c r="F710" s="4" t="n">
        <v>3000</v>
      </c>
      <c r="G710" s="4" t="n">
        <v>170</v>
      </c>
      <c r="H710" s="4" t="n">
        <v>3314</v>
      </c>
      <c r="I710" s="4" t="n">
        <v>1002</v>
      </c>
      <c r="J710" s="5" t="n">
        <v>0.2</v>
      </c>
      <c r="K710" s="4" t="n">
        <v>3032</v>
      </c>
      <c r="L710" s="4" t="n">
        <v>917</v>
      </c>
      <c r="M710" s="5" t="n">
        <v>0.2</v>
      </c>
      <c r="N710" s="3" t="inlineStr">
        <is>
          <t>3</t>
        </is>
      </c>
      <c r="O710" s="3" t="inlineStr">
        <is>
          <t>-</t>
        </is>
      </c>
      <c r="P710" s="3" t="inlineStr">
        <is>
          <t>층고 낮은 공장</t>
        </is>
      </c>
      <c r="Q710" s="6">
        <f>HYPERLINK("https://fin.land.naver.com/articles/2646033024", "매물Link")</f>
        <v/>
      </c>
      <c r="R710" s="6">
        <f>HYPERLINK("https://map.naver.com/p/search/세종특별자치시 나성동 829", "지도Link")</f>
        <v/>
      </c>
      <c r="S710" s="6">
        <f>HYPERLINK("http://www.eum.go.kr/web/ar/lu/luLandDet.jsp?pnu=3611010700108290000&amp;isNoScr=script&amp;mode=search", "토지이음")</f>
        <v/>
      </c>
      <c r="T710" s="3" t="inlineStr">
        <is>
          <t>제일</t>
        </is>
      </c>
      <c r="U710" s="3" t="n">
        <v>1</v>
      </c>
      <c r="V710" s="3" t="inlineStr">
        <is>
          <t>802</t>
        </is>
      </c>
      <c r="W710" s="4" t="n">
        <v>3032</v>
      </c>
      <c r="X710" s="3" t="inlineStr">
        <is>
          <t>철근콘크리트구조</t>
        </is>
      </c>
      <c r="Y710" s="3" t="inlineStr">
        <is>
          <t>제2종근린생활시설</t>
        </is>
      </c>
      <c r="Z710" s="3" t="inlineStr">
        <is>
          <t>-m</t>
        </is>
      </c>
      <c r="AA710" s="3" t="inlineStr">
        <is>
          <t>2021-08-20</t>
        </is>
      </c>
    </row>
    <row r="711">
      <c r="A711" s="3" t="inlineStr">
        <is>
          <t>세종특별자치시 나성동 829</t>
        </is>
      </c>
      <c r="B711" s="3" t="inlineStr">
        <is>
          <t>중심상업지역</t>
        </is>
      </c>
      <c r="C711" s="3" t="inlineStr">
        <is>
          <t>대</t>
        </is>
      </c>
      <c r="D711" s="3" t="inlineStr">
        <is>
          <t>공장</t>
        </is>
      </c>
      <c r="E711" s="3" t="inlineStr">
        <is>
          <t>매매</t>
        </is>
      </c>
      <c r="F711" s="4" t="n">
        <v>1020000</v>
      </c>
      <c r="G711" s="4" t="n">
        <v>0</v>
      </c>
      <c r="H711" s="4" t="n">
        <v>7430</v>
      </c>
      <c r="I711" s="4" t="n">
        <v>2248</v>
      </c>
      <c r="J711" s="5" t="n">
        <v>453.7</v>
      </c>
      <c r="K711" s="4" t="n">
        <v>3573</v>
      </c>
      <c r="L711" s="4" t="n">
        <v>1081</v>
      </c>
      <c r="M711" s="5" t="n">
        <v>943.6</v>
      </c>
      <c r="N711" s="3" t="inlineStr">
        <is>
          <t>2</t>
        </is>
      </c>
      <c r="O711" s="3" t="inlineStr">
        <is>
          <t>-</t>
        </is>
      </c>
      <c r="P711" s="3" t="inlineStr">
        <is>
          <t>매매가 협의, 대전시내유일공장, 근로자통근최상,매매후임대가능,교통편리</t>
        </is>
      </c>
      <c r="Q711" s="6">
        <f>HYPERLINK("https://fin.land.naver.com/articles/2646143061", "매물Link")</f>
        <v/>
      </c>
      <c r="R711" s="6">
        <f>HYPERLINK("https://map.naver.com/p/search/세종특별자치시 나성동 829", "지도Link")</f>
        <v/>
      </c>
      <c r="S711" s="6">
        <f>HYPERLINK("http://www.eum.go.kr/web/ar/lu/luLandDet.jsp?pnu=3611010700108290000&amp;isNoScr=script&amp;mode=search", "토지이음")</f>
        <v/>
      </c>
      <c r="T711" s="3" t="inlineStr">
        <is>
          <t>뉴욕</t>
        </is>
      </c>
      <c r="U711" s="3" t="n">
        <v>1</v>
      </c>
      <c r="V711" s="3" t="inlineStr">
        <is>
          <t>802</t>
        </is>
      </c>
      <c r="W711" s="4" t="n">
        <v>3573</v>
      </c>
      <c r="X711" s="3" t="inlineStr">
        <is>
          <t>철근콘크리트구조</t>
        </is>
      </c>
      <c r="Y711" s="3" t="inlineStr">
        <is>
          <t>제2종근린생활시설</t>
        </is>
      </c>
      <c r="Z711" s="3" t="inlineStr">
        <is>
          <t>-m</t>
        </is>
      </c>
      <c r="AA711" s="3" t="inlineStr">
        <is>
          <t>2021-08-20</t>
        </is>
      </c>
    </row>
    <row r="712">
      <c r="A712" s="3" t="inlineStr">
        <is>
          <t>세종특별자치시 나성동 829</t>
        </is>
      </c>
      <c r="B712" s="3" t="inlineStr">
        <is>
          <t>중심상업지역</t>
        </is>
      </c>
      <c r="C712" s="3" t="inlineStr">
        <is>
          <t>대</t>
        </is>
      </c>
      <c r="D712" s="3" t="inlineStr">
        <is>
          <t>공장</t>
        </is>
      </c>
      <c r="E712" s="3" t="inlineStr">
        <is>
          <t>월세</t>
        </is>
      </c>
      <c r="F712" s="4" t="n">
        <v>10000</v>
      </c>
      <c r="G712" s="4" t="n">
        <v>0</v>
      </c>
      <c r="H712" s="4" t="n">
        <v>2000</v>
      </c>
      <c r="I712" s="4" t="n">
        <v>605</v>
      </c>
      <c r="J712" s="5" t="n">
        <v>0</v>
      </c>
      <c r="K712" s="4" t="n">
        <v>1300</v>
      </c>
      <c r="L712" s="4" t="n">
        <v>393</v>
      </c>
      <c r="M712" s="5" t="n">
        <v>0</v>
      </c>
      <c r="N712" s="3" t="inlineStr">
        <is>
          <t>1</t>
        </is>
      </c>
      <c r="O712" s="3" t="inlineStr">
        <is>
          <t>-</t>
        </is>
      </c>
      <c r="P712" s="3" t="inlineStr">
        <is>
          <t>대형공장 임대  전기 300kw  층고 약 8m   사무실 있음</t>
        </is>
      </c>
      <c r="Q712" s="6">
        <f>HYPERLINK("https://fin.land.naver.com/articles/2646188351", "매물Link")</f>
        <v/>
      </c>
      <c r="R712" s="6">
        <f>HYPERLINK("https://map.naver.com/p/search/세종특별자치시 나성동 829", "지도Link")</f>
        <v/>
      </c>
      <c r="S712" s="6">
        <f>HYPERLINK("http://www.eum.go.kr/web/ar/lu/luLandDet.jsp?pnu=3611010700108290000&amp;isNoScr=script&amp;mode=search", "토지이음")</f>
        <v/>
      </c>
      <c r="T712" s="3" t="inlineStr">
        <is>
          <t>삼익</t>
        </is>
      </c>
      <c r="U712" s="3" t="n">
        <v>1</v>
      </c>
      <c r="V712" s="3" t="inlineStr">
        <is>
          <t>605</t>
        </is>
      </c>
      <c r="W712" s="4" t="n">
        <v>1300</v>
      </c>
      <c r="X712" s="3" t="inlineStr">
        <is>
          <t>철근콘크리트구조</t>
        </is>
      </c>
      <c r="Y712" s="3" t="inlineStr">
        <is>
          <t>공동주택</t>
        </is>
      </c>
      <c r="Z712" s="3" t="inlineStr">
        <is>
          <t>45.30m</t>
        </is>
      </c>
      <c r="AA712" s="3" t="inlineStr">
        <is>
          <t>2021-08-20</t>
        </is>
      </c>
    </row>
    <row r="713">
      <c r="A713" s="3" t="inlineStr">
        <is>
          <t>세종특별자치시 나성동 829</t>
        </is>
      </c>
      <c r="B713" s="3" t="inlineStr">
        <is>
          <t>중심상업지역</t>
        </is>
      </c>
      <c r="C713" s="3" t="inlineStr">
        <is>
          <t>대</t>
        </is>
      </c>
      <c r="D713" s="3" t="inlineStr">
        <is>
          <t>공장</t>
        </is>
      </c>
      <c r="E713" s="3" t="inlineStr">
        <is>
          <t>월세</t>
        </is>
      </c>
      <c r="F713" s="4" t="n">
        <v>3000</v>
      </c>
      <c r="G713" s="4" t="n">
        <v>280</v>
      </c>
      <c r="H713" s="4" t="n">
        <v>7819</v>
      </c>
      <c r="I713" s="4" t="n">
        <v>2365</v>
      </c>
      <c r="J713" s="5" t="n">
        <v>0.1</v>
      </c>
      <c r="K713" s="4" t="n">
        <v>661</v>
      </c>
      <c r="L713" s="4" t="n">
        <v>200</v>
      </c>
      <c r="M713" s="5" t="n">
        <v>1.4</v>
      </c>
      <c r="N713" s="3" t="inlineStr">
        <is>
          <t>2</t>
        </is>
      </c>
      <c r="O713" s="3" t="inlineStr">
        <is>
          <t>-</t>
        </is>
      </c>
      <c r="P713" s="3" t="inlineStr">
        <is>
          <t>2층 공장 임대  화물엘리베이터 있음  주차 편리</t>
        </is>
      </c>
      <c r="Q713" s="6">
        <f>HYPERLINK("https://fin.land.naver.com/articles/2646182084", "매물Link")</f>
        <v/>
      </c>
      <c r="R713" s="6">
        <f>HYPERLINK("https://map.naver.com/p/search/세종특별자치시 나성동 829", "지도Link")</f>
        <v/>
      </c>
      <c r="S713" s="6">
        <f>HYPERLINK("http://www.eum.go.kr/web/ar/lu/luLandDet.jsp?pnu=3611010700108290000&amp;isNoScr=script&amp;mode=search", "토지이음")</f>
        <v/>
      </c>
      <c r="T713" s="3" t="inlineStr">
        <is>
          <t>삼익</t>
        </is>
      </c>
      <c r="U713" s="3" t="n">
        <v>1</v>
      </c>
      <c r="V713" s="3" t="inlineStr">
        <is>
          <t>803</t>
        </is>
      </c>
      <c r="W713" s="4" t="n">
        <v>661</v>
      </c>
      <c r="X713" s="3" t="inlineStr">
        <is>
          <t>철근콘크리트구조</t>
        </is>
      </c>
      <c r="Y713" s="3" t="inlineStr">
        <is>
          <t>제2종근린생활시설</t>
        </is>
      </c>
      <c r="Z713" s="3" t="inlineStr">
        <is>
          <t>-m</t>
        </is>
      </c>
      <c r="AA713" s="3" t="inlineStr">
        <is>
          <t>2021-08-20</t>
        </is>
      </c>
    </row>
    <row r="714">
      <c r="A714" s="3" t="inlineStr">
        <is>
          <t>세종특별자치시 나성동 829</t>
        </is>
      </c>
      <c r="B714" s="3" t="inlineStr">
        <is>
          <t>중심상업지역</t>
        </is>
      </c>
      <c r="C714" s="3" t="inlineStr">
        <is>
          <t>대</t>
        </is>
      </c>
      <c r="D714" s="3" t="inlineStr">
        <is>
          <t>공장</t>
        </is>
      </c>
      <c r="E714" s="3" t="inlineStr">
        <is>
          <t>월세</t>
        </is>
      </c>
      <c r="F714" s="4" t="n">
        <v>3500</v>
      </c>
      <c r="G714" s="4" t="n">
        <v>350</v>
      </c>
      <c r="H714" s="4" t="n">
        <v>696</v>
      </c>
      <c r="I714" s="4" t="n">
        <v>211</v>
      </c>
      <c r="J714" s="5" t="n">
        <v>1.7</v>
      </c>
      <c r="K714" s="4" t="n">
        <v>448</v>
      </c>
      <c r="L714" s="4" t="n">
        <v>136</v>
      </c>
      <c r="M714" s="5" t="n">
        <v>2.6</v>
      </c>
      <c r="N714" s="3" t="inlineStr">
        <is>
          <t>1</t>
        </is>
      </c>
      <c r="O714" s="3" t="inlineStr">
        <is>
          <t>-</t>
        </is>
      </c>
      <c r="P714" s="3" t="inlineStr">
        <is>
          <t>호이스트 공장 임대   즉시입주가능</t>
        </is>
      </c>
      <c r="Q714" s="6">
        <f>HYPERLINK("https://fin.land.naver.com/articles/2646177704", "매물Link")</f>
        <v/>
      </c>
      <c r="R714" s="6">
        <f>HYPERLINK("https://map.naver.com/p/search/세종특별자치시 나성동 829", "지도Link")</f>
        <v/>
      </c>
      <c r="S714" s="6">
        <f>HYPERLINK("http://www.eum.go.kr/web/ar/lu/luLandDet.jsp?pnu=3611010700108290000&amp;isNoScr=script&amp;mode=search", "토지이음")</f>
        <v/>
      </c>
      <c r="T714" s="3" t="inlineStr">
        <is>
          <t>삼익</t>
        </is>
      </c>
      <c r="U714" s="3" t="n">
        <v>1</v>
      </c>
      <c r="V714" s="3" t="inlineStr">
        <is>
          <t>전망공간 기계실</t>
        </is>
      </c>
      <c r="W714" s="4" t="n">
        <v>448</v>
      </c>
      <c r="X714" s="3" t="inlineStr">
        <is>
          <t>철근콘크리트구조</t>
        </is>
      </c>
      <c r="Y714" s="3" t="inlineStr">
        <is>
          <t>제2종근린생활시설</t>
        </is>
      </c>
      <c r="Z714" s="3" t="inlineStr">
        <is>
          <t>-m</t>
        </is>
      </c>
      <c r="AA714" s="3" t="inlineStr">
        <is>
          <t>2021-08-20</t>
        </is>
      </c>
    </row>
    <row r="715">
      <c r="A715" s="3" t="inlineStr">
        <is>
          <t>세종특별자치시 나성동 829</t>
        </is>
      </c>
      <c r="B715" s="3" t="inlineStr">
        <is>
          <t>중심상업지역</t>
        </is>
      </c>
      <c r="C715" s="3" t="inlineStr">
        <is>
          <t>대</t>
        </is>
      </c>
      <c r="D715" s="3" t="inlineStr">
        <is>
          <t>공장</t>
        </is>
      </c>
      <c r="E715" s="3" t="inlineStr">
        <is>
          <t>월세</t>
        </is>
      </c>
      <c r="F715" s="4" t="n">
        <v>3000</v>
      </c>
      <c r="G715" s="4" t="n">
        <v>300</v>
      </c>
      <c r="H715" s="4" t="n">
        <v>419</v>
      </c>
      <c r="I715" s="4" t="n">
        <v>127</v>
      </c>
      <c r="J715" s="5" t="n">
        <v>2.4</v>
      </c>
      <c r="K715" s="4" t="n">
        <v>292</v>
      </c>
      <c r="L715" s="4" t="n">
        <v>88</v>
      </c>
      <c r="M715" s="5" t="n">
        <v>3.4</v>
      </c>
      <c r="N715" s="3" t="inlineStr">
        <is>
          <t>1</t>
        </is>
      </c>
      <c r="O715" s="3" t="inlineStr">
        <is>
          <t>-</t>
        </is>
      </c>
      <c r="P715" s="3" t="inlineStr">
        <is>
          <t>대화동 공장 각종 장비 포함 임대, 층고 6m, 호이스트 2.8t</t>
        </is>
      </c>
      <c r="Q715" s="6">
        <f>HYPERLINK("https://fin.land.naver.com/articles/2645791246", "매물Link")</f>
        <v/>
      </c>
      <c r="R715" s="6">
        <f>HYPERLINK("https://map.naver.com/p/search/세종특별자치시 나성동 829", "지도Link")</f>
        <v/>
      </c>
      <c r="S715" s="6">
        <f>HYPERLINK("http://www.eum.go.kr/web/ar/lu/luLandDet.jsp?pnu=3611010700108290000&amp;isNoScr=script&amp;mode=search", "토지이음")</f>
        <v/>
      </c>
      <c r="T715" s="3" t="inlineStr">
        <is>
          <t>왕중왕기업</t>
        </is>
      </c>
      <c r="U715" s="3" t="n">
        <v>1</v>
      </c>
      <c r="V715" s="3" t="inlineStr">
        <is>
          <t>공동주택 전기,발전기실</t>
        </is>
      </c>
      <c r="W715" s="4" t="n">
        <v>292</v>
      </c>
      <c r="X715" s="3" t="inlineStr">
        <is>
          <t>철근콘크리트구조</t>
        </is>
      </c>
      <c r="Y715" s="3" t="inlineStr">
        <is>
          <t>공동주택</t>
        </is>
      </c>
      <c r="Z715" s="3" t="inlineStr">
        <is>
          <t>-m</t>
        </is>
      </c>
      <c r="AA715" s="3" t="inlineStr">
        <is>
          <t>2021-08-20</t>
        </is>
      </c>
    </row>
    <row r="716">
      <c r="A716" s="3" t="inlineStr">
        <is>
          <t>세종특별자치시 나성동 829</t>
        </is>
      </c>
      <c r="B716" s="3" t="inlineStr">
        <is>
          <t>중심상업지역</t>
        </is>
      </c>
      <c r="C716" s="3" t="inlineStr">
        <is>
          <t>대</t>
        </is>
      </c>
      <c r="D716" s="3" t="inlineStr">
        <is>
          <t>공장</t>
        </is>
      </c>
      <c r="E716" s="3" t="inlineStr">
        <is>
          <t>월세</t>
        </is>
      </c>
      <c r="F716" s="4" t="n">
        <v>4000</v>
      </c>
      <c r="G716" s="4" t="n">
        <v>400</v>
      </c>
      <c r="H716" s="4" t="n">
        <v>10543</v>
      </c>
      <c r="I716" s="4" t="n">
        <v>3189</v>
      </c>
      <c r="J716" s="5" t="n">
        <v>0.1</v>
      </c>
      <c r="K716" s="4" t="n">
        <v>5089</v>
      </c>
      <c r="L716" s="4" t="n">
        <v>1539</v>
      </c>
      <c r="M716" s="5" t="n">
        <v>0.3</v>
      </c>
      <c r="N716" s="3" t="inlineStr">
        <is>
          <t>1</t>
        </is>
      </c>
      <c r="O716" s="3" t="inlineStr">
        <is>
          <t>-</t>
        </is>
      </c>
      <c r="P716" s="3" t="inlineStr">
        <is>
          <t>대덕구 대화동 공장 임대.</t>
        </is>
      </c>
      <c r="Q716" s="6">
        <f>HYPERLINK("https://fin.land.naver.com/articles/2645621514", "매물Link")</f>
        <v/>
      </c>
      <c r="R716" s="6">
        <f>HYPERLINK("https://map.naver.com/p/search/세종특별자치시 나성동 829", "지도Link")</f>
        <v/>
      </c>
      <c r="S716" s="6">
        <f>HYPERLINK("http://www.eum.go.kr/web/ar/lu/luLandDet.jsp?pnu=3611010700108290000&amp;isNoScr=script&amp;mode=search", "토지이음")</f>
        <v/>
      </c>
      <c r="T716" s="3" t="inlineStr">
        <is>
          <t>왕중왕기업</t>
        </is>
      </c>
      <c r="U716" s="3" t="n">
        <v>1</v>
      </c>
      <c r="V716" s="3" t="inlineStr">
        <is>
          <t>802</t>
        </is>
      </c>
      <c r="W716" s="4" t="n">
        <v>5089</v>
      </c>
      <c r="X716" s="3" t="inlineStr">
        <is>
          <t>철근콘크리트구조</t>
        </is>
      </c>
      <c r="Y716" s="3" t="inlineStr">
        <is>
          <t>제2종근린생활시설</t>
        </is>
      </c>
      <c r="Z716" s="3" t="inlineStr">
        <is>
          <t>-m</t>
        </is>
      </c>
      <c r="AA716" s="3" t="inlineStr">
        <is>
          <t>2021-08-20</t>
        </is>
      </c>
    </row>
    <row r="717">
      <c r="A717" s="3" t="inlineStr">
        <is>
          <t>세종특별자치시 나성동 829</t>
        </is>
      </c>
      <c r="B717" s="3" t="inlineStr">
        <is>
          <t>중심상업지역</t>
        </is>
      </c>
      <c r="C717" s="3" t="inlineStr">
        <is>
          <t>대</t>
        </is>
      </c>
      <c r="D717" s="3" t="inlineStr">
        <is>
          <t>공장</t>
        </is>
      </c>
      <c r="E717" s="3" t="inlineStr">
        <is>
          <t>매매</t>
        </is>
      </c>
      <c r="F717" s="4" t="n">
        <v>420000</v>
      </c>
      <c r="G717" s="4" t="n">
        <v>0</v>
      </c>
      <c r="H717" s="4" t="n">
        <v>3077</v>
      </c>
      <c r="I717" s="4" t="n">
        <v>931</v>
      </c>
      <c r="J717" s="5" t="n">
        <v>451.1</v>
      </c>
      <c r="K717" s="4" t="n">
        <v>2107</v>
      </c>
      <c r="L717" s="4" t="n">
        <v>637</v>
      </c>
      <c r="M717" s="5" t="n">
        <v>659.3</v>
      </c>
      <c r="N717" s="3" t="inlineStr">
        <is>
          <t>1</t>
        </is>
      </c>
      <c r="O717" s="3" t="inlineStr">
        <is>
          <t>-</t>
        </is>
      </c>
      <c r="P717" s="3" t="inlineStr">
        <is>
          <t>저렴한 가격, 자동차관련업체입주중, 임대및 직접사용가능.</t>
        </is>
      </c>
      <c r="Q717" s="6">
        <f>HYPERLINK("https://fin.land.naver.com/articles/2645478792", "매물Link")</f>
        <v/>
      </c>
      <c r="R717" s="6">
        <f>HYPERLINK("https://map.naver.com/p/search/세종특별자치시 나성동 829", "지도Link")</f>
        <v/>
      </c>
      <c r="S717" s="6">
        <f>HYPERLINK("http://www.eum.go.kr/web/ar/lu/luLandDet.jsp?pnu=3611010700108290000&amp;isNoScr=script&amp;mode=search", "토지이음")</f>
        <v/>
      </c>
      <c r="T717" s="3" t="inlineStr">
        <is>
          <t>성지</t>
        </is>
      </c>
      <c r="U717" s="3" t="n">
        <v>1</v>
      </c>
      <c r="V717" s="3" t="inlineStr">
        <is>
          <t>근린생활시설 지하주차장</t>
        </is>
      </c>
      <c r="W717" s="4" t="n">
        <v>2107</v>
      </c>
      <c r="X717" s="3" t="inlineStr">
        <is>
          <t>철근콘크리트구조</t>
        </is>
      </c>
      <c r="Y717" s="3" t="inlineStr">
        <is>
          <t>제2종근린생활시설</t>
        </is>
      </c>
      <c r="Z717" s="3" t="inlineStr">
        <is>
          <t>-m</t>
        </is>
      </c>
      <c r="AA717" s="3" t="inlineStr">
        <is>
          <t>2021-08-20</t>
        </is>
      </c>
    </row>
    <row r="718">
      <c r="A718" s="3" t="inlineStr">
        <is>
          <t>세종특별자치시 나성동 829</t>
        </is>
      </c>
      <c r="B718" s="3" t="inlineStr">
        <is>
          <t>중심상업지역</t>
        </is>
      </c>
      <c r="C718" s="3" t="inlineStr">
        <is>
          <t>대</t>
        </is>
      </c>
      <c r="D718" s="3" t="inlineStr">
        <is>
          <t>공장</t>
        </is>
      </c>
      <c r="E718" s="3" t="inlineStr">
        <is>
          <t>월세</t>
        </is>
      </c>
      <c r="F718" s="4" t="n">
        <v>7000</v>
      </c>
      <c r="G718" s="4" t="n">
        <v>700</v>
      </c>
      <c r="H718" s="4" t="n">
        <v>10543</v>
      </c>
      <c r="I718" s="4" t="n">
        <v>3189</v>
      </c>
      <c r="J718" s="5" t="n">
        <v>0.2</v>
      </c>
      <c r="K718" s="4" t="n">
        <v>5089</v>
      </c>
      <c r="L718" s="4" t="n">
        <v>1539</v>
      </c>
      <c r="M718" s="5" t="n">
        <v>0.5</v>
      </c>
      <c r="N718" s="3" t="inlineStr">
        <is>
          <t>2</t>
        </is>
      </c>
      <c r="O718" s="3" t="inlineStr">
        <is>
          <t>B1</t>
        </is>
      </c>
      <c r="P718" s="3" t="inlineStr">
        <is>
          <t>nan</t>
        </is>
      </c>
      <c r="Q718" s="6">
        <f>HYPERLINK("https://fin.land.naver.com/articles/2645343033", "매물Link")</f>
        <v/>
      </c>
      <c r="R718" s="6">
        <f>HYPERLINK("https://map.naver.com/p/search/세종특별자치시 나성동 829", "지도Link")</f>
        <v/>
      </c>
      <c r="S718" s="6">
        <f>HYPERLINK("http://www.eum.go.kr/web/ar/lu/luLandDet.jsp?pnu=3611010700108290000&amp;isNoScr=script&amp;mode=search", "토지이음")</f>
        <v/>
      </c>
      <c r="T718" s="3" t="inlineStr">
        <is>
          <t>왕중왕기업</t>
        </is>
      </c>
      <c r="U718" s="3" t="n">
        <v>1</v>
      </c>
      <c r="V718" s="3" t="inlineStr">
        <is>
          <t>802</t>
        </is>
      </c>
      <c r="W718" s="4" t="n">
        <v>5089</v>
      </c>
      <c r="X718" s="3" t="inlineStr">
        <is>
          <t>철근콘크리트구조</t>
        </is>
      </c>
      <c r="Y718" s="3" t="inlineStr">
        <is>
          <t>제2종근린생활시설</t>
        </is>
      </c>
      <c r="Z718" s="3" t="inlineStr">
        <is>
          <t>-m</t>
        </is>
      </c>
      <c r="AA718" s="3" t="inlineStr">
        <is>
          <t>2021-08-20</t>
        </is>
      </c>
    </row>
    <row r="719">
      <c r="A719" s="3" t="inlineStr">
        <is>
          <t>세종특별자치시 나성동 829</t>
        </is>
      </c>
      <c r="B719" s="3" t="inlineStr">
        <is>
          <t>중심상업지역</t>
        </is>
      </c>
      <c r="C719" s="3" t="inlineStr">
        <is>
          <t>대</t>
        </is>
      </c>
      <c r="D719" s="3" t="inlineStr">
        <is>
          <t>공장</t>
        </is>
      </c>
      <c r="E719" s="3" t="inlineStr">
        <is>
          <t>월세</t>
        </is>
      </c>
      <c r="F719" s="4" t="n">
        <v>2000</v>
      </c>
      <c r="G719" s="4" t="n">
        <v>140</v>
      </c>
      <c r="H719" s="4" t="n">
        <v>629</v>
      </c>
      <c r="I719" s="4" t="n">
        <v>190</v>
      </c>
      <c r="J719" s="5" t="n">
        <v>0.7</v>
      </c>
      <c r="K719" s="4" t="n">
        <v>262</v>
      </c>
      <c r="L719" s="4" t="n">
        <v>79</v>
      </c>
      <c r="M719" s="5" t="n">
        <v>1.8</v>
      </c>
      <c r="N719" s="3" t="inlineStr">
        <is>
          <t>2</t>
        </is>
      </c>
      <c r="O719" s="3" t="inlineStr">
        <is>
          <t>-</t>
        </is>
      </c>
      <c r="P719" s="3" t="inlineStr">
        <is>
          <t>1층같은 2층, 도로이용하여 공장내부로 차량유입가능</t>
        </is>
      </c>
      <c r="Q719" s="6">
        <f>HYPERLINK("https://fin.land.naver.com/articles/2644663133", "매물Link")</f>
        <v/>
      </c>
      <c r="R719" s="6">
        <f>HYPERLINK("https://map.naver.com/p/search/세종특별자치시 나성동 829", "지도Link")</f>
        <v/>
      </c>
      <c r="S719" s="6">
        <f>HYPERLINK("http://www.eum.go.kr/web/ar/lu/luLandDet.jsp?pnu=3611010700108290000&amp;isNoScr=script&amp;mode=search", "토지이음")</f>
        <v/>
      </c>
      <c r="T719" s="3" t="inlineStr">
        <is>
          <t>성지</t>
        </is>
      </c>
      <c r="U719" s="3" t="n">
        <v>1</v>
      </c>
      <c r="V719" s="3" t="inlineStr">
        <is>
          <t>근린생활시설 기계실</t>
        </is>
      </c>
      <c r="W719" s="4" t="n">
        <v>262</v>
      </c>
      <c r="X719" s="3" t="inlineStr">
        <is>
          <t>철근콘크리트구조</t>
        </is>
      </c>
      <c r="Y719" s="3" t="inlineStr">
        <is>
          <t>제2종근린생활시설</t>
        </is>
      </c>
      <c r="Z719" s="3" t="inlineStr">
        <is>
          <t>-m</t>
        </is>
      </c>
      <c r="AA719" s="3" t="inlineStr">
        <is>
          <t>2021-08-20</t>
        </is>
      </c>
    </row>
    <row r="720">
      <c r="A720" s="3" t="inlineStr">
        <is>
          <t>세종특별자치시 나성동 829</t>
        </is>
      </c>
      <c r="B720" s="3" t="inlineStr">
        <is>
          <t>중심상업지역</t>
        </is>
      </c>
      <c r="C720" s="3" t="inlineStr">
        <is>
          <t>대</t>
        </is>
      </c>
      <c r="D720" s="3" t="inlineStr">
        <is>
          <t>공장</t>
        </is>
      </c>
      <c r="E720" s="3" t="inlineStr">
        <is>
          <t>월세</t>
        </is>
      </c>
      <c r="F720" s="4" t="n">
        <v>1000</v>
      </c>
      <c r="G720" s="4" t="n">
        <v>80</v>
      </c>
      <c r="H720" s="4" t="n">
        <v>83</v>
      </c>
      <c r="I720" s="4" t="n">
        <v>25</v>
      </c>
      <c r="J720" s="5" t="n">
        <v>3.2</v>
      </c>
      <c r="K720" s="4" t="n">
        <v>83</v>
      </c>
      <c r="L720" s="4" t="n">
        <v>25</v>
      </c>
      <c r="M720" s="5" t="n">
        <v>3.2</v>
      </c>
      <c r="N720" s="3" t="inlineStr">
        <is>
          <t>12</t>
        </is>
      </c>
      <c r="O720" s="3" t="inlineStr">
        <is>
          <t>B2</t>
        </is>
      </c>
      <c r="P720" s="3" t="inlineStr">
        <is>
          <t>지식산업센타, 신축, 사무실및 공장,창고사용가능.</t>
        </is>
      </c>
      <c r="Q720" s="6">
        <f>HYPERLINK("https://fin.land.naver.com/articles/2644662987", "매물Link")</f>
        <v/>
      </c>
      <c r="R720" s="6">
        <f>HYPERLINK("https://map.naver.com/p/search/세종특별자치시 나성동 829", "지도Link")</f>
        <v/>
      </c>
      <c r="S720" s="6">
        <f>HYPERLINK("http://www.eum.go.kr/web/ar/lu/luLandDet.jsp?pnu=3611010700108290000&amp;isNoScr=script&amp;mode=search", "토지이음")</f>
        <v/>
      </c>
      <c r="T720" s="3" t="inlineStr">
        <is>
          <t>성지</t>
        </is>
      </c>
      <c r="U720" s="3" t="n">
        <v>1</v>
      </c>
      <c r="V720" s="3" t="inlineStr">
        <is>
          <t>공동주택 바이크스테이션</t>
        </is>
      </c>
      <c r="W720" s="4" t="n">
        <v>83</v>
      </c>
      <c r="X720" s="3" t="inlineStr">
        <is>
          <t>철근콘크리트구조</t>
        </is>
      </c>
      <c r="Y720" s="3" t="inlineStr">
        <is>
          <t>공동주택</t>
        </is>
      </c>
      <c r="Z720" s="3" t="inlineStr">
        <is>
          <t>-m</t>
        </is>
      </c>
      <c r="AA720" s="3" t="inlineStr">
        <is>
          <t>2021-08-20</t>
        </is>
      </c>
    </row>
    <row r="721">
      <c r="A721" s="3" t="inlineStr">
        <is>
          <t>세종특별자치시 나성동 829</t>
        </is>
      </c>
      <c r="B721" s="3" t="inlineStr">
        <is>
          <t>중심상업지역</t>
        </is>
      </c>
      <c r="C721" s="3" t="inlineStr">
        <is>
          <t>대</t>
        </is>
      </c>
      <c r="D721" s="3" t="inlineStr">
        <is>
          <t>창고</t>
        </is>
      </c>
      <c r="E721" s="3" t="inlineStr">
        <is>
          <t>월세</t>
        </is>
      </c>
      <c r="F721" s="4" t="n">
        <v>2000</v>
      </c>
      <c r="G721" s="4" t="n">
        <v>150</v>
      </c>
      <c r="H721" s="4" t="n">
        <v>557</v>
      </c>
      <c r="I721" s="4" t="n">
        <v>168</v>
      </c>
      <c r="J721" s="5" t="n">
        <v>0.9</v>
      </c>
      <c r="K721" s="4" t="n">
        <v>186</v>
      </c>
      <c r="L721" s="4" t="n">
        <v>56</v>
      </c>
      <c r="M721" s="5" t="n">
        <v>2.7</v>
      </c>
      <c r="N721" s="3" t="inlineStr">
        <is>
          <t>1</t>
        </is>
      </c>
      <c r="O721" s="3" t="inlineStr">
        <is>
          <t>-</t>
        </is>
      </c>
      <c r="P721" s="3" t="inlineStr">
        <is>
          <t>대전IC부근,신축,층고8.5미터</t>
        </is>
      </c>
      <c r="Q721" s="6">
        <f>HYPERLINK("https://fin.land.naver.com/articles/2647313315", "매물Link")</f>
        <v/>
      </c>
      <c r="R721" s="6">
        <f>HYPERLINK("https://map.naver.com/p/search/세종특별자치시 나성동 829", "지도Link")</f>
        <v/>
      </c>
      <c r="S721" s="6">
        <f>HYPERLINK("http://www.eum.go.kr/web/ar/lu/luLandDet.jsp?pnu=3611010700108290000&amp;isNoScr=script&amp;mode=search", "토지이음")</f>
        <v/>
      </c>
      <c r="T721" s="3" t="inlineStr">
        <is>
          <t>정안</t>
        </is>
      </c>
      <c r="U721" s="3" t="n">
        <v>1</v>
      </c>
      <c r="V721" s="3" t="inlineStr">
        <is>
          <t>701</t>
        </is>
      </c>
      <c r="W721" s="4" t="n">
        <v>186</v>
      </c>
      <c r="X721" s="3" t="inlineStr">
        <is>
          <t>철근콘크리트구조</t>
        </is>
      </c>
      <c r="Y721" s="3" t="inlineStr">
        <is>
          <t>판매시설</t>
        </is>
      </c>
      <c r="Z721" s="3" t="inlineStr">
        <is>
          <t>-m</t>
        </is>
      </c>
      <c r="AA721" s="3" t="inlineStr">
        <is>
          <t>2021-08-20</t>
        </is>
      </c>
    </row>
    <row r="722">
      <c r="A722" s="3" t="inlineStr">
        <is>
          <t>세종특별자치시 나성동 829</t>
        </is>
      </c>
      <c r="B722" s="3" t="inlineStr">
        <is>
          <t>중심상업지역</t>
        </is>
      </c>
      <c r="C722" s="3" t="inlineStr">
        <is>
          <t>대</t>
        </is>
      </c>
      <c r="D722" s="3" t="inlineStr">
        <is>
          <t>공장</t>
        </is>
      </c>
      <c r="E722" s="3" t="inlineStr">
        <is>
          <t>월세</t>
        </is>
      </c>
      <c r="F722" s="4" t="n">
        <v>7000</v>
      </c>
      <c r="G722" s="4" t="n">
        <v>650</v>
      </c>
      <c r="H722" s="4" t="n">
        <v>5021</v>
      </c>
      <c r="I722" s="4" t="n">
        <v>1519</v>
      </c>
      <c r="J722" s="5" t="n">
        <v>0.4</v>
      </c>
      <c r="K722" s="4" t="n">
        <v>792</v>
      </c>
      <c r="L722" s="4" t="n">
        <v>240</v>
      </c>
      <c r="M722" s="5" t="n">
        <v>2.7</v>
      </c>
      <c r="N722" s="3" t="inlineStr">
        <is>
          <t>2</t>
        </is>
      </c>
      <c r="O722" s="3" t="inlineStr">
        <is>
          <t>B1</t>
        </is>
      </c>
      <c r="P722" s="3" t="inlineStr">
        <is>
          <t>높은층고,호이스트2대, 넗은주차장.</t>
        </is>
      </c>
      <c r="Q722" s="6">
        <f>HYPERLINK("https://fin.land.naver.com/articles/2644662834", "매물Link")</f>
        <v/>
      </c>
      <c r="R722" s="6">
        <f>HYPERLINK("https://map.naver.com/p/search/세종특별자치시 나성동 829", "지도Link")</f>
        <v/>
      </c>
      <c r="S722" s="6">
        <f>HYPERLINK("http://www.eum.go.kr/web/ar/lu/luLandDet.jsp?pnu=3611010700108290000&amp;isNoScr=script&amp;mode=search", "토지이음")</f>
        <v/>
      </c>
      <c r="T722" s="3" t="inlineStr">
        <is>
          <t>성지</t>
        </is>
      </c>
      <c r="U722" s="3" t="n">
        <v>1</v>
      </c>
      <c r="V722" s="3" t="inlineStr">
        <is>
          <t>공동주택 휘트니스</t>
        </is>
      </c>
      <c r="W722" s="4" t="n">
        <v>792</v>
      </c>
      <c r="X722" s="3" t="inlineStr">
        <is>
          <t>철근콘크리트구조</t>
        </is>
      </c>
      <c r="Y722" s="3" t="inlineStr">
        <is>
          <t>공동주택</t>
        </is>
      </c>
      <c r="Z722" s="3" t="inlineStr">
        <is>
          <t>-m</t>
        </is>
      </c>
      <c r="AA722" s="3" t="inlineStr">
        <is>
          <t>2021-08-20</t>
        </is>
      </c>
    </row>
    <row r="723">
      <c r="A723" s="3" t="inlineStr">
        <is>
          <t>세종특별자치시 나성동 829</t>
        </is>
      </c>
      <c r="B723" s="3" t="inlineStr">
        <is>
          <t>중심상업지역</t>
        </is>
      </c>
      <c r="C723" s="3" t="inlineStr">
        <is>
          <t>대</t>
        </is>
      </c>
      <c r="D723" s="3" t="inlineStr">
        <is>
          <t>창고</t>
        </is>
      </c>
      <c r="E723" s="3" t="inlineStr">
        <is>
          <t>월세</t>
        </is>
      </c>
      <c r="F723" s="4" t="n">
        <v>12000</v>
      </c>
      <c r="G723" s="4" t="n">
        <v>0</v>
      </c>
      <c r="H723" s="4" t="n">
        <v>10472</v>
      </c>
      <c r="I723" s="4" t="n">
        <v>3168</v>
      </c>
      <c r="J723" s="5" t="n">
        <v>0</v>
      </c>
      <c r="K723" s="4" t="n">
        <v>2003</v>
      </c>
      <c r="L723" s="4" t="n">
        <v>606</v>
      </c>
      <c r="M723" s="5" t="n">
        <v>0</v>
      </c>
      <c r="N723" s="3" t="inlineStr">
        <is>
          <t>4</t>
        </is>
      </c>
      <c r="O723" s="3" t="inlineStr">
        <is>
          <t>B1</t>
        </is>
      </c>
      <c r="P723" s="3" t="inlineStr">
        <is>
          <t>대형 창고 임대  월세 저렴  단기 임대 가능분할 임대 가능</t>
        </is>
      </c>
      <c r="Q723" s="6">
        <f>HYPERLINK("https://fin.land.naver.com/articles/2644512934", "매물Link")</f>
        <v/>
      </c>
      <c r="R723" s="6">
        <f>HYPERLINK("https://map.naver.com/p/search/세종특별자치시 나성동 829", "지도Link")</f>
        <v/>
      </c>
      <c r="S723" s="6">
        <f>HYPERLINK("http://www.eum.go.kr/web/ar/lu/luLandDet.jsp?pnu=3611010700108290000&amp;isNoScr=script&amp;mode=search", "토지이음")</f>
        <v/>
      </c>
      <c r="T723" s="3" t="inlineStr">
        <is>
          <t>삼익</t>
        </is>
      </c>
      <c r="U723" s="3" t="n">
        <v>1</v>
      </c>
      <c r="V723" s="3" t="inlineStr">
        <is>
          <t>901(전망공간)</t>
        </is>
      </c>
      <c r="W723" s="4" t="n">
        <v>2003</v>
      </c>
      <c r="X723" s="3" t="inlineStr">
        <is>
          <t>철근콘크리트구조</t>
        </is>
      </c>
      <c r="Y723" s="3" t="inlineStr">
        <is>
          <t>제2종근린생활시설</t>
        </is>
      </c>
      <c r="Z723" s="3" t="inlineStr">
        <is>
          <t>-m</t>
        </is>
      </c>
      <c r="AA723" s="3" t="inlineStr">
        <is>
          <t>2021-08-20</t>
        </is>
      </c>
    </row>
    <row r="724">
      <c r="A724" s="3" t="inlineStr">
        <is>
          <t>세종특별자치시 나성동 829</t>
        </is>
      </c>
      <c r="B724" s="3" t="inlineStr">
        <is>
          <t>중심상업지역</t>
        </is>
      </c>
      <c r="C724" s="3" t="inlineStr">
        <is>
          <t>대</t>
        </is>
      </c>
      <c r="D724" s="3" t="inlineStr">
        <is>
          <t>공장</t>
        </is>
      </c>
      <c r="E724" s="3" t="inlineStr">
        <is>
          <t>월세</t>
        </is>
      </c>
      <c r="F724" s="4" t="n">
        <v>10000</v>
      </c>
      <c r="G724" s="4" t="n">
        <v>850</v>
      </c>
      <c r="H724" s="4" t="n">
        <v>3000</v>
      </c>
      <c r="I724" s="4" t="n">
        <v>908</v>
      </c>
      <c r="J724" s="5" t="n">
        <v>0.9</v>
      </c>
      <c r="K724" s="4" t="n">
        <v>1320</v>
      </c>
      <c r="L724" s="4" t="n">
        <v>399</v>
      </c>
      <c r="M724" s="5" t="n">
        <v>2.1</v>
      </c>
      <c r="N724" s="3" t="inlineStr">
        <is>
          <t>1</t>
        </is>
      </c>
      <c r="O724" s="3" t="inlineStr">
        <is>
          <t>-</t>
        </is>
      </c>
      <c r="P724" s="3" t="inlineStr">
        <is>
          <t>nan</t>
        </is>
      </c>
      <c r="Q724" s="6">
        <f>HYPERLINK("https://fin.land.naver.com/articles/2644410739", "매물Link")</f>
        <v/>
      </c>
      <c r="R724" s="6">
        <f>HYPERLINK("https://map.naver.com/p/search/세종특별자치시 나성동 829", "지도Link")</f>
        <v/>
      </c>
      <c r="S724" s="6">
        <f>HYPERLINK("http://www.eum.go.kr/web/ar/lu/luLandDet.jsp?pnu=3611010700108290000&amp;isNoScr=script&amp;mode=search", "토지이음")</f>
        <v/>
      </c>
      <c r="T724" s="3" t="inlineStr">
        <is>
          <t>삼익</t>
        </is>
      </c>
      <c r="U724" s="3" t="n">
        <v>1</v>
      </c>
      <c r="V724" s="3" t="inlineStr">
        <is>
          <t>605</t>
        </is>
      </c>
      <c r="W724" s="4" t="n">
        <v>1320</v>
      </c>
      <c r="X724" s="3" t="inlineStr">
        <is>
          <t>철근콘크리트구조</t>
        </is>
      </c>
      <c r="Y724" s="3" t="inlineStr">
        <is>
          <t>공동주택</t>
        </is>
      </c>
      <c r="Z724" s="3" t="inlineStr">
        <is>
          <t>45.30m</t>
        </is>
      </c>
      <c r="AA724" s="3" t="inlineStr">
        <is>
          <t>2021-08-20</t>
        </is>
      </c>
    </row>
    <row r="725">
      <c r="A725" s="3" t="inlineStr">
        <is>
          <t>세종특별자치시 나성동 829</t>
        </is>
      </c>
      <c r="B725" s="3" t="inlineStr">
        <is>
          <t>중심상업지역</t>
        </is>
      </c>
      <c r="C725" s="3" t="inlineStr">
        <is>
          <t>대</t>
        </is>
      </c>
      <c r="D725" s="3" t="inlineStr">
        <is>
          <t>공장</t>
        </is>
      </c>
      <c r="E725" s="3" t="inlineStr">
        <is>
          <t>월세</t>
        </is>
      </c>
      <c r="F725" s="4" t="n">
        <v>1500</v>
      </c>
      <c r="G725" s="4" t="n">
        <v>120</v>
      </c>
      <c r="H725" s="4" t="n">
        <v>625</v>
      </c>
      <c r="I725" s="4" t="n">
        <v>189</v>
      </c>
      <c r="J725" s="5" t="n">
        <v>0.6</v>
      </c>
      <c r="K725" s="4" t="n">
        <v>561</v>
      </c>
      <c r="L725" s="4" t="n">
        <v>170</v>
      </c>
      <c r="M725" s="5" t="n">
        <v>0.7</v>
      </c>
      <c r="N725" s="3" t="inlineStr">
        <is>
          <t>1</t>
        </is>
      </c>
      <c r="O725" s="3" t="inlineStr">
        <is>
          <t>-</t>
        </is>
      </c>
      <c r="P725" s="3" t="inlineStr">
        <is>
          <t>귀한 소형 공장</t>
        </is>
      </c>
      <c r="Q725" s="6">
        <f>HYPERLINK("https://fin.land.naver.com/articles/2644267138", "매물Link")</f>
        <v/>
      </c>
      <c r="R725" s="6">
        <f>HYPERLINK("https://map.naver.com/p/search/세종특별자치시 나성동 829", "지도Link")</f>
        <v/>
      </c>
      <c r="S725" s="6">
        <f>HYPERLINK("http://www.eum.go.kr/web/ar/lu/luLandDet.jsp?pnu=3611010700108290000&amp;isNoScr=script&amp;mode=search", "토지이음")</f>
        <v/>
      </c>
      <c r="T725" s="3" t="inlineStr">
        <is>
          <t>제일</t>
        </is>
      </c>
      <c r="U725" s="3" t="n">
        <v>1</v>
      </c>
      <c r="V725" s="3" t="inlineStr">
        <is>
          <t>전망공간 기계실</t>
        </is>
      </c>
      <c r="W725" s="4" t="n">
        <v>561</v>
      </c>
      <c r="X725" s="3" t="inlineStr">
        <is>
          <t>철근콘크리트구조</t>
        </is>
      </c>
      <c r="Y725" s="3" t="inlineStr">
        <is>
          <t>제2종근린생활시설</t>
        </is>
      </c>
      <c r="Z725" s="3" t="inlineStr">
        <is>
          <t>-m</t>
        </is>
      </c>
      <c r="AA725" s="3" t="inlineStr">
        <is>
          <t>2021-08-20</t>
        </is>
      </c>
    </row>
    <row r="726">
      <c r="A726" s="3" t="inlineStr">
        <is>
          <t>세종특별자치시 나성동 829</t>
        </is>
      </c>
      <c r="B726" s="3" t="inlineStr">
        <is>
          <t>중심상업지역</t>
        </is>
      </c>
      <c r="C726" s="3" t="inlineStr">
        <is>
          <t>대</t>
        </is>
      </c>
      <c r="D726" s="3" t="inlineStr">
        <is>
          <t>공장</t>
        </is>
      </c>
      <c r="E726" s="3" t="inlineStr">
        <is>
          <t>월세</t>
        </is>
      </c>
      <c r="F726" s="4" t="n">
        <v>3000</v>
      </c>
      <c r="G726" s="4" t="n">
        <v>250</v>
      </c>
      <c r="H726" s="4" t="n">
        <v>6364</v>
      </c>
      <c r="I726" s="4" t="n">
        <v>1925</v>
      </c>
      <c r="J726" s="5" t="n">
        <v>0.1</v>
      </c>
      <c r="K726" s="4" t="n">
        <v>330</v>
      </c>
      <c r="L726" s="4" t="n">
        <v>100</v>
      </c>
      <c r="M726" s="5" t="n">
        <v>2.5</v>
      </c>
      <c r="N726" s="3" t="inlineStr">
        <is>
          <t>1</t>
        </is>
      </c>
      <c r="O726" s="3" t="inlineStr">
        <is>
          <t>-</t>
        </is>
      </c>
      <c r="P726" s="3" t="inlineStr">
        <is>
          <t>층고 낮은 공장 임대 내부 깔끔하고 관리 상태 우수한 공장입니다.</t>
        </is>
      </c>
      <c r="Q726" s="6">
        <f>HYPERLINK("https://fin.land.naver.com/articles/2644237368", "매물Link")</f>
        <v/>
      </c>
      <c r="R726" s="6">
        <f>HYPERLINK("https://map.naver.com/p/search/세종특별자치시 나성동 829", "지도Link")</f>
        <v/>
      </c>
      <c r="S726" s="6">
        <f>HYPERLINK("http://www.eum.go.kr/web/ar/lu/luLandDet.jsp?pnu=3611010700108290000&amp;isNoScr=script&amp;mode=search", "토지이음")</f>
        <v/>
      </c>
      <c r="T726" s="3" t="inlineStr">
        <is>
          <t>삼익</t>
        </is>
      </c>
      <c r="U726" s="3" t="n">
        <v>1</v>
      </c>
      <c r="V726" s="3" t="inlineStr">
        <is>
          <t>801</t>
        </is>
      </c>
      <c r="W726" s="4" t="n">
        <v>330</v>
      </c>
      <c r="X726" s="3" t="inlineStr">
        <is>
          <t>철근콘크리트구조</t>
        </is>
      </c>
      <c r="Y726" s="3" t="inlineStr">
        <is>
          <t>제2종근린생활시설</t>
        </is>
      </c>
      <c r="Z726" s="3" t="inlineStr">
        <is>
          <t>-m</t>
        </is>
      </c>
      <c r="AA726" s="3" t="inlineStr">
        <is>
          <t>2021-08-20</t>
        </is>
      </c>
    </row>
    <row r="727">
      <c r="A727" s="3" t="inlineStr">
        <is>
          <t>세종특별자치시 나성동 829</t>
        </is>
      </c>
      <c r="B727" s="3" t="inlineStr">
        <is>
          <t>중심상업지역</t>
        </is>
      </c>
      <c r="C727" s="3" t="inlineStr">
        <is>
          <t>대</t>
        </is>
      </c>
      <c r="D727" s="3" t="inlineStr">
        <is>
          <t>공장</t>
        </is>
      </c>
      <c r="E727" s="3" t="inlineStr">
        <is>
          <t>매매</t>
        </is>
      </c>
      <c r="F727" s="4" t="n">
        <v>1240000</v>
      </c>
      <c r="G727" s="4" t="n">
        <v>0</v>
      </c>
      <c r="H727" s="4" t="n">
        <v>6513</v>
      </c>
      <c r="I727" s="4" t="n">
        <v>1970</v>
      </c>
      <c r="J727" s="5" t="n">
        <v>629.4</v>
      </c>
      <c r="K727" s="4" t="n">
        <v>7357</v>
      </c>
      <c r="L727" s="4" t="n">
        <v>2225</v>
      </c>
      <c r="M727" s="5" t="n">
        <v>557.3</v>
      </c>
      <c r="N727" s="3" t="inlineStr">
        <is>
          <t>3</t>
        </is>
      </c>
      <c r="O727" s="3" t="inlineStr">
        <is>
          <t>-</t>
        </is>
      </c>
      <c r="P727" s="3" t="inlineStr">
        <is>
          <t>대전산업단지 공장매매</t>
        </is>
      </c>
      <c r="Q727" s="6">
        <f>HYPERLINK("https://fin.land.naver.com/articles/2649363236", "매물Link")</f>
        <v/>
      </c>
      <c r="R727" s="6">
        <f>HYPERLINK("https://map.naver.com/p/search/세종특별자치시 나성동 829", "지도Link")</f>
        <v/>
      </c>
      <c r="S727" s="6">
        <f>HYPERLINK("http://www.eum.go.kr/web/ar/lu/luLandDet.jsp?pnu=3611010700108290000&amp;isNoScr=script&amp;mode=search", "토지이음")</f>
        <v/>
      </c>
      <c r="T727" s="3" t="inlineStr">
        <is>
          <t>(주)월드</t>
        </is>
      </c>
      <c r="U727" s="3" t="n">
        <v>1</v>
      </c>
      <c r="V727" s="3" t="inlineStr">
        <is>
          <t>802</t>
        </is>
      </c>
      <c r="W727" s="4" t="n">
        <v>7357</v>
      </c>
      <c r="X727" s="3" t="inlineStr">
        <is>
          <t>철근콘크리트구조</t>
        </is>
      </c>
      <c r="Y727" s="3" t="inlineStr">
        <is>
          <t>제2종근린생활시설</t>
        </is>
      </c>
      <c r="Z727" s="3" t="inlineStr">
        <is>
          <t>-m</t>
        </is>
      </c>
      <c r="AA727" s="3" t="inlineStr">
        <is>
          <t>2021-08-20</t>
        </is>
      </c>
    </row>
    <row r="728">
      <c r="A728" s="3" t="inlineStr">
        <is>
          <t>세종특별자치시 나성동 829</t>
        </is>
      </c>
      <c r="B728" s="3" t="inlineStr">
        <is>
          <t>중심상업지역</t>
        </is>
      </c>
      <c r="C728" s="3" t="inlineStr">
        <is>
          <t>대</t>
        </is>
      </c>
      <c r="D728" s="3" t="inlineStr">
        <is>
          <t>공장</t>
        </is>
      </c>
      <c r="E728" s="3" t="inlineStr">
        <is>
          <t>월세</t>
        </is>
      </c>
      <c r="F728" s="4" t="n">
        <v>8000</v>
      </c>
      <c r="G728" s="4" t="n">
        <v>750</v>
      </c>
      <c r="H728" s="4" t="n">
        <v>5021</v>
      </c>
      <c r="I728" s="4" t="n">
        <v>1519</v>
      </c>
      <c r="J728" s="5" t="n">
        <v>0.5</v>
      </c>
      <c r="K728" s="4" t="n">
        <v>2995</v>
      </c>
      <c r="L728" s="4" t="n">
        <v>906</v>
      </c>
      <c r="M728" s="5" t="n">
        <v>0.8</v>
      </c>
      <c r="N728" s="3" t="inlineStr">
        <is>
          <t>3</t>
        </is>
      </c>
      <c r="O728" s="3" t="inlineStr">
        <is>
          <t>B1</t>
        </is>
      </c>
      <c r="P728" s="3" t="inlineStr">
        <is>
          <t>호이스트 3대, 전기 충분</t>
        </is>
      </c>
      <c r="Q728" s="6">
        <f>HYPERLINK("https://fin.land.naver.com/articles/2648856124", "매물Link")</f>
        <v/>
      </c>
      <c r="R728" s="6">
        <f>HYPERLINK("https://map.naver.com/p/search/세종특별자치시 나성동 829", "지도Link")</f>
        <v/>
      </c>
      <c r="S728" s="6">
        <f>HYPERLINK("http://www.eum.go.kr/web/ar/lu/luLandDet.jsp?pnu=3611010700108290000&amp;isNoScr=script&amp;mode=search", "토지이음")</f>
        <v/>
      </c>
      <c r="T728" s="3" t="inlineStr">
        <is>
          <t>제일</t>
        </is>
      </c>
      <c r="U728" s="3" t="n">
        <v>1</v>
      </c>
      <c r="V728" s="3" t="inlineStr">
        <is>
          <t>802</t>
        </is>
      </c>
      <c r="W728" s="4" t="n">
        <v>2995</v>
      </c>
      <c r="X728" s="3" t="inlineStr">
        <is>
          <t>철근콘크리트구조</t>
        </is>
      </c>
      <c r="Y728" s="3" t="inlineStr">
        <is>
          <t>제2종근린생활시설</t>
        </is>
      </c>
      <c r="Z728" s="3" t="inlineStr">
        <is>
          <t>-m</t>
        </is>
      </c>
      <c r="AA728" s="3" t="inlineStr">
        <is>
          <t>2021-08-20</t>
        </is>
      </c>
    </row>
    <row r="729">
      <c r="A729" s="3" t="inlineStr">
        <is>
          <t>세종특별자치시 나성동 829</t>
        </is>
      </c>
      <c r="B729" s="3" t="inlineStr">
        <is>
          <t>중심상업지역</t>
        </is>
      </c>
      <c r="C729" s="3" t="inlineStr">
        <is>
          <t>대</t>
        </is>
      </c>
      <c r="D729" s="3" t="inlineStr">
        <is>
          <t>공장</t>
        </is>
      </c>
      <c r="E729" s="3" t="inlineStr">
        <is>
          <t>월세</t>
        </is>
      </c>
      <c r="F729" s="4" t="n">
        <v>500</v>
      </c>
      <c r="G729" s="4" t="n">
        <v>50</v>
      </c>
      <c r="H729" s="4" t="n">
        <v>2323</v>
      </c>
      <c r="I729" s="4" t="n">
        <v>703</v>
      </c>
      <c r="J729" s="5" t="n">
        <v>0.1</v>
      </c>
      <c r="K729" s="4" t="n">
        <v>1479</v>
      </c>
      <c r="L729" s="4" t="n">
        <v>447</v>
      </c>
      <c r="M729" s="5" t="n">
        <v>0.1</v>
      </c>
      <c r="N729" s="3" t="inlineStr">
        <is>
          <t>2</t>
        </is>
      </c>
      <c r="O729" s="3" t="inlineStr">
        <is>
          <t>-</t>
        </is>
      </c>
      <c r="P729" s="3" t="inlineStr">
        <is>
          <t>대전산단내 저렴한공장, 사무실및 창고형 공장.</t>
        </is>
      </c>
      <c r="Q729" s="6">
        <f>HYPERLINK("https://fin.land.naver.com/articles/2648071997", "매물Link")</f>
        <v/>
      </c>
      <c r="R729" s="6">
        <f>HYPERLINK("https://map.naver.com/p/search/세종특별자치시 나성동 829", "지도Link")</f>
        <v/>
      </c>
      <c r="S729" s="6">
        <f>HYPERLINK("http://www.eum.go.kr/web/ar/lu/luLandDet.jsp?pnu=3611010700108290000&amp;isNoScr=script&amp;mode=search", "토지이음")</f>
        <v/>
      </c>
      <c r="T729" s="3" t="inlineStr">
        <is>
          <t>성지</t>
        </is>
      </c>
      <c r="U729" s="3" t="n">
        <v>1</v>
      </c>
      <c r="V729" s="3" t="inlineStr">
        <is>
          <t>605</t>
        </is>
      </c>
      <c r="W729" s="4" t="n">
        <v>1479</v>
      </c>
      <c r="X729" s="3" t="inlineStr">
        <is>
          <t>철근콘크리트구조</t>
        </is>
      </c>
      <c r="Y729" s="3" t="inlineStr">
        <is>
          <t>공동주택</t>
        </is>
      </c>
      <c r="Z729" s="3" t="inlineStr">
        <is>
          <t>45.30m</t>
        </is>
      </c>
      <c r="AA729" s="3" t="inlineStr">
        <is>
          <t>2021-08-20</t>
        </is>
      </c>
    </row>
    <row r="730">
      <c r="A730" s="3" t="inlineStr">
        <is>
          <t>세종특별자치시 나성동 829</t>
        </is>
      </c>
      <c r="B730" s="3" t="inlineStr">
        <is>
          <t>중심상업지역</t>
        </is>
      </c>
      <c r="C730" s="3" t="inlineStr">
        <is>
          <t>대</t>
        </is>
      </c>
      <c r="D730" s="3" t="inlineStr">
        <is>
          <t>공장</t>
        </is>
      </c>
      <c r="E730" s="3" t="inlineStr">
        <is>
          <t>월세</t>
        </is>
      </c>
      <c r="F730" s="4" t="n">
        <v>2000</v>
      </c>
      <c r="G730" s="4" t="n">
        <v>150</v>
      </c>
      <c r="H730" s="4" t="n">
        <v>629</v>
      </c>
      <c r="I730" s="4" t="n">
        <v>190</v>
      </c>
      <c r="J730" s="5" t="n">
        <v>0.8</v>
      </c>
      <c r="K730" s="4" t="n">
        <v>691</v>
      </c>
      <c r="L730" s="4" t="n">
        <v>209</v>
      </c>
      <c r="M730" s="5" t="n">
        <v>0.7</v>
      </c>
      <c r="N730" s="3" t="inlineStr">
        <is>
          <t>2</t>
        </is>
      </c>
      <c r="O730" s="3" t="inlineStr">
        <is>
          <t>-</t>
        </is>
      </c>
      <c r="P730" s="3" t="inlineStr">
        <is>
          <t>1톤차 진입 가능한 2층</t>
        </is>
      </c>
      <c r="Q730" s="6">
        <f>HYPERLINK("https://fin.land.naver.com/articles/2647689740", "매물Link")</f>
        <v/>
      </c>
      <c r="R730" s="6">
        <f>HYPERLINK("https://map.naver.com/p/search/세종특별자치시 나성동 829", "지도Link")</f>
        <v/>
      </c>
      <c r="S730" s="6">
        <f>HYPERLINK("http://www.eum.go.kr/web/ar/lu/luLandDet.jsp?pnu=3611010700108290000&amp;isNoScr=script&amp;mode=search", "토지이음")</f>
        <v/>
      </c>
      <c r="T730" s="3" t="inlineStr">
        <is>
          <t>제일</t>
        </is>
      </c>
      <c r="U730" s="3" t="n">
        <v>1</v>
      </c>
      <c r="V730" s="3" t="inlineStr">
        <is>
          <t>803</t>
        </is>
      </c>
      <c r="W730" s="4" t="n">
        <v>691</v>
      </c>
      <c r="X730" s="3" t="inlineStr">
        <is>
          <t>철근콘크리트구조</t>
        </is>
      </c>
      <c r="Y730" s="3" t="inlineStr">
        <is>
          <t>제2종근린생활시설</t>
        </is>
      </c>
      <c r="Z730" s="3" t="inlineStr">
        <is>
          <t>-m</t>
        </is>
      </c>
      <c r="AA730" s="3" t="inlineStr">
        <is>
          <t>2021-08-20</t>
        </is>
      </c>
    </row>
    <row r="731">
      <c r="A731" s="3" t="inlineStr">
        <is>
          <t>세종특별자치시 나성동 829</t>
        </is>
      </c>
      <c r="B731" s="3" t="inlineStr">
        <is>
          <t>중심상업지역</t>
        </is>
      </c>
      <c r="C731" s="3" t="inlineStr">
        <is>
          <t>대</t>
        </is>
      </c>
      <c r="D731" s="3" t="inlineStr">
        <is>
          <t>공장</t>
        </is>
      </c>
      <c r="E731" s="3" t="inlineStr">
        <is>
          <t>월세</t>
        </is>
      </c>
      <c r="F731" s="4" t="n">
        <v>1800</v>
      </c>
      <c r="G731" s="4" t="n">
        <v>180</v>
      </c>
      <c r="H731" s="4" t="n">
        <v>3317</v>
      </c>
      <c r="I731" s="4" t="n">
        <v>1003</v>
      </c>
      <c r="J731" s="5" t="n">
        <v>0.2</v>
      </c>
      <c r="K731" s="4" t="n">
        <v>3032</v>
      </c>
      <c r="L731" s="4" t="n">
        <v>917</v>
      </c>
      <c r="M731" s="5" t="n">
        <v>0.2</v>
      </c>
      <c r="N731" s="3" t="inlineStr">
        <is>
          <t>3</t>
        </is>
      </c>
      <c r="O731" s="3" t="inlineStr">
        <is>
          <t>-</t>
        </is>
      </c>
      <c r="P731" s="3" t="inlineStr">
        <is>
          <t>층고낮은 저렴한 공장</t>
        </is>
      </c>
      <c r="Q731" s="6">
        <f>HYPERLINK("https://fin.land.naver.com/articles/2647688359", "매물Link")</f>
        <v/>
      </c>
      <c r="R731" s="6">
        <f>HYPERLINK("https://map.naver.com/p/search/세종특별자치시 나성동 829", "지도Link")</f>
        <v/>
      </c>
      <c r="S731" s="6">
        <f>HYPERLINK("http://www.eum.go.kr/web/ar/lu/luLandDet.jsp?pnu=3611010700108290000&amp;isNoScr=script&amp;mode=search", "토지이음")</f>
        <v/>
      </c>
      <c r="T731" s="3" t="inlineStr">
        <is>
          <t>제일</t>
        </is>
      </c>
      <c r="U731" s="3" t="n">
        <v>1</v>
      </c>
      <c r="V731" s="3" t="inlineStr">
        <is>
          <t>802</t>
        </is>
      </c>
      <c r="W731" s="4" t="n">
        <v>3032</v>
      </c>
      <c r="X731" s="3" t="inlineStr">
        <is>
          <t>철근콘크리트구조</t>
        </is>
      </c>
      <c r="Y731" s="3" t="inlineStr">
        <is>
          <t>제2종근린생활시설</t>
        </is>
      </c>
      <c r="Z731" s="3" t="inlineStr">
        <is>
          <t>-m</t>
        </is>
      </c>
      <c r="AA731" s="3" t="inlineStr">
        <is>
          <t>2021-08-20</t>
        </is>
      </c>
    </row>
    <row r="732">
      <c r="A732" s="3" t="inlineStr">
        <is>
          <t>세종특별자치시 나성동 829</t>
        </is>
      </c>
      <c r="B732" s="3" t="inlineStr">
        <is>
          <t>중심상업지역</t>
        </is>
      </c>
      <c r="C732" s="3" t="inlineStr">
        <is>
          <t>대</t>
        </is>
      </c>
      <c r="D732" s="3" t="inlineStr">
        <is>
          <t>공장</t>
        </is>
      </c>
      <c r="E732" s="3" t="inlineStr">
        <is>
          <t>월세</t>
        </is>
      </c>
      <c r="F732" s="4" t="n">
        <v>2500</v>
      </c>
      <c r="G732" s="4" t="n">
        <v>240</v>
      </c>
      <c r="H732" s="4" t="n">
        <v>990</v>
      </c>
      <c r="I732" s="4" t="n">
        <v>299</v>
      </c>
      <c r="J732" s="5" t="n">
        <v>0.8</v>
      </c>
      <c r="K732" s="4" t="n">
        <v>198</v>
      </c>
      <c r="L732" s="4" t="n">
        <v>60</v>
      </c>
      <c r="M732" s="5" t="n">
        <v>4</v>
      </c>
      <c r="N732" s="3" t="inlineStr">
        <is>
          <t>1</t>
        </is>
      </c>
      <c r="O732" s="3" t="inlineStr">
        <is>
          <t>-</t>
        </is>
      </c>
      <c r="P732" s="3" t="inlineStr">
        <is>
          <t>호이스트있음,신축, 공단내 공장.</t>
        </is>
      </c>
      <c r="Q732" s="6">
        <f>HYPERLINK("https://fin.land.naver.com/articles/2646513682", "매물Link")</f>
        <v/>
      </c>
      <c r="R732" s="6">
        <f>HYPERLINK("https://map.naver.com/p/search/세종특별자치시 나성동 829", "지도Link")</f>
        <v/>
      </c>
      <c r="S732" s="6">
        <f>HYPERLINK("http://www.eum.go.kr/web/ar/lu/luLandDet.jsp?pnu=3611010700108290000&amp;isNoScr=script&amp;mode=search", "토지이음")</f>
        <v/>
      </c>
      <c r="T732" s="3" t="inlineStr">
        <is>
          <t>성지</t>
        </is>
      </c>
      <c r="U732" s="3" t="n">
        <v>1</v>
      </c>
      <c r="V732" s="3" t="inlineStr">
        <is>
          <t>공동주택 주민공동시설</t>
        </is>
      </c>
      <c r="W732" s="4" t="n">
        <v>198</v>
      </c>
      <c r="X732" s="3" t="inlineStr">
        <is>
          <t>철근콘크리트구조</t>
        </is>
      </c>
      <c r="Y732" s="3" t="inlineStr">
        <is>
          <t>공동주택</t>
        </is>
      </c>
      <c r="Z732" s="3" t="inlineStr">
        <is>
          <t>-m</t>
        </is>
      </c>
      <c r="AA732" s="3" t="inlineStr">
        <is>
          <t>2021-08-20</t>
        </is>
      </c>
    </row>
    <row r="733">
      <c r="A733" s="3" t="inlineStr">
        <is>
          <t>세종특별자치시 나성동 829</t>
        </is>
      </c>
      <c r="B733" s="3" t="inlineStr">
        <is>
          <t>중심상업지역</t>
        </is>
      </c>
      <c r="C733" s="3" t="inlineStr">
        <is>
          <t>대</t>
        </is>
      </c>
      <c r="D733" s="3" t="inlineStr">
        <is>
          <t>공장</t>
        </is>
      </c>
      <c r="E733" s="3" t="inlineStr">
        <is>
          <t>월세</t>
        </is>
      </c>
      <c r="F733" s="4" t="n">
        <v>10000</v>
      </c>
      <c r="G733" s="4" t="n">
        <v>700</v>
      </c>
      <c r="H733" s="4" t="n">
        <v>5485</v>
      </c>
      <c r="I733" s="4" t="n">
        <v>1659</v>
      </c>
      <c r="J733" s="5" t="n">
        <v>0.4</v>
      </c>
      <c r="K733" s="4" t="n">
        <v>866</v>
      </c>
      <c r="L733" s="4" t="n">
        <v>262</v>
      </c>
      <c r="M733" s="5" t="n">
        <v>2.7</v>
      </c>
      <c r="N733" s="3" t="inlineStr">
        <is>
          <t>1</t>
        </is>
      </c>
      <c r="O733" s="3" t="inlineStr">
        <is>
          <t>-</t>
        </is>
      </c>
      <c r="P733" s="3" t="inlineStr">
        <is>
          <t>넓은주차장, 높은층고, 저렴하고 깨뜻한 공장.</t>
        </is>
      </c>
      <c r="Q733" s="6">
        <f>HYPERLINK("https://fin.land.naver.com/articles/2644662798", "매물Link")</f>
        <v/>
      </c>
      <c r="R733" s="6">
        <f>HYPERLINK("https://map.naver.com/p/search/세종특별자치시 나성동 829", "지도Link")</f>
        <v/>
      </c>
      <c r="S733" s="6">
        <f>HYPERLINK("http://www.eum.go.kr/web/ar/lu/luLandDet.jsp?pnu=3611010700108290000&amp;isNoScr=script&amp;mode=search", "토지이음")</f>
        <v/>
      </c>
      <c r="T733" s="3" t="inlineStr">
        <is>
          <t>성지</t>
        </is>
      </c>
      <c r="U733" s="3" t="n">
        <v>1</v>
      </c>
      <c r="V733" s="3" t="inlineStr">
        <is>
          <t>전망공간 지하주차장</t>
        </is>
      </c>
      <c r="W733" s="4" t="n">
        <v>866</v>
      </c>
      <c r="X733" s="3" t="inlineStr">
        <is>
          <t>철근콘크리트구조</t>
        </is>
      </c>
      <c r="Y733" s="3" t="inlineStr">
        <is>
          <t>제2종근린생활시설</t>
        </is>
      </c>
      <c r="Z733" s="3" t="inlineStr">
        <is>
          <t>4.50m</t>
        </is>
      </c>
      <c r="AA733" s="3" t="inlineStr">
        <is>
          <t>2021-08-20</t>
        </is>
      </c>
    </row>
    <row r="734">
      <c r="A734" s="3" t="inlineStr">
        <is>
          <t>세종특별자치시 나성동 829</t>
        </is>
      </c>
      <c r="B734" s="3" t="inlineStr">
        <is>
          <t>중심상업지역</t>
        </is>
      </c>
      <c r="C734" s="3" t="inlineStr">
        <is>
          <t>대</t>
        </is>
      </c>
      <c r="D734" s="3" t="inlineStr">
        <is>
          <t>창고</t>
        </is>
      </c>
      <c r="E734" s="3" t="inlineStr">
        <is>
          <t>월세</t>
        </is>
      </c>
      <c r="F734" s="4" t="n">
        <v>1000</v>
      </c>
      <c r="G734" s="4" t="n">
        <v>110</v>
      </c>
      <c r="H734" s="4" t="n">
        <v>814</v>
      </c>
      <c r="I734" s="4" t="n">
        <v>246</v>
      </c>
      <c r="J734" s="5" t="n">
        <v>0.4</v>
      </c>
      <c r="K734" s="4" t="n">
        <v>158</v>
      </c>
      <c r="L734" s="4" t="n">
        <v>48</v>
      </c>
      <c r="M734" s="5" t="n">
        <v>2.3</v>
      </c>
      <c r="N734" s="3" t="inlineStr">
        <is>
          <t>1</t>
        </is>
      </c>
      <c r="O734" s="3" t="inlineStr">
        <is>
          <t>-</t>
        </is>
      </c>
      <c r="P734" s="3" t="inlineStr">
        <is>
          <t>대전IC인근 앞마당있는 저렴한 창고</t>
        </is>
      </c>
      <c r="Q734" s="6">
        <f>HYPERLINK("https://fin.land.naver.com/articles/2647137064", "매물Link")</f>
        <v/>
      </c>
      <c r="R734" s="6">
        <f>HYPERLINK("https://map.naver.com/p/search/세종특별자치시 나성동 829", "지도Link")</f>
        <v/>
      </c>
      <c r="S734" s="6">
        <f>HYPERLINK("http://www.eum.go.kr/web/ar/lu/luLandDet.jsp?pnu=3611010700108290000&amp;isNoScr=script&amp;mode=search", "토지이음")</f>
        <v/>
      </c>
      <c r="T734" s="3" t="inlineStr">
        <is>
          <t>한솔</t>
        </is>
      </c>
      <c r="U734" s="3" t="n">
        <v>1</v>
      </c>
      <c r="V734" s="3" t="inlineStr">
        <is>
          <t>공동주택 관리사무소</t>
        </is>
      </c>
      <c r="W734" s="4" t="n">
        <v>158</v>
      </c>
      <c r="X734" s="3" t="inlineStr">
        <is>
          <t>철근콘크리트구조</t>
        </is>
      </c>
      <c r="Y734" s="3" t="inlineStr">
        <is>
          <t>공동주택</t>
        </is>
      </c>
      <c r="Z734" s="3" t="inlineStr">
        <is>
          <t>-m</t>
        </is>
      </c>
      <c r="AA734" s="3" t="inlineStr">
        <is>
          <t>2021-08-20</t>
        </is>
      </c>
    </row>
    <row r="735">
      <c r="A735" s="3" t="inlineStr">
        <is>
          <t>세종특별자치시 나성동 829</t>
        </is>
      </c>
      <c r="B735" s="3" t="inlineStr">
        <is>
          <t>중심상업지역</t>
        </is>
      </c>
      <c r="C735" s="3" t="inlineStr">
        <is>
          <t>대</t>
        </is>
      </c>
      <c r="D735" s="3" t="inlineStr">
        <is>
          <t>창고</t>
        </is>
      </c>
      <c r="E735" s="3" t="inlineStr">
        <is>
          <t>매매</t>
        </is>
      </c>
      <c r="F735" s="4" t="n">
        <v>58000</v>
      </c>
      <c r="G735" s="4" t="n">
        <v>0</v>
      </c>
      <c r="H735" s="4" t="n">
        <v>386</v>
      </c>
      <c r="I735" s="4" t="n">
        <v>117</v>
      </c>
      <c r="J735" s="5" t="n">
        <v>495.7</v>
      </c>
      <c r="K735" s="4" t="n">
        <v>208</v>
      </c>
      <c r="L735" s="4" t="n">
        <v>63</v>
      </c>
      <c r="M735" s="5" t="n">
        <v>920.6</v>
      </c>
      <c r="N735" s="3" t="inlineStr">
        <is>
          <t>1</t>
        </is>
      </c>
      <c r="O735" s="3" t="inlineStr">
        <is>
          <t>-</t>
        </is>
      </c>
      <c r="P735" s="3" t="inlineStr">
        <is>
          <t>8m 도로에 접, 창고동과 사무동으로 구성</t>
        </is>
      </c>
      <c r="Q735" s="6">
        <f>HYPERLINK("https://fin.land.naver.com/articles/2645580577", "매물Link")</f>
        <v/>
      </c>
      <c r="R735" s="6">
        <f>HYPERLINK("https://map.naver.com/p/search/세종특별자치시 나성동 829", "지도Link")</f>
        <v/>
      </c>
      <c r="S735" s="6">
        <f>HYPERLINK("http://www.eum.go.kr/web/ar/lu/luLandDet.jsp?pnu=3611010700108290000&amp;isNoScr=script&amp;mode=search", "토지이음")</f>
        <v/>
      </c>
      <c r="T735" s="3" t="inlineStr">
        <is>
          <t>산업</t>
        </is>
      </c>
      <c r="U735" s="3" t="n">
        <v>1</v>
      </c>
      <c r="V735" s="3" t="inlineStr">
        <is>
          <t>공동주택 주민공동시설</t>
        </is>
      </c>
      <c r="W735" s="4" t="n">
        <v>208</v>
      </c>
      <c r="X735" s="3" t="inlineStr">
        <is>
          <t>철근콘크리트구조</t>
        </is>
      </c>
      <c r="Y735" s="3" t="inlineStr">
        <is>
          <t>공동주택</t>
        </is>
      </c>
      <c r="Z735" s="3" t="inlineStr">
        <is>
          <t>-m</t>
        </is>
      </c>
      <c r="AA735" s="3" t="inlineStr">
        <is>
          <t>2021-08-20</t>
        </is>
      </c>
    </row>
    <row r="736">
      <c r="A736" s="3" t="inlineStr">
        <is>
          <t>세종특별자치시 나성동 829</t>
        </is>
      </c>
      <c r="B736" s="3" t="inlineStr">
        <is>
          <t>중심상업지역</t>
        </is>
      </c>
      <c r="C736" s="3" t="inlineStr">
        <is>
          <t>대</t>
        </is>
      </c>
      <c r="D736" s="3" t="inlineStr">
        <is>
          <t>공장</t>
        </is>
      </c>
      <c r="E736" s="3" t="inlineStr">
        <is>
          <t>월세</t>
        </is>
      </c>
      <c r="F736" s="4" t="n">
        <v>5000</v>
      </c>
      <c r="G736" s="4" t="n">
        <v>400</v>
      </c>
      <c r="H736" s="4" t="n">
        <v>696</v>
      </c>
      <c r="I736" s="4" t="n">
        <v>211</v>
      </c>
      <c r="J736" s="5" t="n">
        <v>1.9</v>
      </c>
      <c r="K736" s="4" t="n">
        <v>397</v>
      </c>
      <c r="L736" s="4" t="n">
        <v>120</v>
      </c>
      <c r="M736" s="5" t="n">
        <v>3.3</v>
      </c>
      <c r="N736" s="3" t="inlineStr">
        <is>
          <t>1</t>
        </is>
      </c>
      <c r="O736" s="3" t="inlineStr">
        <is>
          <t>-</t>
        </is>
      </c>
      <c r="P736" s="3" t="inlineStr">
        <is>
          <t>nan</t>
        </is>
      </c>
      <c r="Q736" s="6">
        <f>HYPERLINK("https://fin.land.naver.com/articles/2645075478", "매물Link")</f>
        <v/>
      </c>
      <c r="R736" s="6">
        <f>HYPERLINK("https://map.naver.com/p/search/세종특별자치시 나성동 829", "지도Link")</f>
        <v/>
      </c>
      <c r="S736" s="6">
        <f>HYPERLINK("http://www.eum.go.kr/web/ar/lu/luLandDet.jsp?pnu=3611010700108290000&amp;isNoScr=script&amp;mode=search", "토지이음")</f>
        <v/>
      </c>
      <c r="T736" s="3" t="inlineStr">
        <is>
          <t>동아</t>
        </is>
      </c>
      <c r="U736" s="3" t="n">
        <v>1</v>
      </c>
      <c r="V736" s="3" t="inlineStr">
        <is>
          <t>전망공간 기계실</t>
        </is>
      </c>
      <c r="W736" s="4" t="n">
        <v>397</v>
      </c>
      <c r="X736" s="3" t="inlineStr">
        <is>
          <t>철근콘크리트구조</t>
        </is>
      </c>
      <c r="Y736" s="3" t="inlineStr">
        <is>
          <t>제2종근린생활시설</t>
        </is>
      </c>
      <c r="Z736" s="3" t="inlineStr">
        <is>
          <t>-m</t>
        </is>
      </c>
      <c r="AA736" s="3" t="inlineStr">
        <is>
          <t>2021-08-20</t>
        </is>
      </c>
    </row>
    <row r="737">
      <c r="A737" s="3" t="inlineStr">
        <is>
          <t>세종특별자치시 나성동 829</t>
        </is>
      </c>
      <c r="B737" s="3" t="inlineStr">
        <is>
          <t>중심상업지역</t>
        </is>
      </c>
      <c r="C737" s="3" t="inlineStr">
        <is>
          <t>대</t>
        </is>
      </c>
      <c r="D737" s="3" t="inlineStr">
        <is>
          <t>창고</t>
        </is>
      </c>
      <c r="E737" s="3" t="inlineStr">
        <is>
          <t>매매</t>
        </is>
      </c>
      <c r="F737" s="4" t="n">
        <v>140000</v>
      </c>
      <c r="G737" s="4" t="n">
        <v>0</v>
      </c>
      <c r="H737" s="4" t="n">
        <v>627</v>
      </c>
      <c r="I737" s="4" t="n">
        <v>190</v>
      </c>
      <c r="J737" s="5" t="n">
        <v>736.8</v>
      </c>
      <c r="K737" s="4" t="n">
        <v>626</v>
      </c>
      <c r="L737" s="4" t="n">
        <v>189</v>
      </c>
      <c r="M737" s="5" t="n">
        <v>740.7</v>
      </c>
      <c r="N737" s="3" t="inlineStr">
        <is>
          <t>2</t>
        </is>
      </c>
      <c r="O737" s="3" t="inlineStr">
        <is>
          <t>-</t>
        </is>
      </c>
      <c r="P737" s="3" t="inlineStr">
        <is>
          <t>대덕구 상서동 창고임대, 육가공가능</t>
        </is>
      </c>
      <c r="Q737" s="6">
        <f>HYPERLINK("https://fin.land.naver.com/articles/2649099469", "매물Link")</f>
        <v/>
      </c>
      <c r="R737" s="6">
        <f>HYPERLINK("https://map.naver.com/p/search/세종특별자치시 나성동 829", "지도Link")</f>
        <v/>
      </c>
      <c r="S737" s="6">
        <f>HYPERLINK("http://www.eum.go.kr/web/ar/lu/luLandDet.jsp?pnu=3611010700108290000&amp;isNoScr=script&amp;mode=search", "토지이음")</f>
        <v/>
      </c>
      <c r="T737" s="3" t="inlineStr">
        <is>
          <t>왕중왕기업</t>
        </is>
      </c>
      <c r="U737" s="3" t="n">
        <v>1</v>
      </c>
      <c r="V737" s="3" t="inlineStr">
        <is>
          <t>803</t>
        </is>
      </c>
      <c r="W737" s="4" t="n">
        <v>626</v>
      </c>
      <c r="X737" s="3" t="inlineStr">
        <is>
          <t>철근콘크리트구조</t>
        </is>
      </c>
      <c r="Y737" s="3" t="inlineStr">
        <is>
          <t>제2종근린생활시설</t>
        </is>
      </c>
      <c r="Z737" s="3" t="inlineStr">
        <is>
          <t>-m</t>
        </is>
      </c>
      <c r="AA737" s="3" t="inlineStr">
        <is>
          <t>2021-08-20</t>
        </is>
      </c>
    </row>
    <row r="738">
      <c r="A738" s="3" t="inlineStr">
        <is>
          <t>세종특별자치시 나성동 829</t>
        </is>
      </c>
      <c r="B738" s="3" t="inlineStr">
        <is>
          <t>중심상업지역</t>
        </is>
      </c>
      <c r="C738" s="3" t="inlineStr">
        <is>
          <t>대</t>
        </is>
      </c>
      <c r="D738" s="3" t="inlineStr">
        <is>
          <t>공장</t>
        </is>
      </c>
      <c r="E738" s="3" t="inlineStr">
        <is>
          <t>매매</t>
        </is>
      </c>
      <c r="F738" s="4" t="n">
        <v>550000</v>
      </c>
      <c r="G738" s="4" t="n">
        <v>0</v>
      </c>
      <c r="H738" s="4" t="n">
        <v>1652</v>
      </c>
      <c r="I738" s="4" t="n">
        <v>500</v>
      </c>
      <c r="J738" s="5" t="n">
        <v>1100</v>
      </c>
      <c r="K738" s="4" t="n">
        <v>1491</v>
      </c>
      <c r="L738" s="4" t="n">
        <v>451</v>
      </c>
      <c r="M738" s="5" t="n">
        <v>1219.5</v>
      </c>
      <c r="N738" s="3" t="inlineStr">
        <is>
          <t>2</t>
        </is>
      </c>
      <c r="O738" s="3" t="inlineStr">
        <is>
          <t>-</t>
        </is>
      </c>
      <c r="P738" s="3" t="inlineStr">
        <is>
          <t>nan</t>
        </is>
      </c>
      <c r="Q738" s="6">
        <f>HYPERLINK("https://fin.land.naver.com/articles/2647425227", "매물Link")</f>
        <v/>
      </c>
      <c r="R738" s="6">
        <f>HYPERLINK("https://map.naver.com/p/search/세종특별자치시 나성동 829", "지도Link")</f>
        <v/>
      </c>
      <c r="S738" s="6">
        <f>HYPERLINK("http://www.eum.go.kr/web/ar/lu/luLandDet.jsp?pnu=3611010700108290000&amp;isNoScr=script&amp;mode=search", "토지이음")</f>
        <v/>
      </c>
      <c r="T738" s="3" t="inlineStr">
        <is>
          <t>왕중왕기업</t>
        </is>
      </c>
      <c r="U738" s="3" t="n">
        <v>1</v>
      </c>
      <c r="V738" s="3" t="inlineStr">
        <is>
          <t>605</t>
        </is>
      </c>
      <c r="W738" s="4" t="n">
        <v>1491</v>
      </c>
      <c r="X738" s="3" t="inlineStr">
        <is>
          <t>철근콘크리트구조</t>
        </is>
      </c>
      <c r="Y738" s="3" t="inlineStr">
        <is>
          <t>공동주택</t>
        </is>
      </c>
      <c r="Z738" s="3" t="inlineStr">
        <is>
          <t>45.30m</t>
        </is>
      </c>
      <c r="AA738" s="3" t="inlineStr">
        <is>
          <t>2021-08-20</t>
        </is>
      </c>
    </row>
    <row r="739">
      <c r="A739" s="3" t="inlineStr">
        <is>
          <t>세종특별자치시 나성동 829</t>
        </is>
      </c>
      <c r="B739" s="3" t="inlineStr">
        <is>
          <t>중심상업지역</t>
        </is>
      </c>
      <c r="C739" s="3" t="inlineStr">
        <is>
          <t>대</t>
        </is>
      </c>
      <c r="D739" s="3" t="inlineStr">
        <is>
          <t>공장</t>
        </is>
      </c>
      <c r="E739" s="3" t="inlineStr">
        <is>
          <t>매매</t>
        </is>
      </c>
      <c r="F739" s="4" t="n">
        <v>81000</v>
      </c>
      <c r="G739" s="4" t="n">
        <v>0</v>
      </c>
      <c r="H739" s="4" t="n">
        <v>350</v>
      </c>
      <c r="I739" s="4" t="n">
        <v>106</v>
      </c>
      <c r="J739" s="5" t="n">
        <v>764.2</v>
      </c>
      <c r="K739" s="4" t="n">
        <v>298</v>
      </c>
      <c r="L739" s="4" t="n">
        <v>90</v>
      </c>
      <c r="M739" s="5" t="n">
        <v>900</v>
      </c>
      <c r="N739" s="3" t="inlineStr">
        <is>
          <t>2</t>
        </is>
      </c>
      <c r="O739" s="3" t="inlineStr">
        <is>
          <t>-</t>
        </is>
      </c>
      <c r="P739" s="3" t="inlineStr">
        <is>
          <t>층고 7m, 3톤 호이스트</t>
        </is>
      </c>
      <c r="Q739" s="6">
        <f>HYPERLINK("https://fin.land.naver.com/articles/2646896192", "매물Link")</f>
        <v/>
      </c>
      <c r="R739" s="6">
        <f>HYPERLINK("https://map.naver.com/p/search/세종특별자치시 나성동 829", "지도Link")</f>
        <v/>
      </c>
      <c r="S739" s="6">
        <f>HYPERLINK("http://www.eum.go.kr/web/ar/lu/luLandDet.jsp?pnu=3611010700108290000&amp;isNoScr=script&amp;mode=search", "토지이음")</f>
        <v/>
      </c>
      <c r="T739" s="3" t="inlineStr">
        <is>
          <t>산업</t>
        </is>
      </c>
      <c r="U739" s="3" t="n">
        <v>1</v>
      </c>
      <c r="V739" s="3" t="inlineStr">
        <is>
          <t>공동주택 전기,발전기실</t>
        </is>
      </c>
      <c r="W739" s="4" t="n">
        <v>298</v>
      </c>
      <c r="X739" s="3" t="inlineStr">
        <is>
          <t>철근콘크리트구조</t>
        </is>
      </c>
      <c r="Y739" s="3" t="inlineStr">
        <is>
          <t>공동주택</t>
        </is>
      </c>
      <c r="Z739" s="3" t="inlineStr">
        <is>
          <t>-m</t>
        </is>
      </c>
      <c r="AA739" s="3" t="inlineStr">
        <is>
          <t>2021-08-20</t>
        </is>
      </c>
    </row>
    <row r="740">
      <c r="A740" s="3" t="inlineStr">
        <is>
          <t>세종특별자치시 나성동 829</t>
        </is>
      </c>
      <c r="B740" s="3" t="inlineStr">
        <is>
          <t>중심상업지역</t>
        </is>
      </c>
      <c r="C740" s="3" t="inlineStr">
        <is>
          <t>대</t>
        </is>
      </c>
      <c r="D740" s="3" t="inlineStr">
        <is>
          <t>공장</t>
        </is>
      </c>
      <c r="E740" s="3" t="inlineStr">
        <is>
          <t>매매</t>
        </is>
      </c>
      <c r="F740" s="4" t="n">
        <v>116000</v>
      </c>
      <c r="G740" s="4" t="n">
        <v>0</v>
      </c>
      <c r="H740" s="4" t="n">
        <v>942</v>
      </c>
      <c r="I740" s="4" t="n">
        <v>285</v>
      </c>
      <c r="J740" s="5" t="n">
        <v>407</v>
      </c>
      <c r="K740" s="4" t="n">
        <v>463</v>
      </c>
      <c r="L740" s="4" t="n">
        <v>140</v>
      </c>
      <c r="M740" s="5" t="n">
        <v>828.6</v>
      </c>
      <c r="N740" s="3" t="inlineStr">
        <is>
          <t>1</t>
        </is>
      </c>
      <c r="O740" s="3" t="inlineStr">
        <is>
          <t>-</t>
        </is>
      </c>
      <c r="P740" s="3" t="inlineStr">
        <is>
          <t>전기300kw 사용가능 폐수시설있는 공장매매 빠른 입주 가능</t>
        </is>
      </c>
      <c r="Q740" s="6">
        <f>HYPERLINK("https://fin.land.naver.com/articles/2646106258", "매물Link")</f>
        <v/>
      </c>
      <c r="R740" s="6">
        <f>HYPERLINK("https://map.naver.com/p/search/세종특별자치시 나성동 829", "지도Link")</f>
        <v/>
      </c>
      <c r="S740" s="6">
        <f>HYPERLINK("http://www.eum.go.kr/web/ar/lu/luLandDet.jsp?pnu=3611010700108290000&amp;isNoScr=script&amp;mode=search", "토지이음")</f>
        <v/>
      </c>
      <c r="T740" s="3" t="inlineStr">
        <is>
          <t>삼익</t>
        </is>
      </c>
      <c r="U740" s="3" t="n">
        <v>1</v>
      </c>
      <c r="V740" s="3" t="inlineStr">
        <is>
          <t>전망공간 기계실</t>
        </is>
      </c>
      <c r="W740" s="4" t="n">
        <v>463</v>
      </c>
      <c r="X740" s="3" t="inlineStr">
        <is>
          <t>철근콘크리트구조</t>
        </is>
      </c>
      <c r="Y740" s="3" t="inlineStr">
        <is>
          <t>제2종근린생활시설</t>
        </is>
      </c>
      <c r="Z740" s="3" t="inlineStr">
        <is>
          <t>-m</t>
        </is>
      </c>
      <c r="AA740" s="3" t="inlineStr">
        <is>
          <t>2021-08-20</t>
        </is>
      </c>
    </row>
    <row r="741">
      <c r="A741" s="3" t="inlineStr">
        <is>
          <t>세종특별자치시 나성동 829</t>
        </is>
      </c>
      <c r="B741" s="3" t="inlineStr">
        <is>
          <t>중심상업지역</t>
        </is>
      </c>
      <c r="C741" s="3" t="inlineStr">
        <is>
          <t>대</t>
        </is>
      </c>
      <c r="D741" s="3" t="inlineStr">
        <is>
          <t>창고</t>
        </is>
      </c>
      <c r="E741" s="3" t="inlineStr">
        <is>
          <t>매매</t>
        </is>
      </c>
      <c r="F741" s="4" t="n">
        <v>121000</v>
      </c>
      <c r="G741" s="4" t="n">
        <v>0</v>
      </c>
      <c r="H741" s="4" t="n">
        <v>727</v>
      </c>
      <c r="I741" s="4" t="n">
        <v>220</v>
      </c>
      <c r="J741" s="5" t="n">
        <v>550</v>
      </c>
      <c r="K741" s="4" t="n">
        <v>271</v>
      </c>
      <c r="L741" s="4" t="n">
        <v>82</v>
      </c>
      <c r="M741" s="5" t="n">
        <v>1475.6</v>
      </c>
      <c r="N741" s="3" t="inlineStr">
        <is>
          <t>1</t>
        </is>
      </c>
      <c r="O741" s="3" t="inlineStr">
        <is>
          <t>-</t>
        </is>
      </c>
      <c r="P741" s="3" t="inlineStr">
        <is>
          <t>신탄진 IC 인근 마당 넓은 저렴한 창고 매매</t>
        </is>
      </c>
      <c r="Q741" s="6">
        <f>HYPERLINK("https://fin.land.naver.com/articles/2645999487", "매물Link")</f>
        <v/>
      </c>
      <c r="R741" s="6">
        <f>HYPERLINK("https://map.naver.com/p/search/세종특별자치시 나성동 829", "지도Link")</f>
        <v/>
      </c>
      <c r="S741" s="6">
        <f>HYPERLINK("http://www.eum.go.kr/web/ar/lu/luLandDet.jsp?pnu=3611010700108290000&amp;isNoScr=script&amp;mode=search", "토지이음")</f>
        <v/>
      </c>
      <c r="T741" s="3" t="inlineStr">
        <is>
          <t>KS</t>
        </is>
      </c>
      <c r="U741" s="3" t="n">
        <v>1</v>
      </c>
      <c r="V741" s="3" t="inlineStr">
        <is>
          <t>공동주택 기계실/열교환기실/펌프실</t>
        </is>
      </c>
      <c r="W741" s="4" t="n">
        <v>271</v>
      </c>
      <c r="X741" s="3" t="inlineStr">
        <is>
          <t>철근콘크리트구조</t>
        </is>
      </c>
      <c r="Y741" s="3" t="inlineStr">
        <is>
          <t>공동주택</t>
        </is>
      </c>
      <c r="Z741" s="3" t="inlineStr">
        <is>
          <t>-m</t>
        </is>
      </c>
      <c r="AA741" s="3" t="inlineStr">
        <is>
          <t>2021-08-20</t>
        </is>
      </c>
    </row>
    <row r="742">
      <c r="A742" s="3" t="inlineStr">
        <is>
          <t>세종특별자치시 나성동 829</t>
        </is>
      </c>
      <c r="B742" s="3" t="inlineStr">
        <is>
          <t>중심상업지역</t>
        </is>
      </c>
      <c r="C742" s="3" t="inlineStr">
        <is>
          <t>대</t>
        </is>
      </c>
      <c r="D742" s="3" t="inlineStr">
        <is>
          <t>공장</t>
        </is>
      </c>
      <c r="E742" s="3" t="inlineStr">
        <is>
          <t>월세</t>
        </is>
      </c>
      <c r="F742" s="4" t="n">
        <v>1000</v>
      </c>
      <c r="G742" s="4" t="n">
        <v>90</v>
      </c>
      <c r="H742" s="4" t="n">
        <v>347</v>
      </c>
      <c r="I742" s="4" t="n">
        <v>105</v>
      </c>
      <c r="J742" s="5" t="n">
        <v>0.9</v>
      </c>
      <c r="K742" s="4" t="n">
        <v>99</v>
      </c>
      <c r="L742" s="4" t="n">
        <v>30</v>
      </c>
      <c r="M742" s="5" t="n">
        <v>3</v>
      </c>
      <c r="N742" s="3" t="inlineStr">
        <is>
          <t>1</t>
        </is>
      </c>
      <c r="O742" s="3" t="inlineStr">
        <is>
          <t>-</t>
        </is>
      </c>
      <c r="P742" s="3" t="inlineStr">
        <is>
          <t>대덕구 상서동 공장 일부공간 및 사무공간임대</t>
        </is>
      </c>
      <c r="Q742" s="6">
        <f>HYPERLINK("https://fin.land.naver.com/articles/2645801710", "매물Link")</f>
        <v/>
      </c>
      <c r="R742" s="6">
        <f>HYPERLINK("https://map.naver.com/p/search/세종특별자치시 나성동 829", "지도Link")</f>
        <v/>
      </c>
      <c r="S742" s="6">
        <f>HYPERLINK("http://www.eum.go.kr/web/ar/lu/luLandDet.jsp?pnu=3611010700108290000&amp;isNoScr=script&amp;mode=search", "토지이음")</f>
        <v/>
      </c>
      <c r="T742" s="3" t="inlineStr">
        <is>
          <t>신탄진다온</t>
        </is>
      </c>
      <c r="U742" s="3" t="n">
        <v>1</v>
      </c>
      <c r="V742" s="3" t="inlineStr">
        <is>
          <t>공동주택 연결통로</t>
        </is>
      </c>
      <c r="W742" s="4" t="n">
        <v>99</v>
      </c>
      <c r="X742" s="3" t="inlineStr">
        <is>
          <t>철근콘크리트구조</t>
        </is>
      </c>
      <c r="Y742" s="3" t="inlineStr">
        <is>
          <t>공동주택</t>
        </is>
      </c>
      <c r="Z742" s="3" t="inlineStr">
        <is>
          <t>-m</t>
        </is>
      </c>
      <c r="AA742" s="3" t="inlineStr">
        <is>
          <t>2021-08-20</t>
        </is>
      </c>
    </row>
    <row r="743">
      <c r="A743" s="3" t="inlineStr">
        <is>
          <t>세종특별자치시 나성동 829</t>
        </is>
      </c>
      <c r="B743" s="3" t="inlineStr">
        <is>
          <t>중심상업지역</t>
        </is>
      </c>
      <c r="C743" s="3" t="inlineStr">
        <is>
          <t>대</t>
        </is>
      </c>
      <c r="D743" s="3" t="inlineStr">
        <is>
          <t>공장</t>
        </is>
      </c>
      <c r="E743" s="3" t="inlineStr">
        <is>
          <t>매매</t>
        </is>
      </c>
      <c r="F743" s="4" t="n">
        <v>62000</v>
      </c>
      <c r="G743" s="4" t="n">
        <v>0</v>
      </c>
      <c r="H743" s="4" t="n">
        <v>334</v>
      </c>
      <c r="I743" s="4" t="n">
        <v>101</v>
      </c>
      <c r="J743" s="5" t="n">
        <v>613.9</v>
      </c>
      <c r="K743" s="4" t="n">
        <v>352</v>
      </c>
      <c r="L743" s="4" t="n">
        <v>106</v>
      </c>
      <c r="M743" s="5" t="n">
        <v>584.9</v>
      </c>
      <c r="N743" s="3" t="inlineStr">
        <is>
          <t>1</t>
        </is>
      </c>
      <c r="O743" s="3" t="inlineStr">
        <is>
          <t>-</t>
        </is>
      </c>
      <c r="P743" s="3" t="inlineStr">
        <is>
          <t>일반공업지역 공장동 2동 호이스트2.5톤 층고 6미터</t>
        </is>
      </c>
      <c r="Q743" s="6">
        <f>HYPERLINK("https://fin.land.naver.com/articles/2644736530", "매물Link")</f>
        <v/>
      </c>
      <c r="R743" s="6">
        <f>HYPERLINK("https://map.naver.com/p/search/세종특별자치시 나성동 829", "지도Link")</f>
        <v/>
      </c>
      <c r="S743" s="6">
        <f>HYPERLINK("http://www.eum.go.kr/web/ar/lu/luLandDet.jsp?pnu=3611010700108290000&amp;isNoScr=script&amp;mode=search", "토지이음")</f>
        <v/>
      </c>
      <c r="T743" s="3" t="inlineStr">
        <is>
          <t>태영컨설팅</t>
        </is>
      </c>
      <c r="U743" s="3" t="n">
        <v>1</v>
      </c>
      <c r="V743" s="3" t="inlineStr">
        <is>
          <t>801</t>
        </is>
      </c>
      <c r="W743" s="4" t="n">
        <v>352</v>
      </c>
      <c r="X743" s="3" t="inlineStr">
        <is>
          <t>철근콘크리트구조</t>
        </is>
      </c>
      <c r="Y743" s="3" t="inlineStr">
        <is>
          <t>제2종근린생활시설</t>
        </is>
      </c>
      <c r="Z743" s="3" t="inlineStr">
        <is>
          <t>-m</t>
        </is>
      </c>
      <c r="AA743" s="3" t="inlineStr">
        <is>
          <t>2021-08-20</t>
        </is>
      </c>
    </row>
    <row r="744">
      <c r="A744" s="3" t="inlineStr">
        <is>
          <t>세종특별자치시 나성동 829</t>
        </is>
      </c>
      <c r="B744" s="3" t="inlineStr">
        <is>
          <t>중심상업지역</t>
        </is>
      </c>
      <c r="C744" s="3" t="inlineStr">
        <is>
          <t>대</t>
        </is>
      </c>
      <c r="D744" s="3" t="inlineStr">
        <is>
          <t>창고</t>
        </is>
      </c>
      <c r="E744" s="3" t="inlineStr">
        <is>
          <t>월세</t>
        </is>
      </c>
      <c r="F744" s="4" t="n">
        <v>2000</v>
      </c>
      <c r="G744" s="4" t="n">
        <v>135</v>
      </c>
      <c r="H744" s="4" t="n">
        <v>180</v>
      </c>
      <c r="I744" s="4" t="n">
        <v>54</v>
      </c>
      <c r="J744" s="5" t="n">
        <v>2.5</v>
      </c>
      <c r="K744" s="4" t="n">
        <v>107</v>
      </c>
      <c r="L744" s="4" t="n">
        <v>32</v>
      </c>
      <c r="M744" s="5" t="n">
        <v>4.2</v>
      </c>
      <c r="N744" s="3" t="inlineStr">
        <is>
          <t>1</t>
        </is>
      </c>
      <c r="O744" s="3" t="inlineStr">
        <is>
          <t>-</t>
        </is>
      </c>
      <c r="P744" s="3" t="inlineStr">
        <is>
          <t>깔끔한 신축, 근생용도 단독창고 약33P 2층사무공간5P</t>
        </is>
      </c>
      <c r="Q744" s="6">
        <f>HYPERLINK("https://fin.land.naver.com/articles/2645936368", "매물Link")</f>
        <v/>
      </c>
      <c r="R744" s="6">
        <f>HYPERLINK("https://map.naver.com/p/search/세종특별자치시 나성동 829", "지도Link")</f>
        <v/>
      </c>
      <c r="S744" s="6">
        <f>HYPERLINK("http://www.eum.go.kr/web/ar/lu/luLandDet.jsp?pnu=3611010700108290000&amp;isNoScr=script&amp;mode=search", "토지이음")</f>
        <v/>
      </c>
      <c r="T744" s="3" t="inlineStr">
        <is>
          <t>재벌무소</t>
        </is>
      </c>
      <c r="U744" s="3" t="n">
        <v>1</v>
      </c>
      <c r="V744" s="3" t="inlineStr">
        <is>
          <t>공동주택 연결통로</t>
        </is>
      </c>
      <c r="W744" s="4" t="n">
        <v>107</v>
      </c>
      <c r="X744" s="3" t="inlineStr">
        <is>
          <t>철근콘크리트구조</t>
        </is>
      </c>
      <c r="Y744" s="3" t="inlineStr">
        <is>
          <t>공동주택</t>
        </is>
      </c>
      <c r="Z744" s="3" t="inlineStr">
        <is>
          <t>-m</t>
        </is>
      </c>
      <c r="AA744" s="3" t="inlineStr">
        <is>
          <t>2021-08-20</t>
        </is>
      </c>
    </row>
    <row r="745">
      <c r="A745" s="3" t="inlineStr">
        <is>
          <t>세종특별자치시 나성동 829</t>
        </is>
      </c>
      <c r="B745" s="3" t="inlineStr">
        <is>
          <t>중심상업지역</t>
        </is>
      </c>
      <c r="C745" s="3" t="inlineStr">
        <is>
          <t>대</t>
        </is>
      </c>
      <c r="D745" s="3" t="inlineStr">
        <is>
          <t>공장</t>
        </is>
      </c>
      <c r="E745" s="3" t="inlineStr">
        <is>
          <t>월세</t>
        </is>
      </c>
      <c r="F745" s="4" t="n">
        <v>800</v>
      </c>
      <c r="G745" s="4" t="n">
        <v>90</v>
      </c>
      <c r="H745" s="4" t="n">
        <v>1700</v>
      </c>
      <c r="I745" s="4" t="n">
        <v>514</v>
      </c>
      <c r="J745" s="5" t="n">
        <v>0.2</v>
      </c>
      <c r="K745" s="4" t="n">
        <v>322</v>
      </c>
      <c r="L745" s="4" t="n">
        <v>97</v>
      </c>
      <c r="M745" s="5" t="n">
        <v>0.9</v>
      </c>
      <c r="N745" s="3" t="inlineStr">
        <is>
          <t>1</t>
        </is>
      </c>
      <c r="O745" s="3" t="inlineStr">
        <is>
          <t>-</t>
        </is>
      </c>
      <c r="P745" s="3" t="inlineStr">
        <is>
          <t>상서평촌지구 공업지역 내 위치한 공장</t>
        </is>
      </c>
      <c r="Q745" s="6">
        <f>HYPERLINK("https://fin.land.naver.com/articles/2644732422", "매물Link")</f>
        <v/>
      </c>
      <c r="R745" s="6">
        <f>HYPERLINK("https://map.naver.com/p/search/세종특별자치시 나성동 829", "지도Link")</f>
        <v/>
      </c>
      <c r="S745" s="6">
        <f>HYPERLINK("http://www.eum.go.kr/web/ar/lu/luLandDet.jsp?pnu=3611010700108290000&amp;isNoScr=script&amp;mode=search", "토지이음")</f>
        <v/>
      </c>
      <c r="T745" s="3" t="inlineStr">
        <is>
          <t>태영컨설팅</t>
        </is>
      </c>
      <c r="U745" s="3" t="n">
        <v>1</v>
      </c>
      <c r="V745" s="3" t="inlineStr">
        <is>
          <t>801</t>
        </is>
      </c>
      <c r="W745" s="4" t="n">
        <v>322</v>
      </c>
      <c r="X745" s="3" t="inlineStr">
        <is>
          <t>철근콘크리트구조</t>
        </is>
      </c>
      <c r="Y745" s="3" t="inlineStr">
        <is>
          <t>제2종근린생활시설</t>
        </is>
      </c>
      <c r="Z745" s="3" t="inlineStr">
        <is>
          <t>-m</t>
        </is>
      </c>
      <c r="AA745" s="3" t="inlineStr">
        <is>
          <t>2021-08-20</t>
        </is>
      </c>
    </row>
    <row r="746">
      <c r="A746" s="3" t="inlineStr">
        <is>
          <t>세종특별자치시 나성동 829</t>
        </is>
      </c>
      <c r="B746" s="3" t="inlineStr">
        <is>
          <t>중심상업지역</t>
        </is>
      </c>
      <c r="C746" s="3" t="inlineStr">
        <is>
          <t>대</t>
        </is>
      </c>
      <c r="D746" s="3" t="inlineStr">
        <is>
          <t>기타</t>
        </is>
      </c>
      <c r="E746" s="3" t="inlineStr">
        <is>
          <t>매매</t>
        </is>
      </c>
      <c r="F746" s="4" t="n">
        <v>45000</v>
      </c>
      <c r="G746" s="4" t="n">
        <v>0</v>
      </c>
      <c r="H746" s="4" t="n">
        <v>337</v>
      </c>
      <c r="I746" s="4" t="n">
        <v>102</v>
      </c>
      <c r="J746" s="5" t="n">
        <v>441.2</v>
      </c>
      <c r="K746" s="4" t="n">
        <v>132</v>
      </c>
      <c r="L746" s="4" t="n">
        <v>40</v>
      </c>
      <c r="M746" s="5" t="n">
        <v>1125</v>
      </c>
      <c r="N746" s="3" t="inlineStr">
        <is>
          <t>2</t>
        </is>
      </c>
      <c r="O746" s="3" t="inlineStr">
        <is>
          <t>-</t>
        </is>
      </c>
      <c r="P746" s="3" t="inlineStr">
        <is>
          <t>상서 평촌지구 공업지역 내 위치한 토지임</t>
        </is>
      </c>
      <c r="Q746" s="6">
        <f>HYPERLINK("https://fin.land.naver.com/articles/2644733219", "매물Link")</f>
        <v/>
      </c>
      <c r="R746" s="6">
        <f>HYPERLINK("https://map.naver.com/p/search/세종특별자치시 나성동 829", "지도Link")</f>
        <v/>
      </c>
      <c r="S746" s="6">
        <f>HYPERLINK("http://www.eum.go.kr/web/ar/lu/luLandDet.jsp?pnu=3611010700108290000&amp;isNoScr=script&amp;mode=search", "토지이음")</f>
        <v/>
      </c>
      <c r="T746" s="3" t="inlineStr">
        <is>
          <t>태영컨설팅</t>
        </is>
      </c>
      <c r="U746" s="3" t="n">
        <v>1</v>
      </c>
      <c r="V746" s="3" t="inlineStr">
        <is>
          <t>근린생활시설 전기/발전기실</t>
        </is>
      </c>
      <c r="W746" s="4" t="n">
        <v>132</v>
      </c>
      <c r="X746" s="3" t="inlineStr">
        <is>
          <t>철근콘크리트구조</t>
        </is>
      </c>
      <c r="Y746" s="3" t="inlineStr">
        <is>
          <t>제2종근린생활시설</t>
        </is>
      </c>
      <c r="Z746" s="3" t="inlineStr">
        <is>
          <t>-m</t>
        </is>
      </c>
      <c r="AA746" s="3" t="inlineStr">
        <is>
          <t>2021-08-20</t>
        </is>
      </c>
    </row>
    <row r="747">
      <c r="A747" s="3" t="inlineStr">
        <is>
          <t>세종특별자치시 나성동 829</t>
        </is>
      </c>
      <c r="B747" s="3" t="inlineStr">
        <is>
          <t>중심상업지역</t>
        </is>
      </c>
      <c r="C747" s="3" t="inlineStr">
        <is>
          <t>대</t>
        </is>
      </c>
      <c r="D747" s="3" t="inlineStr">
        <is>
          <t>공장</t>
        </is>
      </c>
      <c r="E747" s="3" t="inlineStr">
        <is>
          <t>월세</t>
        </is>
      </c>
      <c r="F747" s="4" t="n">
        <v>2000</v>
      </c>
      <c r="G747" s="4" t="n">
        <v>170</v>
      </c>
      <c r="H747" s="4" t="n">
        <v>229</v>
      </c>
      <c r="I747" s="4" t="n">
        <v>69</v>
      </c>
      <c r="J747" s="5" t="n">
        <v>2.5</v>
      </c>
      <c r="K747" s="4" t="n">
        <v>158</v>
      </c>
      <c r="L747" s="4" t="n">
        <v>48</v>
      </c>
      <c r="M747" s="5" t="n">
        <v>3.5</v>
      </c>
      <c r="N747" s="3" t="inlineStr">
        <is>
          <t>1</t>
        </is>
      </c>
      <c r="O747" s="3" t="inlineStr">
        <is>
          <t>-</t>
        </is>
      </c>
      <c r="P747" s="3" t="inlineStr">
        <is>
          <t>호이스트있음, 단독공장형 창고, 신축.</t>
        </is>
      </c>
      <c r="Q747" s="6">
        <f>HYPERLINK("https://fin.land.naver.com/articles/2644662645", "매물Link")</f>
        <v/>
      </c>
      <c r="R747" s="6">
        <f>HYPERLINK("https://map.naver.com/p/search/세종특별자치시 나성동 829", "지도Link")</f>
        <v/>
      </c>
      <c r="S747" s="6">
        <f>HYPERLINK("http://www.eum.go.kr/web/ar/lu/luLandDet.jsp?pnu=3611010700108290000&amp;isNoScr=script&amp;mode=search", "토지이음")</f>
        <v/>
      </c>
      <c r="T747" s="3" t="inlineStr">
        <is>
          <t>성지</t>
        </is>
      </c>
      <c r="U747" s="3" t="n">
        <v>1</v>
      </c>
      <c r="V747" s="3" t="inlineStr">
        <is>
          <t>공동주택 관리사무소</t>
        </is>
      </c>
      <c r="W747" s="4" t="n">
        <v>158</v>
      </c>
      <c r="X747" s="3" t="inlineStr">
        <is>
          <t>철근콘크리트구조</t>
        </is>
      </c>
      <c r="Y747" s="3" t="inlineStr">
        <is>
          <t>공동주택</t>
        </is>
      </c>
      <c r="Z747" s="3" t="inlineStr">
        <is>
          <t>-m</t>
        </is>
      </c>
      <c r="AA747" s="3" t="inlineStr">
        <is>
          <t>2021-08-20</t>
        </is>
      </c>
    </row>
    <row r="748">
      <c r="A748" s="3" t="inlineStr">
        <is>
          <t>세종특별자치시 나성동 829</t>
        </is>
      </c>
      <c r="B748" s="3" t="inlineStr">
        <is>
          <t>중심상업지역</t>
        </is>
      </c>
      <c r="C748" s="3" t="inlineStr">
        <is>
          <t>대</t>
        </is>
      </c>
      <c r="D748" s="3" t="inlineStr">
        <is>
          <t>공장</t>
        </is>
      </c>
      <c r="E748" s="3" t="inlineStr">
        <is>
          <t>매매</t>
        </is>
      </c>
      <c r="F748" s="4" t="n">
        <v>60000</v>
      </c>
      <c r="G748" s="4" t="n">
        <v>0</v>
      </c>
      <c r="H748" s="4" t="n">
        <v>230</v>
      </c>
      <c r="I748" s="4" t="n">
        <v>70</v>
      </c>
      <c r="J748" s="5" t="n">
        <v>857.1</v>
      </c>
      <c r="K748" s="4" t="n">
        <v>159</v>
      </c>
      <c r="L748" s="4" t="n">
        <v>48</v>
      </c>
      <c r="M748" s="5" t="n">
        <v>1250</v>
      </c>
      <c r="N748" s="3" t="inlineStr">
        <is>
          <t>2</t>
        </is>
      </c>
      <c r="O748" s="3" t="inlineStr">
        <is>
          <t>-</t>
        </is>
      </c>
      <c r="P748" s="3" t="inlineStr">
        <is>
          <t>층고 7m. 호이스트, 신축공장</t>
        </is>
      </c>
      <c r="Q748" s="6">
        <f>HYPERLINK("https://fin.land.naver.com/articles/2650103338", "매물Link")</f>
        <v/>
      </c>
      <c r="R748" s="6">
        <f>HYPERLINK("https://map.naver.com/p/search/세종특별자치시 나성동 829", "지도Link")</f>
        <v/>
      </c>
      <c r="S748" s="6">
        <f>HYPERLINK("http://www.eum.go.kr/web/ar/lu/luLandDet.jsp?pnu=3611010700108290000&amp;isNoScr=script&amp;mode=search", "토지이음")</f>
        <v/>
      </c>
      <c r="T748" s="3" t="inlineStr">
        <is>
          <t>산업</t>
        </is>
      </c>
      <c r="U748" s="3" t="n">
        <v>1</v>
      </c>
      <c r="V748" s="3" t="inlineStr">
        <is>
          <t>공동주택 관리사무소</t>
        </is>
      </c>
      <c r="W748" s="4" t="n">
        <v>159</v>
      </c>
      <c r="X748" s="3" t="inlineStr">
        <is>
          <t>철근콘크리트구조</t>
        </is>
      </c>
      <c r="Y748" s="3" t="inlineStr">
        <is>
          <t>공동주택</t>
        </is>
      </c>
      <c r="Z748" s="3" t="inlineStr">
        <is>
          <t>-m</t>
        </is>
      </c>
      <c r="AA748" s="3" t="inlineStr">
        <is>
          <t>2021-08-20</t>
        </is>
      </c>
    </row>
    <row r="749">
      <c r="A749" s="3" t="inlineStr">
        <is>
          <t>세종특별자치시 나성동 829</t>
        </is>
      </c>
      <c r="B749" s="3" t="inlineStr">
        <is>
          <t>중심상업지역</t>
        </is>
      </c>
      <c r="C749" s="3" t="inlineStr">
        <is>
          <t>대</t>
        </is>
      </c>
      <c r="D749" s="3" t="inlineStr">
        <is>
          <t>공장</t>
        </is>
      </c>
      <c r="E749" s="3" t="inlineStr">
        <is>
          <t>월세</t>
        </is>
      </c>
      <c r="F749" s="4" t="n">
        <v>800</v>
      </c>
      <c r="G749" s="4" t="n">
        <v>90</v>
      </c>
      <c r="H749" s="4" t="n">
        <v>165</v>
      </c>
      <c r="I749" s="4" t="n">
        <v>50</v>
      </c>
      <c r="J749" s="5" t="n">
        <v>1.8</v>
      </c>
      <c r="K749" s="4" t="n">
        <v>82</v>
      </c>
      <c r="L749" s="4" t="n">
        <v>25</v>
      </c>
      <c r="M749" s="5" t="n">
        <v>3.6</v>
      </c>
      <c r="N749" s="3" t="inlineStr">
        <is>
          <t>1</t>
        </is>
      </c>
      <c r="O749" s="3" t="inlineStr">
        <is>
          <t>-</t>
        </is>
      </c>
      <c r="P749" s="3" t="inlineStr">
        <is>
          <t>nan</t>
        </is>
      </c>
      <c r="Q749" s="6">
        <f>HYPERLINK("https://fin.land.naver.com/articles/2649424753", "매물Link")</f>
        <v/>
      </c>
      <c r="R749" s="6">
        <f>HYPERLINK("https://map.naver.com/p/search/세종특별자치시 나성동 829", "지도Link")</f>
        <v/>
      </c>
      <c r="S749" s="6">
        <f>HYPERLINK("http://www.eum.go.kr/web/ar/lu/luLandDet.jsp?pnu=3611010700108290000&amp;isNoScr=script&amp;mode=search", "토지이음")</f>
        <v/>
      </c>
      <c r="T749" s="3" t="inlineStr">
        <is>
          <t>태영컨설팅</t>
        </is>
      </c>
      <c r="U749" s="3" t="n">
        <v>1</v>
      </c>
      <c r="V749" s="3" t="inlineStr">
        <is>
          <t>공동주택 바이크스테이션</t>
        </is>
      </c>
      <c r="W749" s="4" t="n">
        <v>82</v>
      </c>
      <c r="X749" s="3" t="inlineStr">
        <is>
          <t>철근콘크리트구조</t>
        </is>
      </c>
      <c r="Y749" s="3" t="inlineStr">
        <is>
          <t>공동주택</t>
        </is>
      </c>
      <c r="Z749" s="3" t="inlineStr">
        <is>
          <t>-m</t>
        </is>
      </c>
      <c r="AA749" s="3" t="inlineStr">
        <is>
          <t>2021-08-20</t>
        </is>
      </c>
    </row>
    <row r="750">
      <c r="A750" s="3" t="inlineStr">
        <is>
          <t>세종특별자치시 나성동 829</t>
        </is>
      </c>
      <c r="B750" s="3" t="inlineStr">
        <is>
          <t>중심상업지역</t>
        </is>
      </c>
      <c r="C750" s="3" t="inlineStr">
        <is>
          <t>대</t>
        </is>
      </c>
      <c r="D750" s="3" t="inlineStr">
        <is>
          <t>공장</t>
        </is>
      </c>
      <c r="E750" s="3" t="inlineStr">
        <is>
          <t>매매</t>
        </is>
      </c>
      <c r="F750" s="4" t="n">
        <v>62000</v>
      </c>
      <c r="G750" s="4" t="n">
        <v>0</v>
      </c>
      <c r="H750" s="4" t="n">
        <v>334</v>
      </c>
      <c r="I750" s="4" t="n">
        <v>101</v>
      </c>
      <c r="J750" s="5" t="n">
        <v>613.9</v>
      </c>
      <c r="K750" s="4" t="n">
        <v>234</v>
      </c>
      <c r="L750" s="4" t="n">
        <v>71</v>
      </c>
      <c r="M750" s="5" t="n">
        <v>873.2</v>
      </c>
      <c r="N750" s="3" t="inlineStr">
        <is>
          <t>1</t>
        </is>
      </c>
      <c r="O750" s="3" t="inlineStr">
        <is>
          <t>-</t>
        </is>
      </c>
      <c r="P750" s="3" t="inlineStr">
        <is>
          <t>공업지역  호이스트있음
공업지역 호이스트 있음</t>
        </is>
      </c>
      <c r="Q750" s="6">
        <f>HYPERLINK("https://fin.land.naver.com/articles/2649424541", "매물Link")</f>
        <v/>
      </c>
      <c r="R750" s="6">
        <f>HYPERLINK("https://map.naver.com/p/search/세종특별자치시 나성동 829", "지도Link")</f>
        <v/>
      </c>
      <c r="S750" s="6">
        <f>HYPERLINK("http://www.eum.go.kr/web/ar/lu/luLandDet.jsp?pnu=3611010700108290000&amp;isNoScr=script&amp;mode=search", "토지이음")</f>
        <v/>
      </c>
      <c r="T750" s="3" t="inlineStr">
        <is>
          <t>태영컨설팅</t>
        </is>
      </c>
      <c r="U750" s="3" t="n">
        <v>1</v>
      </c>
      <c r="V750" s="3" t="inlineStr">
        <is>
          <t>공동주택 보육시설</t>
        </is>
      </c>
      <c r="W750" s="4" t="n">
        <v>234</v>
      </c>
      <c r="X750" s="3" t="inlineStr">
        <is>
          <t>철근콘크리트구조</t>
        </is>
      </c>
      <c r="Y750" s="3" t="inlineStr">
        <is>
          <t>공동주택</t>
        </is>
      </c>
      <c r="Z750" s="3" t="inlineStr">
        <is>
          <t>-m</t>
        </is>
      </c>
      <c r="AA750" s="3" t="inlineStr">
        <is>
          <t>2021-08-20</t>
        </is>
      </c>
    </row>
    <row r="751">
      <c r="A751" s="3" t="inlineStr">
        <is>
          <t>세종특별자치시 나성동 829</t>
        </is>
      </c>
      <c r="B751" s="3" t="inlineStr">
        <is>
          <t>중심상업지역</t>
        </is>
      </c>
      <c r="C751" s="3" t="inlineStr">
        <is>
          <t>대</t>
        </is>
      </c>
      <c r="D751" s="3" t="inlineStr">
        <is>
          <t>창고</t>
        </is>
      </c>
      <c r="E751" s="3" t="inlineStr">
        <is>
          <t>월세</t>
        </is>
      </c>
      <c r="F751" s="4" t="n">
        <v>3000</v>
      </c>
      <c r="G751" s="4" t="n">
        <v>250</v>
      </c>
      <c r="H751" s="4" t="n">
        <v>360</v>
      </c>
      <c r="I751" s="4" t="n">
        <v>109</v>
      </c>
      <c r="J751" s="5" t="n">
        <v>2.3</v>
      </c>
      <c r="K751" s="4" t="n">
        <v>330</v>
      </c>
      <c r="L751" s="4" t="n">
        <v>100</v>
      </c>
      <c r="M751" s="5" t="n">
        <v>2.5</v>
      </c>
      <c r="N751" s="3" t="inlineStr">
        <is>
          <t>1</t>
        </is>
      </c>
      <c r="O751" s="3" t="inlineStr">
        <is>
          <t>-</t>
        </is>
      </c>
      <c r="P751" s="3" t="inlineStr">
        <is>
          <t>창고 및 근린시설 등 용도다양 
창고 근린시설 등 용도다양</t>
        </is>
      </c>
      <c r="Q751" s="6">
        <f>HYPERLINK("https://fin.land.naver.com/articles/2649424327", "매물Link")</f>
        <v/>
      </c>
      <c r="R751" s="6">
        <f>HYPERLINK("https://map.naver.com/p/search/세종특별자치시 나성동 829", "지도Link")</f>
        <v/>
      </c>
      <c r="S751" s="6">
        <f>HYPERLINK("http://www.eum.go.kr/web/ar/lu/luLandDet.jsp?pnu=3611010700108290000&amp;isNoScr=script&amp;mode=search", "토지이음")</f>
        <v/>
      </c>
      <c r="T751" s="3" t="inlineStr">
        <is>
          <t>태영컨설팅</t>
        </is>
      </c>
      <c r="U751" s="3" t="n">
        <v>1</v>
      </c>
      <c r="V751" s="3" t="inlineStr">
        <is>
          <t>801</t>
        </is>
      </c>
      <c r="W751" s="4" t="n">
        <v>330</v>
      </c>
      <c r="X751" s="3" t="inlineStr">
        <is>
          <t>철근콘크리트구조</t>
        </is>
      </c>
      <c r="Y751" s="3" t="inlineStr">
        <is>
          <t>제2종근린생활시설</t>
        </is>
      </c>
      <c r="Z751" s="3" t="inlineStr">
        <is>
          <t>-m</t>
        </is>
      </c>
      <c r="AA751" s="3" t="inlineStr">
        <is>
          <t>2021-08-20</t>
        </is>
      </c>
    </row>
    <row r="752">
      <c r="A752" s="3" t="inlineStr">
        <is>
          <t>세종특별자치시 나성동 829</t>
        </is>
      </c>
      <c r="B752" s="3" t="inlineStr">
        <is>
          <t>중심상업지역</t>
        </is>
      </c>
      <c r="C752" s="3" t="inlineStr">
        <is>
          <t>대</t>
        </is>
      </c>
      <c r="D752" s="3" t="inlineStr">
        <is>
          <t>공장</t>
        </is>
      </c>
      <c r="E752" s="3" t="inlineStr">
        <is>
          <t>월세</t>
        </is>
      </c>
      <c r="F752" s="4" t="n">
        <v>4000</v>
      </c>
      <c r="G752" s="4" t="n">
        <v>280</v>
      </c>
      <c r="H752" s="4" t="n">
        <v>343</v>
      </c>
      <c r="I752" s="4" t="n">
        <v>104</v>
      </c>
      <c r="J752" s="5" t="n">
        <v>2.7</v>
      </c>
      <c r="K752" s="4" t="n">
        <v>292</v>
      </c>
      <c r="L752" s="4" t="n">
        <v>88</v>
      </c>
      <c r="M752" s="5" t="n">
        <v>3.2</v>
      </c>
      <c r="N752" s="3" t="inlineStr">
        <is>
          <t>1</t>
        </is>
      </c>
      <c r="O752" s="3" t="inlineStr">
        <is>
          <t>-</t>
        </is>
      </c>
      <c r="P752" s="3" t="inlineStr">
        <is>
          <t>공업지역 내 위치 동력 30키로 호이스트3톤 층고7미터 대형차진입가능</t>
        </is>
      </c>
      <c r="Q752" s="6">
        <f>HYPERLINK("https://fin.land.naver.com/articles/2649269841", "매물Link")</f>
        <v/>
      </c>
      <c r="R752" s="6">
        <f>HYPERLINK("https://map.naver.com/p/search/세종특별자치시 나성동 829", "지도Link")</f>
        <v/>
      </c>
      <c r="S752" s="6">
        <f>HYPERLINK("http://www.eum.go.kr/web/ar/lu/luLandDet.jsp?pnu=3611010700108290000&amp;isNoScr=script&amp;mode=search", "토지이음")</f>
        <v/>
      </c>
      <c r="T752" s="3" t="inlineStr">
        <is>
          <t>태영컨설팅</t>
        </is>
      </c>
      <c r="U752" s="3" t="n">
        <v>1</v>
      </c>
      <c r="V752" s="3" t="inlineStr">
        <is>
          <t>공동주택 전기,발전기실</t>
        </is>
      </c>
      <c r="W752" s="4" t="n">
        <v>292</v>
      </c>
      <c r="X752" s="3" t="inlineStr">
        <is>
          <t>철근콘크리트구조</t>
        </is>
      </c>
      <c r="Y752" s="3" t="inlineStr">
        <is>
          <t>공동주택</t>
        </is>
      </c>
      <c r="Z752" s="3" t="inlineStr">
        <is>
          <t>-m</t>
        </is>
      </c>
      <c r="AA752" s="3" t="inlineStr">
        <is>
          <t>2021-08-20</t>
        </is>
      </c>
    </row>
    <row r="753">
      <c r="A753" s="3" t="inlineStr">
        <is>
          <t>세종특별자치시 나성동 829</t>
        </is>
      </c>
      <c r="B753" s="3" t="inlineStr">
        <is>
          <t>중심상업지역</t>
        </is>
      </c>
      <c r="C753" s="3" t="inlineStr">
        <is>
          <t>대</t>
        </is>
      </c>
      <c r="D753" s="3" t="inlineStr">
        <is>
          <t>창고</t>
        </is>
      </c>
      <c r="E753" s="3" t="inlineStr">
        <is>
          <t>매매</t>
        </is>
      </c>
      <c r="F753" s="4" t="n">
        <v>400000</v>
      </c>
      <c r="G753" s="4" t="n">
        <v>0</v>
      </c>
      <c r="H753" s="4" t="n">
        <v>1652</v>
      </c>
      <c r="I753" s="4" t="n">
        <v>500</v>
      </c>
      <c r="J753" s="5" t="n">
        <v>800</v>
      </c>
      <c r="K753" s="4" t="n">
        <v>1096</v>
      </c>
      <c r="L753" s="4" t="n">
        <v>332</v>
      </c>
      <c r="M753" s="5" t="n">
        <v>1204.8</v>
      </c>
      <c r="N753" s="3" t="inlineStr">
        <is>
          <t>2</t>
        </is>
      </c>
      <c r="O753" s="3" t="inlineStr">
        <is>
          <t>B1</t>
        </is>
      </c>
      <c r="P753" s="3" t="inlineStr">
        <is>
          <t>nan</t>
        </is>
      </c>
      <c r="Q753" s="6">
        <f>HYPERLINK("https://fin.land.naver.com/articles/2648826528", "매물Link")</f>
        <v/>
      </c>
      <c r="R753" s="6">
        <f>HYPERLINK("https://map.naver.com/p/search/세종특별자치시 나성동 829", "지도Link")</f>
        <v/>
      </c>
      <c r="S753" s="6">
        <f>HYPERLINK("http://www.eum.go.kr/web/ar/lu/luLandDet.jsp?pnu=3611010700108290000&amp;isNoScr=script&amp;mode=search", "토지이음")</f>
        <v/>
      </c>
      <c r="T753" s="3" t="inlineStr">
        <is>
          <t>태영</t>
        </is>
      </c>
      <c r="U753" s="3" t="n">
        <v>1</v>
      </c>
      <c r="V753" s="3" t="inlineStr">
        <is>
          <t>604</t>
        </is>
      </c>
      <c r="W753" s="4" t="n">
        <v>1096</v>
      </c>
      <c r="X753" s="3" t="inlineStr">
        <is>
          <t>철근콘크리트구조</t>
        </is>
      </c>
      <c r="Y753" s="3" t="inlineStr">
        <is>
          <t>공동주택</t>
        </is>
      </c>
      <c r="Z753" s="3" t="inlineStr">
        <is>
          <t>38.30m</t>
        </is>
      </c>
      <c r="AA753" s="3" t="inlineStr">
        <is>
          <t>2021-08-20</t>
        </is>
      </c>
    </row>
    <row r="754">
      <c r="A754" s="3" t="inlineStr">
        <is>
          <t>세종특별자치시 나성동 829</t>
        </is>
      </c>
      <c r="B754" s="3" t="inlineStr">
        <is>
          <t>중심상업지역</t>
        </is>
      </c>
      <c r="C754" s="3" t="inlineStr">
        <is>
          <t>대</t>
        </is>
      </c>
      <c r="D754" s="3" t="inlineStr">
        <is>
          <t>공장</t>
        </is>
      </c>
      <c r="E754" s="3" t="inlineStr">
        <is>
          <t>매매</t>
        </is>
      </c>
      <c r="F754" s="4" t="n">
        <v>650000</v>
      </c>
      <c r="G754" s="4" t="n">
        <v>0</v>
      </c>
      <c r="H754" s="4" t="n">
        <v>12386</v>
      </c>
      <c r="I754" s="4" t="n">
        <v>3747</v>
      </c>
      <c r="J754" s="5" t="n">
        <v>173.5</v>
      </c>
      <c r="K754" s="4" t="n">
        <v>1380</v>
      </c>
      <c r="L754" s="4" t="n">
        <v>417</v>
      </c>
      <c r="M754" s="5" t="n">
        <v>1558.8</v>
      </c>
      <c r="N754" s="3" t="inlineStr">
        <is>
          <t>2</t>
        </is>
      </c>
      <c r="O754" s="3" t="inlineStr">
        <is>
          <t>-</t>
        </is>
      </c>
      <c r="P754" s="3" t="inlineStr">
        <is>
          <t>nan</t>
        </is>
      </c>
      <c r="Q754" s="6">
        <f>HYPERLINK("https://fin.land.naver.com/articles/2648272668", "매물Link")</f>
        <v/>
      </c>
      <c r="R754" s="6">
        <f>HYPERLINK("https://map.naver.com/p/search/세종특별자치시 나성동 829", "지도Link")</f>
        <v/>
      </c>
      <c r="S754" s="6">
        <f>HYPERLINK("http://www.eum.go.kr/web/ar/lu/luLandDet.jsp?pnu=3611010700108290000&amp;isNoScr=script&amp;mode=search", "토지이음")</f>
        <v/>
      </c>
      <c r="T754" s="3" t="inlineStr">
        <is>
          <t>신영</t>
        </is>
      </c>
      <c r="U754" s="3" t="n">
        <v>1</v>
      </c>
      <c r="V754" s="3" t="inlineStr">
        <is>
          <t>605</t>
        </is>
      </c>
      <c r="W754" s="4" t="n">
        <v>1380</v>
      </c>
      <c r="X754" s="3" t="inlineStr">
        <is>
          <t>철근콘크리트구조</t>
        </is>
      </c>
      <c r="Y754" s="3" t="inlineStr">
        <is>
          <t>공동주택</t>
        </is>
      </c>
      <c r="Z754" s="3" t="inlineStr">
        <is>
          <t>45.30m</t>
        </is>
      </c>
      <c r="AA754" s="3" t="inlineStr">
        <is>
          <t>2021-08-20</t>
        </is>
      </c>
    </row>
    <row r="755">
      <c r="A755" s="3" t="inlineStr">
        <is>
          <t>세종특별자치시 나성동 829</t>
        </is>
      </c>
      <c r="B755" s="3" t="inlineStr">
        <is>
          <t>중심상업지역</t>
        </is>
      </c>
      <c r="C755" s="3" t="inlineStr">
        <is>
          <t>대</t>
        </is>
      </c>
      <c r="D755" s="3" t="inlineStr">
        <is>
          <t>공장</t>
        </is>
      </c>
      <c r="E755" s="3" t="inlineStr">
        <is>
          <t>매매</t>
        </is>
      </c>
      <c r="F755" s="4" t="n">
        <v>81000</v>
      </c>
      <c r="G755" s="4" t="n">
        <v>0</v>
      </c>
      <c r="H755" s="4" t="n">
        <v>350</v>
      </c>
      <c r="I755" s="4" t="n">
        <v>106</v>
      </c>
      <c r="J755" s="5" t="n">
        <v>764.2</v>
      </c>
      <c r="K755" s="4" t="n">
        <v>299</v>
      </c>
      <c r="L755" s="4" t="n">
        <v>90</v>
      </c>
      <c r="M755" s="5" t="n">
        <v>900</v>
      </c>
      <c r="N755" s="3" t="inlineStr">
        <is>
          <t>3</t>
        </is>
      </c>
      <c r="O755" s="3" t="inlineStr">
        <is>
          <t>-</t>
        </is>
      </c>
      <c r="P755" s="3" t="inlineStr">
        <is>
          <t>층고 7m,호이스트,신축공장</t>
        </is>
      </c>
      <c r="Q755" s="6">
        <f>HYPERLINK("https://fin.land.naver.com/articles/2646917661", "매물Link")</f>
        <v/>
      </c>
      <c r="R755" s="6">
        <f>HYPERLINK("https://map.naver.com/p/search/세종특별자치시 나성동 829", "지도Link")</f>
        <v/>
      </c>
      <c r="S755" s="6">
        <f>HYPERLINK("http://www.eum.go.kr/web/ar/lu/luLandDet.jsp?pnu=3611010700108290000&amp;isNoScr=script&amp;mode=search", "토지이음")</f>
        <v/>
      </c>
      <c r="T755" s="3" t="inlineStr">
        <is>
          <t>산업</t>
        </is>
      </c>
      <c r="U755" s="3" t="n">
        <v>1</v>
      </c>
      <c r="V755" s="3" t="inlineStr">
        <is>
          <t>공동주택 전기,발전기실</t>
        </is>
      </c>
      <c r="W755" s="4" t="n">
        <v>299</v>
      </c>
      <c r="X755" s="3" t="inlineStr">
        <is>
          <t>철근콘크리트구조</t>
        </is>
      </c>
      <c r="Y755" s="3" t="inlineStr">
        <is>
          <t>공동주택</t>
        </is>
      </c>
      <c r="Z755" s="3" t="inlineStr">
        <is>
          <t>-m</t>
        </is>
      </c>
      <c r="AA755" s="3" t="inlineStr">
        <is>
          <t>2021-08-20</t>
        </is>
      </c>
    </row>
    <row r="756">
      <c r="A756" s="3" t="inlineStr">
        <is>
          <t>세종특별자치시 나성동 829</t>
        </is>
      </c>
      <c r="B756" s="3" t="inlineStr">
        <is>
          <t>중심상업지역</t>
        </is>
      </c>
      <c r="C756" s="3" t="inlineStr">
        <is>
          <t>대</t>
        </is>
      </c>
      <c r="D756" s="3" t="inlineStr">
        <is>
          <t>공장</t>
        </is>
      </c>
      <c r="E756" s="3" t="inlineStr">
        <is>
          <t>매매</t>
        </is>
      </c>
      <c r="F756" s="4" t="n">
        <v>320000</v>
      </c>
      <c r="G756" s="4" t="n">
        <v>0</v>
      </c>
      <c r="H756" s="4" t="n">
        <v>1640</v>
      </c>
      <c r="I756" s="4" t="n">
        <v>496</v>
      </c>
      <c r="J756" s="5" t="n">
        <v>645.2</v>
      </c>
      <c r="K756" s="4" t="n">
        <v>1008</v>
      </c>
      <c r="L756" s="4" t="n">
        <v>305</v>
      </c>
      <c r="M756" s="5" t="n">
        <v>1049.2</v>
      </c>
      <c r="N756" s="3" t="inlineStr">
        <is>
          <t>1</t>
        </is>
      </c>
      <c r="O756" s="3" t="inlineStr">
        <is>
          <t>-</t>
        </is>
      </c>
      <c r="P756" s="3" t="inlineStr">
        <is>
          <t>대덕구 상서동 공장 매매, 2015년 준공된 건물로 내. 외관 깨끗함</t>
        </is>
      </c>
      <c r="Q756" s="6">
        <f>HYPERLINK("https://fin.land.naver.com/articles/2646694155", "매물Link")</f>
        <v/>
      </c>
      <c r="R756" s="6">
        <f>HYPERLINK("https://map.naver.com/p/search/세종특별자치시 나성동 829", "지도Link")</f>
        <v/>
      </c>
      <c r="S756" s="6">
        <f>HYPERLINK("http://www.eum.go.kr/web/ar/lu/luLandDet.jsp?pnu=3611010700108290000&amp;isNoScr=script&amp;mode=search", "토지이음")</f>
        <v/>
      </c>
      <c r="T756" s="3" t="inlineStr">
        <is>
          <t>왕중왕기업</t>
        </is>
      </c>
      <c r="U756" s="3" t="n">
        <v>1</v>
      </c>
      <c r="V756" s="3" t="inlineStr">
        <is>
          <t>604</t>
        </is>
      </c>
      <c r="W756" s="4" t="n">
        <v>1008</v>
      </c>
      <c r="X756" s="3" t="inlineStr">
        <is>
          <t>철근콘크리트구조</t>
        </is>
      </c>
      <c r="Y756" s="3" t="inlineStr">
        <is>
          <t>공동주택</t>
        </is>
      </c>
      <c r="Z756" s="3" t="inlineStr">
        <is>
          <t>38.30m</t>
        </is>
      </c>
      <c r="AA756" s="3" t="inlineStr">
        <is>
          <t>2021-08-20</t>
        </is>
      </c>
    </row>
    <row r="757">
      <c r="A757" s="3" t="inlineStr">
        <is>
          <t>세종특별자치시 나성동 829</t>
        </is>
      </c>
      <c r="B757" s="3" t="inlineStr">
        <is>
          <t>중심상업지역</t>
        </is>
      </c>
      <c r="C757" s="3" t="inlineStr">
        <is>
          <t>대</t>
        </is>
      </c>
      <c r="D757" s="3" t="inlineStr">
        <is>
          <t>창고</t>
        </is>
      </c>
      <c r="E757" s="3" t="inlineStr">
        <is>
          <t>월세</t>
        </is>
      </c>
      <c r="F757" s="4" t="n">
        <v>2000</v>
      </c>
      <c r="G757" s="4" t="n">
        <v>140</v>
      </c>
      <c r="H757" s="4" t="n">
        <v>327</v>
      </c>
      <c r="I757" s="4" t="n">
        <v>99</v>
      </c>
      <c r="J757" s="5" t="n">
        <v>1.4</v>
      </c>
      <c r="K757" s="4" t="n">
        <v>187</v>
      </c>
      <c r="L757" s="4" t="n">
        <v>57</v>
      </c>
      <c r="M757" s="5" t="n">
        <v>2.5</v>
      </c>
      <c r="N757" s="3" t="inlineStr">
        <is>
          <t>1</t>
        </is>
      </c>
      <c r="O757" s="3" t="inlineStr">
        <is>
          <t>-</t>
        </is>
      </c>
      <c r="P757" s="3" t="inlineStr">
        <is>
          <t>신탄톨게이트 2분거리 주차공간 충분</t>
        </is>
      </c>
      <c r="Q757" s="6">
        <f>HYPERLINK("https://fin.land.naver.com/articles/2644730264", "매물Link")</f>
        <v/>
      </c>
      <c r="R757" s="6">
        <f>HYPERLINK("https://map.naver.com/p/search/세종특별자치시 나성동 829", "지도Link")</f>
        <v/>
      </c>
      <c r="S757" s="6">
        <f>HYPERLINK("http://www.eum.go.kr/web/ar/lu/luLandDet.jsp?pnu=3611010700108290000&amp;isNoScr=script&amp;mode=search", "토지이음")</f>
        <v/>
      </c>
      <c r="T757" s="3" t="inlineStr">
        <is>
          <t>태영컨설팅</t>
        </is>
      </c>
      <c r="U757" s="3" t="n">
        <v>1</v>
      </c>
      <c r="V757" s="3" t="inlineStr">
        <is>
          <t>701</t>
        </is>
      </c>
      <c r="W757" s="4" t="n">
        <v>187</v>
      </c>
      <c r="X757" s="3" t="inlineStr">
        <is>
          <t>철근콘크리트구조</t>
        </is>
      </c>
      <c r="Y757" s="3" t="inlineStr">
        <is>
          <t>판매시설</t>
        </is>
      </c>
      <c r="Z757" s="3" t="inlineStr">
        <is>
          <t>-m</t>
        </is>
      </c>
      <c r="AA757" s="3" t="inlineStr">
        <is>
          <t>2021-08-20</t>
        </is>
      </c>
    </row>
    <row r="758">
      <c r="A758" s="3" t="inlineStr">
        <is>
          <t>세종특별자치시 나성동 829</t>
        </is>
      </c>
      <c r="B758" s="3" t="inlineStr">
        <is>
          <t>중심상업지역</t>
        </is>
      </c>
      <c r="C758" s="3" t="inlineStr">
        <is>
          <t>대</t>
        </is>
      </c>
      <c r="D758" s="3" t="inlineStr">
        <is>
          <t>공장</t>
        </is>
      </c>
      <c r="E758" s="3" t="inlineStr">
        <is>
          <t>매매</t>
        </is>
      </c>
      <c r="F758" s="4" t="n">
        <v>220000</v>
      </c>
      <c r="G758" s="4" t="n">
        <v>0</v>
      </c>
      <c r="H758" s="4" t="n">
        <v>873</v>
      </c>
      <c r="I758" s="4" t="n">
        <v>264</v>
      </c>
      <c r="J758" s="5" t="n">
        <v>833.3</v>
      </c>
      <c r="K758" s="4" t="n">
        <v>348</v>
      </c>
      <c r="L758" s="4" t="n">
        <v>105</v>
      </c>
      <c r="M758" s="5" t="n">
        <v>2095.2</v>
      </c>
      <c r="N758" s="3" t="inlineStr">
        <is>
          <t>2</t>
        </is>
      </c>
      <c r="O758" s="3" t="inlineStr">
        <is>
          <t>-</t>
        </is>
      </c>
      <c r="P758" s="3" t="inlineStr">
        <is>
          <t>17번 국도에 접한 1급정비공장</t>
        </is>
      </c>
      <c r="Q758" s="6">
        <f>HYPERLINK("https://fin.land.naver.com/articles/2646451013", "매물Link")</f>
        <v/>
      </c>
      <c r="R758" s="6">
        <f>HYPERLINK("https://map.naver.com/p/search/세종특별자치시 나성동 829", "지도Link")</f>
        <v/>
      </c>
      <c r="S758" s="6">
        <f>HYPERLINK("http://www.eum.go.kr/web/ar/lu/luLandDet.jsp?pnu=3611010700108290000&amp;isNoScr=script&amp;mode=search", "토지이음")</f>
        <v/>
      </c>
      <c r="T758" s="3" t="inlineStr">
        <is>
          <t>금정</t>
        </is>
      </c>
      <c r="U758" s="3" t="n">
        <v>1</v>
      </c>
      <c r="V758" s="3" t="inlineStr">
        <is>
          <t>801</t>
        </is>
      </c>
      <c r="W758" s="4" t="n">
        <v>348</v>
      </c>
      <c r="X758" s="3" t="inlineStr">
        <is>
          <t>철근콘크리트구조</t>
        </is>
      </c>
      <c r="Y758" s="3" t="inlineStr">
        <is>
          <t>제2종근린생활시설</t>
        </is>
      </c>
      <c r="Z758" s="3" t="inlineStr">
        <is>
          <t>-m</t>
        </is>
      </c>
      <c r="AA758" s="3" t="inlineStr">
        <is>
          <t>2021-08-20</t>
        </is>
      </c>
    </row>
    <row r="759">
      <c r="A759" s="3" t="inlineStr">
        <is>
          <t>세종특별자치시 나성동 829</t>
        </is>
      </c>
      <c r="B759" s="3" t="inlineStr">
        <is>
          <t>중심상업지역</t>
        </is>
      </c>
      <c r="C759" s="3" t="inlineStr">
        <is>
          <t>대</t>
        </is>
      </c>
      <c r="D759" s="3" t="inlineStr">
        <is>
          <t>창고</t>
        </is>
      </c>
      <c r="E759" s="3" t="inlineStr">
        <is>
          <t>매매</t>
        </is>
      </c>
      <c r="F759" s="4" t="n">
        <v>100000</v>
      </c>
      <c r="G759" s="4" t="n">
        <v>0</v>
      </c>
      <c r="H759" s="4" t="n">
        <v>565</v>
      </c>
      <c r="I759" s="4" t="n">
        <v>171</v>
      </c>
      <c r="J759" s="5" t="n">
        <v>584.8</v>
      </c>
      <c r="K759" s="4" t="n">
        <v>297</v>
      </c>
      <c r="L759" s="4" t="n">
        <v>90</v>
      </c>
      <c r="M759" s="5" t="n">
        <v>1111.1</v>
      </c>
      <c r="N759" s="3" t="inlineStr">
        <is>
          <t>1</t>
        </is>
      </c>
      <c r="O759" s="3" t="inlineStr">
        <is>
          <t>-</t>
        </is>
      </c>
      <c r="P759" s="3" t="inlineStr">
        <is>
          <t>신탄톨게이트1분거리 2차선에 접해있는 귀한매물임 냉동냉장창고로 사용했음</t>
        </is>
      </c>
      <c r="Q759" s="6">
        <f>HYPERLINK("https://fin.land.naver.com/articles/2649424926", "매물Link")</f>
        <v/>
      </c>
      <c r="R759" s="6">
        <f>HYPERLINK("https://map.naver.com/p/search/세종특별자치시 나성동 829", "지도Link")</f>
        <v/>
      </c>
      <c r="S759" s="6">
        <f>HYPERLINK("http://www.eum.go.kr/web/ar/lu/luLandDet.jsp?pnu=3611010700108290000&amp;isNoScr=script&amp;mode=search", "토지이음")</f>
        <v/>
      </c>
      <c r="T759" s="3" t="inlineStr">
        <is>
          <t>태영컨설팅</t>
        </is>
      </c>
      <c r="U759" s="3" t="n">
        <v>1</v>
      </c>
      <c r="V759" s="3" t="inlineStr">
        <is>
          <t>공동주택 전기,발전기실</t>
        </is>
      </c>
      <c r="W759" s="4" t="n">
        <v>297</v>
      </c>
      <c r="X759" s="3" t="inlineStr">
        <is>
          <t>철근콘크리트구조</t>
        </is>
      </c>
      <c r="Y759" s="3" t="inlineStr">
        <is>
          <t>공동주택</t>
        </is>
      </c>
      <c r="Z759" s="3" t="inlineStr">
        <is>
          <t>-m</t>
        </is>
      </c>
      <c r="AA759" s="3" t="inlineStr">
        <is>
          <t>2021-08-20</t>
        </is>
      </c>
    </row>
    <row r="760">
      <c r="A760" s="3" t="inlineStr">
        <is>
          <t>세종특별자치시 나성동 829</t>
        </is>
      </c>
      <c r="B760" s="3" t="inlineStr">
        <is>
          <t>중심상업지역</t>
        </is>
      </c>
      <c r="C760" s="3" t="inlineStr">
        <is>
          <t>대</t>
        </is>
      </c>
      <c r="D760" s="3" t="inlineStr">
        <is>
          <t>공장</t>
        </is>
      </c>
      <c r="E760" s="3" t="inlineStr">
        <is>
          <t>월세</t>
        </is>
      </c>
      <c r="F760" s="4" t="n">
        <v>3000</v>
      </c>
      <c r="G760" s="4" t="n">
        <v>200</v>
      </c>
      <c r="H760" s="4" t="n">
        <v>784</v>
      </c>
      <c r="I760" s="4" t="n">
        <v>237</v>
      </c>
      <c r="J760" s="5" t="n">
        <v>0.8</v>
      </c>
      <c r="K760" s="4" t="n">
        <v>548</v>
      </c>
      <c r="L760" s="4" t="n">
        <v>166</v>
      </c>
      <c r="M760" s="5" t="n">
        <v>1.2</v>
      </c>
      <c r="N760" s="3" t="inlineStr">
        <is>
          <t>1</t>
        </is>
      </c>
      <c r="O760" s="3" t="inlineStr">
        <is>
          <t>-</t>
        </is>
      </c>
      <c r="P760" s="3" t="inlineStr">
        <is>
          <t>nan</t>
        </is>
      </c>
      <c r="Q760" s="6">
        <f>HYPERLINK("https://fin.land.naver.com/articles/2646731089", "매물Link")</f>
        <v/>
      </c>
      <c r="R760" s="6">
        <f>HYPERLINK("https://map.naver.com/p/search/세종특별자치시 나성동 829", "지도Link")</f>
        <v/>
      </c>
      <c r="S760" s="6">
        <f>HYPERLINK("http://www.eum.go.kr/web/ar/lu/luLandDet.jsp?pnu=3611010700108290000&amp;isNoScr=script&amp;mode=search", "토지이음")</f>
        <v/>
      </c>
      <c r="T760" s="3" t="inlineStr">
        <is>
          <t>대전명품</t>
        </is>
      </c>
      <c r="U760" s="3" t="n">
        <v>1</v>
      </c>
      <c r="V760" s="3" t="inlineStr">
        <is>
          <t>전망공간 기계실</t>
        </is>
      </c>
      <c r="W760" s="4" t="n">
        <v>548</v>
      </c>
      <c r="X760" s="3" t="inlineStr">
        <is>
          <t>철근콘크리트구조</t>
        </is>
      </c>
      <c r="Y760" s="3" t="inlineStr">
        <is>
          <t>제2종근린생활시설</t>
        </is>
      </c>
      <c r="Z760" s="3" t="inlineStr">
        <is>
          <t>-m</t>
        </is>
      </c>
      <c r="AA760" s="3" t="inlineStr">
        <is>
          <t>2021-08-20</t>
        </is>
      </c>
    </row>
    <row r="761">
      <c r="A761" s="3" t="inlineStr">
        <is>
          <t>세종특별자치시 나성동 829</t>
        </is>
      </c>
      <c r="B761" s="3" t="inlineStr">
        <is>
          <t>중심상업지역</t>
        </is>
      </c>
      <c r="C761" s="3" t="inlineStr">
        <is>
          <t>대</t>
        </is>
      </c>
      <c r="D761" s="3" t="inlineStr">
        <is>
          <t>공장</t>
        </is>
      </c>
      <c r="E761" s="3" t="inlineStr">
        <is>
          <t>월세</t>
        </is>
      </c>
      <c r="F761" s="4" t="n">
        <v>2500</v>
      </c>
      <c r="G761" s="4" t="n">
        <v>260</v>
      </c>
      <c r="H761" s="4" t="n">
        <v>3329</v>
      </c>
      <c r="I761" s="4" t="n">
        <v>1007</v>
      </c>
      <c r="J761" s="5" t="n">
        <v>0.3</v>
      </c>
      <c r="K761" s="4" t="n">
        <v>2073</v>
      </c>
      <c r="L761" s="4" t="n">
        <v>627</v>
      </c>
      <c r="M761" s="5" t="n">
        <v>0.4</v>
      </c>
      <c r="N761" s="3" t="inlineStr">
        <is>
          <t>1</t>
        </is>
      </c>
      <c r="O761" s="3" t="inlineStr">
        <is>
          <t>-</t>
        </is>
      </c>
      <c r="P761" s="3" t="inlineStr">
        <is>
          <t>층고 6m</t>
        </is>
      </c>
      <c r="Q761" s="6">
        <f>HYPERLINK("https://fin.land.naver.com/articles/2648212808", "매물Link")</f>
        <v/>
      </c>
      <c r="R761" s="6">
        <f>HYPERLINK("https://map.naver.com/p/search/세종특별자치시 나성동 829", "지도Link")</f>
        <v/>
      </c>
      <c r="S761" s="6">
        <f>HYPERLINK("http://www.eum.go.kr/web/ar/lu/luLandDet.jsp?pnu=3611010700108290000&amp;isNoScr=script&amp;mode=search", "토지이음")</f>
        <v/>
      </c>
      <c r="T761" s="3" t="inlineStr">
        <is>
          <t>산업</t>
        </is>
      </c>
      <c r="U761" s="3" t="n">
        <v>1</v>
      </c>
      <c r="V761" s="3" t="inlineStr">
        <is>
          <t>근린생활시설 지하주차장</t>
        </is>
      </c>
      <c r="W761" s="4" t="n">
        <v>2073</v>
      </c>
      <c r="X761" s="3" t="inlineStr">
        <is>
          <t>철근콘크리트구조</t>
        </is>
      </c>
      <c r="Y761" s="3" t="inlineStr">
        <is>
          <t>제2종근린생활시설</t>
        </is>
      </c>
      <c r="Z761" s="3" t="inlineStr">
        <is>
          <t>-m</t>
        </is>
      </c>
      <c r="AA761" s="3" t="inlineStr">
        <is>
          <t>2021-08-20</t>
        </is>
      </c>
    </row>
    <row r="762">
      <c r="A762" s="3" t="inlineStr">
        <is>
          <t>세종특별자치시 나성동 829</t>
        </is>
      </c>
      <c r="B762" s="3" t="inlineStr">
        <is>
          <t>중심상업지역</t>
        </is>
      </c>
      <c r="C762" s="3" t="inlineStr">
        <is>
          <t>대</t>
        </is>
      </c>
      <c r="D762" s="3" t="inlineStr">
        <is>
          <t>공장</t>
        </is>
      </c>
      <c r="E762" s="3" t="inlineStr">
        <is>
          <t>월세</t>
        </is>
      </c>
      <c r="F762" s="4" t="n">
        <v>2000</v>
      </c>
      <c r="G762" s="4" t="n">
        <v>200</v>
      </c>
      <c r="H762" s="4" t="n">
        <v>3235</v>
      </c>
      <c r="I762" s="4" t="n">
        <v>979</v>
      </c>
      <c r="J762" s="5" t="n">
        <v>0.2</v>
      </c>
      <c r="K762" s="4" t="n">
        <v>745</v>
      </c>
      <c r="L762" s="4" t="n">
        <v>225</v>
      </c>
      <c r="M762" s="5" t="n">
        <v>0.9</v>
      </c>
      <c r="N762" s="3" t="inlineStr">
        <is>
          <t>2</t>
        </is>
      </c>
      <c r="O762" s="3" t="inlineStr">
        <is>
          <t>-</t>
        </is>
      </c>
      <c r="P762" s="3" t="inlineStr">
        <is>
          <t>저렴한공장, 높이7M정도.</t>
        </is>
      </c>
      <c r="Q762" s="6">
        <f>HYPERLINK("https://fin.land.naver.com/articles/2647418860", "매물Link")</f>
        <v/>
      </c>
      <c r="R762" s="6">
        <f>HYPERLINK("https://map.naver.com/p/search/세종특별자치시 나성동 829", "지도Link")</f>
        <v/>
      </c>
      <c r="S762" s="6">
        <f>HYPERLINK("http://www.eum.go.kr/web/ar/lu/luLandDet.jsp?pnu=3611010700108290000&amp;isNoScr=script&amp;mode=search", "토지이음")</f>
        <v/>
      </c>
      <c r="T762" s="3" t="inlineStr">
        <is>
          <t>성지</t>
        </is>
      </c>
      <c r="U762" s="3" t="n">
        <v>1</v>
      </c>
      <c r="V762" s="3" t="inlineStr">
        <is>
          <t>공동주택 휘트니스</t>
        </is>
      </c>
      <c r="W762" s="4" t="n">
        <v>745</v>
      </c>
      <c r="X762" s="3" t="inlineStr">
        <is>
          <t>철근콘크리트구조</t>
        </is>
      </c>
      <c r="Y762" s="3" t="inlineStr">
        <is>
          <t>공동주택</t>
        </is>
      </c>
      <c r="Z762" s="3" t="inlineStr">
        <is>
          <t>-m</t>
        </is>
      </c>
      <c r="AA762" s="3" t="inlineStr">
        <is>
          <t>2021-08-20</t>
        </is>
      </c>
    </row>
    <row r="763">
      <c r="A763" s="3" t="inlineStr">
        <is>
          <t>세종특별자치시 나성동 829</t>
        </is>
      </c>
      <c r="B763" s="3" t="inlineStr">
        <is>
          <t>중심상업지역</t>
        </is>
      </c>
      <c r="C763" s="3" t="inlineStr">
        <is>
          <t>대</t>
        </is>
      </c>
      <c r="D763" s="3" t="inlineStr">
        <is>
          <t>공장</t>
        </is>
      </c>
      <c r="E763" s="3" t="inlineStr">
        <is>
          <t>월세</t>
        </is>
      </c>
      <c r="F763" s="4" t="n">
        <v>2000</v>
      </c>
      <c r="G763" s="4" t="n">
        <v>200</v>
      </c>
      <c r="H763" s="4" t="n">
        <v>4608</v>
      </c>
      <c r="I763" s="4" t="n">
        <v>1394</v>
      </c>
      <c r="J763" s="5" t="n">
        <v>0.1</v>
      </c>
      <c r="K763" s="4" t="n">
        <v>330</v>
      </c>
      <c r="L763" s="4" t="n">
        <v>100</v>
      </c>
      <c r="M763" s="5" t="n">
        <v>2</v>
      </c>
      <c r="N763" s="3" t="inlineStr">
        <is>
          <t>4</t>
        </is>
      </c>
      <c r="O763" s="3" t="inlineStr">
        <is>
          <t>-</t>
        </is>
      </c>
      <c r="P763" s="3" t="inlineStr">
        <is>
          <t>화물리프트있음, 깨끗한공장, 높이3M,창고및 사무실가능.</t>
        </is>
      </c>
      <c r="Q763" s="6">
        <f>HYPERLINK("https://fin.land.naver.com/articles/2646657920", "매물Link")</f>
        <v/>
      </c>
      <c r="R763" s="6">
        <f>HYPERLINK("https://map.naver.com/p/search/세종특별자치시 나성동 829", "지도Link")</f>
        <v/>
      </c>
      <c r="S763" s="6">
        <f>HYPERLINK("http://www.eum.go.kr/web/ar/lu/luLandDet.jsp?pnu=3611010700108290000&amp;isNoScr=script&amp;mode=search", "토지이음")</f>
        <v/>
      </c>
      <c r="T763" s="3" t="inlineStr">
        <is>
          <t>성지</t>
        </is>
      </c>
      <c r="U763" s="3" t="n">
        <v>1</v>
      </c>
      <c r="V763" s="3" t="inlineStr">
        <is>
          <t>801</t>
        </is>
      </c>
      <c r="W763" s="4" t="n">
        <v>330</v>
      </c>
      <c r="X763" s="3" t="inlineStr">
        <is>
          <t>철근콘크리트구조</t>
        </is>
      </c>
      <c r="Y763" s="3" t="inlineStr">
        <is>
          <t>제2종근린생활시설</t>
        </is>
      </c>
      <c r="Z763" s="3" t="inlineStr">
        <is>
          <t>-m</t>
        </is>
      </c>
      <c r="AA763" s="3" t="inlineStr">
        <is>
          <t>2021-08-20</t>
        </is>
      </c>
    </row>
    <row r="764">
      <c r="A764" s="3" t="inlineStr">
        <is>
          <t>세종특별자치시 나성동 829</t>
        </is>
      </c>
      <c r="B764" s="3" t="inlineStr">
        <is>
          <t>중심상업지역</t>
        </is>
      </c>
      <c r="C764" s="3" t="inlineStr">
        <is>
          <t>대</t>
        </is>
      </c>
      <c r="D764" s="3" t="inlineStr">
        <is>
          <t>공장</t>
        </is>
      </c>
      <c r="E764" s="3" t="inlineStr">
        <is>
          <t>월세</t>
        </is>
      </c>
      <c r="F764" s="4" t="n">
        <v>2500</v>
      </c>
      <c r="G764" s="4" t="n">
        <v>260</v>
      </c>
      <c r="H764" s="4" t="n">
        <v>3300</v>
      </c>
      <c r="I764" s="4" t="n">
        <v>998</v>
      </c>
      <c r="J764" s="5" t="n">
        <v>0.3</v>
      </c>
      <c r="K764" s="4" t="n">
        <v>3300</v>
      </c>
      <c r="L764" s="4" t="n">
        <v>998</v>
      </c>
      <c r="M764" s="5" t="n">
        <v>0.3</v>
      </c>
      <c r="N764" s="3" t="inlineStr">
        <is>
          <t>3</t>
        </is>
      </c>
      <c r="O764" s="3" t="inlineStr">
        <is>
          <t>-</t>
        </is>
      </c>
      <c r="P764" s="3" t="inlineStr">
        <is>
          <t>코너각지, 넓은 주차장</t>
        </is>
      </c>
      <c r="Q764" s="6">
        <f>HYPERLINK("https://fin.land.naver.com/articles/2648205279", "매물Link")</f>
        <v/>
      </c>
      <c r="R764" s="6">
        <f>HYPERLINK("https://map.naver.com/p/search/세종특별자치시 나성동 829", "지도Link")</f>
        <v/>
      </c>
      <c r="S764" s="6">
        <f>HYPERLINK("http://www.eum.go.kr/web/ar/lu/luLandDet.jsp?pnu=3611010700108290000&amp;isNoScr=script&amp;mode=search", "토지이음")</f>
        <v/>
      </c>
      <c r="T764" s="3" t="inlineStr">
        <is>
          <t>산업</t>
        </is>
      </c>
      <c r="U764" s="3" t="n">
        <v>1</v>
      </c>
      <c r="V764" s="3" t="inlineStr">
        <is>
          <t>802</t>
        </is>
      </c>
      <c r="W764" s="4" t="n">
        <v>3300</v>
      </c>
      <c r="X764" s="3" t="inlineStr">
        <is>
          <t>철근콘크리트구조</t>
        </is>
      </c>
      <c r="Y764" s="3" t="inlineStr">
        <is>
          <t>제2종근린생활시설</t>
        </is>
      </c>
      <c r="Z764" s="3" t="inlineStr">
        <is>
          <t>-m</t>
        </is>
      </c>
      <c r="AA764" s="3" t="inlineStr">
        <is>
          <t>2021-08-20</t>
        </is>
      </c>
    </row>
    <row r="765">
      <c r="A765" s="3" t="inlineStr">
        <is>
          <t>세종특별자치시 나성동 829</t>
        </is>
      </c>
      <c r="B765" s="3" t="inlineStr">
        <is>
          <t>중심상업지역</t>
        </is>
      </c>
      <c r="C765" s="3" t="inlineStr">
        <is>
          <t>대</t>
        </is>
      </c>
      <c r="D765" s="3" t="inlineStr">
        <is>
          <t>공장</t>
        </is>
      </c>
      <c r="E765" s="3" t="inlineStr">
        <is>
          <t>매매</t>
        </is>
      </c>
      <c r="F765" s="4" t="n">
        <v>470000</v>
      </c>
      <c r="G765" s="4" t="n">
        <v>0</v>
      </c>
      <c r="H765" s="4" t="n">
        <v>3330</v>
      </c>
      <c r="I765" s="4" t="n">
        <v>1007</v>
      </c>
      <c r="J765" s="5" t="n">
        <v>466.7</v>
      </c>
      <c r="K765" s="4" t="n">
        <v>2070</v>
      </c>
      <c r="L765" s="4" t="n">
        <v>626</v>
      </c>
      <c r="M765" s="5" t="n">
        <v>750.8</v>
      </c>
      <c r="N765" s="3" t="inlineStr">
        <is>
          <t>2</t>
        </is>
      </c>
      <c r="O765" s="3" t="inlineStr">
        <is>
          <t>-</t>
        </is>
      </c>
      <c r="P765" s="3" t="inlineStr">
        <is>
          <t>공장동 2개, 사무동 1개로 구성, 가격협의 가능,</t>
        </is>
      </c>
      <c r="Q765" s="6">
        <f>HYPERLINK("https://fin.land.naver.com/articles/2647625610", "매물Link")</f>
        <v/>
      </c>
      <c r="R765" s="6">
        <f>HYPERLINK("https://map.naver.com/p/search/세종특별자치시 나성동 829", "지도Link")</f>
        <v/>
      </c>
      <c r="S765" s="6">
        <f>HYPERLINK("http://www.eum.go.kr/web/ar/lu/luLandDet.jsp?pnu=3611010700108290000&amp;isNoScr=script&amp;mode=search", "토지이음")</f>
        <v/>
      </c>
      <c r="T765" s="3" t="inlineStr">
        <is>
          <t>산업</t>
        </is>
      </c>
      <c r="U765" s="3" t="n">
        <v>1</v>
      </c>
      <c r="V765" s="3" t="inlineStr">
        <is>
          <t>근린생활시설 지하주차장</t>
        </is>
      </c>
      <c r="W765" s="4" t="n">
        <v>2070</v>
      </c>
      <c r="X765" s="3" t="inlineStr">
        <is>
          <t>철근콘크리트구조</t>
        </is>
      </c>
      <c r="Y765" s="3" t="inlineStr">
        <is>
          <t>제2종근린생활시설</t>
        </is>
      </c>
      <c r="Z765" s="3" t="inlineStr">
        <is>
          <t>-m</t>
        </is>
      </c>
      <c r="AA765" s="3" t="inlineStr">
        <is>
          <t>2021-08-20</t>
        </is>
      </c>
    </row>
    <row r="766">
      <c r="A766" s="3" t="inlineStr">
        <is>
          <t>세종특별자치시 나성동 829</t>
        </is>
      </c>
      <c r="B766" s="3" t="inlineStr">
        <is>
          <t>중심상업지역</t>
        </is>
      </c>
      <c r="C766" s="3" t="inlineStr">
        <is>
          <t>대</t>
        </is>
      </c>
      <c r="D766" s="3" t="inlineStr">
        <is>
          <t>공장</t>
        </is>
      </c>
      <c r="E766" s="3" t="inlineStr">
        <is>
          <t>월세</t>
        </is>
      </c>
      <c r="F766" s="4" t="n">
        <v>3300</v>
      </c>
      <c r="G766" s="4" t="n">
        <v>330</v>
      </c>
      <c r="H766" s="4" t="n">
        <v>3000</v>
      </c>
      <c r="I766" s="4" t="n">
        <v>908</v>
      </c>
      <c r="J766" s="5" t="n">
        <v>0.4</v>
      </c>
      <c r="K766" s="4" t="n">
        <v>1500</v>
      </c>
      <c r="L766" s="4" t="n">
        <v>454</v>
      </c>
      <c r="M766" s="5" t="n">
        <v>0.7</v>
      </c>
      <c r="N766" s="3" t="inlineStr">
        <is>
          <t>2</t>
        </is>
      </c>
      <c r="O766" s="3" t="inlineStr">
        <is>
          <t>-</t>
        </is>
      </c>
      <c r="P766" s="3" t="inlineStr">
        <is>
          <t>11월 초 입주가능, 층고 7m, 전기 100kw 내부사무실 구비</t>
        </is>
      </c>
      <c r="Q766" s="6">
        <f>HYPERLINK("https://fin.land.naver.com/articles/2644488565", "매물Link")</f>
        <v/>
      </c>
      <c r="R766" s="6">
        <f>HYPERLINK("https://map.naver.com/p/search/세종특별자치시 나성동 829", "지도Link")</f>
        <v/>
      </c>
      <c r="S766" s="6">
        <f>HYPERLINK("http://www.eum.go.kr/web/ar/lu/luLandDet.jsp?pnu=3611010700108290000&amp;isNoScr=script&amp;mode=search", "토지이음")</f>
        <v/>
      </c>
      <c r="T766" s="3" t="inlineStr">
        <is>
          <t>산업</t>
        </is>
      </c>
      <c r="U766" s="3" t="n">
        <v>1</v>
      </c>
      <c r="V766" s="3" t="inlineStr">
        <is>
          <t>605</t>
        </is>
      </c>
      <c r="W766" s="4" t="n">
        <v>1500</v>
      </c>
      <c r="X766" s="3" t="inlineStr">
        <is>
          <t>철근콘크리트구조</t>
        </is>
      </c>
      <c r="Y766" s="3" t="inlineStr">
        <is>
          <t>공동주택</t>
        </is>
      </c>
      <c r="Z766" s="3" t="inlineStr">
        <is>
          <t>45.30m</t>
        </is>
      </c>
      <c r="AA766" s="3" t="inlineStr">
        <is>
          <t>2021-08-20</t>
        </is>
      </c>
    </row>
    <row r="767">
      <c r="A767" s="3" t="inlineStr">
        <is>
          <t>세종특별자치시 나성동 829</t>
        </is>
      </c>
      <c r="B767" s="3" t="inlineStr">
        <is>
          <t>중심상업지역</t>
        </is>
      </c>
      <c r="C767" s="3" t="inlineStr">
        <is>
          <t>대</t>
        </is>
      </c>
      <c r="D767" s="3" t="inlineStr">
        <is>
          <t>창고</t>
        </is>
      </c>
      <c r="E767" s="3" t="inlineStr">
        <is>
          <t>월세</t>
        </is>
      </c>
      <c r="F767" s="4" t="n">
        <v>2000</v>
      </c>
      <c r="G767" s="4" t="n">
        <v>132</v>
      </c>
      <c r="H767" s="4" t="n">
        <v>300</v>
      </c>
      <c r="I767" s="4" t="n">
        <v>91</v>
      </c>
      <c r="J767" s="5" t="n">
        <v>1.5</v>
      </c>
      <c r="K767" s="4" t="n">
        <v>169</v>
      </c>
      <c r="L767" s="4" t="n">
        <v>51</v>
      </c>
      <c r="M767" s="5" t="n">
        <v>2.6</v>
      </c>
      <c r="N767" s="3" t="inlineStr">
        <is>
          <t>2</t>
        </is>
      </c>
      <c r="O767" s="3" t="inlineStr">
        <is>
          <t>-</t>
        </is>
      </c>
      <c r="P767" s="3" t="inlineStr">
        <is>
          <t>높이4M 정도,  창고로사용가능. 철근콘크리트구조건물,.공단내 창고</t>
        </is>
      </c>
      <c r="Q767" s="6">
        <f>HYPERLINK("https://fin.land.naver.com/articles/2649525308", "매물Link")</f>
        <v/>
      </c>
      <c r="R767" s="6">
        <f>HYPERLINK("https://map.naver.com/p/search/세종특별자치시 나성동 829", "지도Link")</f>
        <v/>
      </c>
      <c r="S767" s="6">
        <f>HYPERLINK("http://www.eum.go.kr/web/ar/lu/luLandDet.jsp?pnu=3611010700108290000&amp;isNoScr=script&amp;mode=search", "토지이음")</f>
        <v/>
      </c>
      <c r="T767" s="3" t="inlineStr">
        <is>
          <t>성지</t>
        </is>
      </c>
      <c r="U767" s="3" t="n">
        <v>1</v>
      </c>
      <c r="V767" s="3" t="inlineStr">
        <is>
          <t>공동주택 작은도서관</t>
        </is>
      </c>
      <c r="W767" s="4" t="n">
        <v>169</v>
      </c>
      <c r="X767" s="3" t="inlineStr">
        <is>
          <t>철근콘크리트구조</t>
        </is>
      </c>
      <c r="Y767" s="3" t="inlineStr">
        <is>
          <t>공동주택</t>
        </is>
      </c>
      <c r="Z767" s="3" t="inlineStr">
        <is>
          <t>-m</t>
        </is>
      </c>
      <c r="AA767" s="3" t="inlineStr">
        <is>
          <t>2021-08-20</t>
        </is>
      </c>
    </row>
    <row r="768">
      <c r="A768" s="3" t="inlineStr">
        <is>
          <t>세종특별자치시 나성동 829</t>
        </is>
      </c>
      <c r="B768" s="3" t="inlineStr">
        <is>
          <t>중심상업지역</t>
        </is>
      </c>
      <c r="C768" s="3" t="inlineStr">
        <is>
          <t>대</t>
        </is>
      </c>
      <c r="D768" s="3" t="inlineStr">
        <is>
          <t>공장</t>
        </is>
      </c>
      <c r="E768" s="3" t="inlineStr">
        <is>
          <t>매매</t>
        </is>
      </c>
      <c r="F768" s="4" t="n">
        <v>350000</v>
      </c>
      <c r="G768" s="4" t="n">
        <v>0</v>
      </c>
      <c r="H768" s="4" t="n">
        <v>1520</v>
      </c>
      <c r="I768" s="4" t="n">
        <v>460</v>
      </c>
      <c r="J768" s="5" t="n">
        <v>760.9</v>
      </c>
      <c r="K768" s="4" t="n">
        <v>1995</v>
      </c>
      <c r="L768" s="4" t="n">
        <v>603</v>
      </c>
      <c r="M768" s="5" t="n">
        <v>580.4</v>
      </c>
      <c r="N768" s="3" t="inlineStr">
        <is>
          <t>3</t>
        </is>
      </c>
      <c r="O768" s="3" t="inlineStr">
        <is>
          <t>-</t>
        </is>
      </c>
      <c r="P768" s="3" t="inlineStr">
        <is>
          <t>대덕 산업단지내 식품제조가  가능한 공장 입니다</t>
        </is>
      </c>
      <c r="Q768" s="6">
        <f>HYPERLINK("https://fin.land.naver.com/articles/2647534589", "매물Link")</f>
        <v/>
      </c>
      <c r="R768" s="6">
        <f>HYPERLINK("https://map.naver.com/p/search/세종특별자치시 나성동 829", "지도Link")</f>
        <v/>
      </c>
      <c r="S768" s="6">
        <f>HYPERLINK("http://www.eum.go.kr/web/ar/lu/luLandDet.jsp?pnu=3611010700108290000&amp;isNoScr=script&amp;mode=search", "토지이음")</f>
        <v/>
      </c>
      <c r="T768" s="3" t="inlineStr">
        <is>
          <t>더행복</t>
        </is>
      </c>
      <c r="U768" s="3" t="n">
        <v>1</v>
      </c>
      <c r="V768" s="3" t="inlineStr">
        <is>
          <t>901(전망공간)</t>
        </is>
      </c>
      <c r="W768" s="4" t="n">
        <v>1995</v>
      </c>
      <c r="X768" s="3" t="inlineStr">
        <is>
          <t>철근콘크리트구조</t>
        </is>
      </c>
      <c r="Y768" s="3" t="inlineStr">
        <is>
          <t>제2종근린생활시설</t>
        </is>
      </c>
      <c r="Z768" s="3" t="inlineStr">
        <is>
          <t>-m</t>
        </is>
      </c>
      <c r="AA768" s="3" t="inlineStr">
        <is>
          <t>2021-08-20</t>
        </is>
      </c>
    </row>
    <row r="769">
      <c r="A769" s="3" t="inlineStr">
        <is>
          <t>세종특별자치시 나성동 829</t>
        </is>
      </c>
      <c r="B769" s="3" t="inlineStr">
        <is>
          <t>중심상업지역</t>
        </is>
      </c>
      <c r="C769" s="3" t="inlineStr">
        <is>
          <t>대</t>
        </is>
      </c>
      <c r="D769" s="3" t="inlineStr">
        <is>
          <t>공장</t>
        </is>
      </c>
      <c r="E769" s="3" t="inlineStr">
        <is>
          <t>월세</t>
        </is>
      </c>
      <c r="F769" s="4" t="n">
        <v>3500</v>
      </c>
      <c r="G769" s="4" t="n">
        <v>350</v>
      </c>
      <c r="H769" s="4" t="n">
        <v>1520</v>
      </c>
      <c r="I769" s="4" t="n">
        <v>460</v>
      </c>
      <c r="J769" s="5" t="n">
        <v>0.8</v>
      </c>
      <c r="K769" s="4" t="n">
        <v>701</v>
      </c>
      <c r="L769" s="4" t="n">
        <v>212</v>
      </c>
      <c r="M769" s="5" t="n">
        <v>1.7</v>
      </c>
      <c r="N769" s="3" t="inlineStr">
        <is>
          <t>3</t>
        </is>
      </c>
      <c r="O769" s="3" t="inlineStr">
        <is>
          <t>-</t>
        </is>
      </c>
      <c r="P769" s="3" t="inlineStr">
        <is>
          <t>저렴한 공장임대 즉시입주 화물엘베 있음주차 편리</t>
        </is>
      </c>
      <c r="Q769" s="6">
        <f>HYPERLINK("https://fin.land.naver.com/articles/2648313171", "매물Link")</f>
        <v/>
      </c>
      <c r="R769" s="6">
        <f>HYPERLINK("https://map.naver.com/p/search/세종특별자치시 나성동 829", "지도Link")</f>
        <v/>
      </c>
      <c r="S769" s="6">
        <f>HYPERLINK("http://www.eum.go.kr/web/ar/lu/luLandDet.jsp?pnu=3611010700108290000&amp;isNoScr=script&amp;mode=search", "토지이음")</f>
        <v/>
      </c>
      <c r="T769" s="3" t="inlineStr">
        <is>
          <t>삼익</t>
        </is>
      </c>
      <c r="U769" s="3" t="n">
        <v>1</v>
      </c>
      <c r="V769" s="3" t="inlineStr">
        <is>
          <t>803</t>
        </is>
      </c>
      <c r="W769" s="4" t="n">
        <v>701</v>
      </c>
      <c r="X769" s="3" t="inlineStr">
        <is>
          <t>철근콘크리트구조</t>
        </is>
      </c>
      <c r="Y769" s="3" t="inlineStr">
        <is>
          <t>제2종근린생활시설</t>
        </is>
      </c>
      <c r="Z769" s="3" t="inlineStr">
        <is>
          <t>-m</t>
        </is>
      </c>
      <c r="AA769" s="3" t="inlineStr">
        <is>
          <t>2021-08-20</t>
        </is>
      </c>
    </row>
    <row r="770">
      <c r="A770" s="3" t="inlineStr">
        <is>
          <t>세종특별자치시 나성동 829</t>
        </is>
      </c>
      <c r="B770" s="3" t="inlineStr">
        <is>
          <t>중심상업지역</t>
        </is>
      </c>
      <c r="C770" s="3" t="inlineStr">
        <is>
          <t>대</t>
        </is>
      </c>
      <c r="D770" s="3" t="inlineStr">
        <is>
          <t>공장</t>
        </is>
      </c>
      <c r="E770" s="3" t="inlineStr">
        <is>
          <t>매매</t>
        </is>
      </c>
      <c r="F770" s="4" t="n">
        <v>600000</v>
      </c>
      <c r="G770" s="4" t="n">
        <v>0</v>
      </c>
      <c r="H770" s="4" t="n">
        <v>2749</v>
      </c>
      <c r="I770" s="4" t="n">
        <v>832</v>
      </c>
      <c r="J770" s="5" t="n">
        <v>721.2</v>
      </c>
      <c r="K770" s="4" t="n">
        <v>1410</v>
      </c>
      <c r="L770" s="4" t="n">
        <v>427</v>
      </c>
      <c r="M770" s="5" t="n">
        <v>1405.2</v>
      </c>
      <c r="N770" s="3" t="inlineStr">
        <is>
          <t>2</t>
        </is>
      </c>
      <c r="O770" s="3" t="inlineStr">
        <is>
          <t>-</t>
        </is>
      </c>
      <c r="P770" s="3" t="inlineStr">
        <is>
          <t>산업단지 내 고전력 공장 매매호이스트 다수 설치</t>
        </is>
      </c>
      <c r="Q770" s="6">
        <f>HYPERLINK("https://fin.land.naver.com/articles/2648126894", "매물Link")</f>
        <v/>
      </c>
      <c r="R770" s="6">
        <f>HYPERLINK("https://map.naver.com/p/search/세종특별자치시 나성동 829", "지도Link")</f>
        <v/>
      </c>
      <c r="S770" s="6">
        <f>HYPERLINK("http://www.eum.go.kr/web/ar/lu/luLandDet.jsp?pnu=3611010700108290000&amp;isNoScr=script&amp;mode=search", "토지이음")</f>
        <v/>
      </c>
      <c r="T770" s="3" t="inlineStr">
        <is>
          <t>삼익</t>
        </is>
      </c>
      <c r="U770" s="3" t="n">
        <v>1</v>
      </c>
      <c r="V770" s="3" t="inlineStr">
        <is>
          <t>605</t>
        </is>
      </c>
      <c r="W770" s="4" t="n">
        <v>1410</v>
      </c>
      <c r="X770" s="3" t="inlineStr">
        <is>
          <t>철근콘크리트구조</t>
        </is>
      </c>
      <c r="Y770" s="3" t="inlineStr">
        <is>
          <t>공동주택</t>
        </is>
      </c>
      <c r="Z770" s="3" t="inlineStr">
        <is>
          <t>45.30m</t>
        </is>
      </c>
      <c r="AA770" s="3" t="inlineStr">
        <is>
          <t>2021-08-20</t>
        </is>
      </c>
    </row>
    <row r="771">
      <c r="A771" s="3" t="inlineStr">
        <is>
          <t>세종특별자치시 나성동 829</t>
        </is>
      </c>
      <c r="B771" s="3" t="inlineStr">
        <is>
          <t>중심상업지역</t>
        </is>
      </c>
      <c r="C771" s="3" t="inlineStr">
        <is>
          <t>대</t>
        </is>
      </c>
      <c r="D771" s="3" t="inlineStr">
        <is>
          <t>공장</t>
        </is>
      </c>
      <c r="E771" s="3" t="inlineStr">
        <is>
          <t>매매</t>
        </is>
      </c>
      <c r="F771" s="4" t="n">
        <v>130000</v>
      </c>
      <c r="G771" s="4" t="n">
        <v>0</v>
      </c>
      <c r="H771" s="4" t="n">
        <v>685</v>
      </c>
      <c r="I771" s="4" t="n">
        <v>207</v>
      </c>
      <c r="J771" s="5" t="n">
        <v>628</v>
      </c>
      <c r="K771" s="4" t="n">
        <v>363</v>
      </c>
      <c r="L771" s="4" t="n">
        <v>110</v>
      </c>
      <c r="M771" s="5" t="n">
        <v>1181.8</v>
      </c>
      <c r="N771" s="3" t="inlineStr">
        <is>
          <t>1</t>
        </is>
      </c>
      <c r="O771" s="3" t="inlineStr">
        <is>
          <t>-</t>
        </is>
      </c>
      <c r="P771" s="3" t="inlineStr">
        <is>
          <t>신탄진IC 3분, 냉동창고 완비,2차선 도로변, 기숙사 완비</t>
        </is>
      </c>
      <c r="Q771" s="6">
        <f>HYPERLINK("https://fin.land.naver.com/articles/2644034946", "매물Link")</f>
        <v/>
      </c>
      <c r="R771" s="6">
        <f>HYPERLINK("https://map.naver.com/p/search/세종특별자치시 나성동 829", "지도Link")</f>
        <v/>
      </c>
      <c r="S771" s="6">
        <f>HYPERLINK("http://www.eum.go.kr/web/ar/lu/luLandDet.jsp?pnu=3611010700108290000&amp;isNoScr=script&amp;mode=search", "토지이음")</f>
        <v/>
      </c>
      <c r="T771" s="3" t="inlineStr">
        <is>
          <t>대성오투그란데</t>
        </is>
      </c>
      <c r="U771" s="3" t="n">
        <v>1</v>
      </c>
      <c r="V771" s="3" t="inlineStr">
        <is>
          <t>전망공간 기계실</t>
        </is>
      </c>
      <c r="W771" s="4" t="n">
        <v>363</v>
      </c>
      <c r="X771" s="3" t="inlineStr">
        <is>
          <t>철근콘크리트구조</t>
        </is>
      </c>
      <c r="Y771" s="3" t="inlineStr">
        <is>
          <t>제2종근린생활시설</t>
        </is>
      </c>
      <c r="Z771" s="3" t="inlineStr">
        <is>
          <t>-m</t>
        </is>
      </c>
      <c r="AA771" s="3" t="inlineStr">
        <is>
          <t>2021-08-20</t>
        </is>
      </c>
    </row>
    <row r="772">
      <c r="A772" s="3" t="inlineStr">
        <is>
          <t>세종특별자치시 나성동 829</t>
        </is>
      </c>
      <c r="B772" s="3" t="inlineStr">
        <is>
          <t>중심상업지역</t>
        </is>
      </c>
      <c r="C772" s="3" t="inlineStr">
        <is>
          <t>대</t>
        </is>
      </c>
      <c r="D772" s="3" t="inlineStr">
        <is>
          <t>공장</t>
        </is>
      </c>
      <c r="E772" s="3" t="inlineStr">
        <is>
          <t>월세</t>
        </is>
      </c>
      <c r="F772" s="4" t="n">
        <v>5000</v>
      </c>
      <c r="G772" s="4" t="n">
        <v>490</v>
      </c>
      <c r="H772" s="4" t="n">
        <v>827</v>
      </c>
      <c r="I772" s="4" t="n">
        <v>250</v>
      </c>
      <c r="J772" s="5" t="n">
        <v>2</v>
      </c>
      <c r="K772" s="4" t="n">
        <v>582</v>
      </c>
      <c r="L772" s="4" t="n">
        <v>176</v>
      </c>
      <c r="M772" s="5" t="n">
        <v>2.8</v>
      </c>
      <c r="N772" s="3" t="inlineStr">
        <is>
          <t>2</t>
        </is>
      </c>
      <c r="O772" s="3" t="inlineStr">
        <is>
          <t>-</t>
        </is>
      </c>
      <c r="P772" s="3" t="inlineStr">
        <is>
          <t>대전 신탄진4산업단지 소형 단독공장 신탄진IC 상서동나들목 인근 교통편리</t>
        </is>
      </c>
      <c r="Q772" s="6">
        <f>HYPERLINK("https://fin.land.naver.com/articles/2647305333", "매물Link")</f>
        <v/>
      </c>
      <c r="R772" s="6">
        <f>HYPERLINK("https://map.naver.com/p/search/세종특별자치시 나성동 829", "지도Link")</f>
        <v/>
      </c>
      <c r="S772" s="6">
        <f>HYPERLINK("http://www.eum.go.kr/web/ar/lu/luLandDet.jsp?pnu=3611010700108290000&amp;isNoScr=script&amp;mode=search", "토지이음")</f>
        <v/>
      </c>
      <c r="T772" s="3" t="inlineStr">
        <is>
          <t>테크노반석</t>
        </is>
      </c>
      <c r="U772" s="3" t="n">
        <v>1</v>
      </c>
      <c r="V772" s="3" t="inlineStr">
        <is>
          <t>803</t>
        </is>
      </c>
      <c r="W772" s="4" t="n">
        <v>582</v>
      </c>
      <c r="X772" s="3" t="inlineStr">
        <is>
          <t>철근콘크리트구조</t>
        </is>
      </c>
      <c r="Y772" s="3" t="inlineStr">
        <is>
          <t>제2종근린생활시설</t>
        </is>
      </c>
      <c r="Z772" s="3" t="inlineStr">
        <is>
          <t>-m</t>
        </is>
      </c>
      <c r="AA772" s="3" t="inlineStr">
        <is>
          <t>2021-08-20</t>
        </is>
      </c>
    </row>
    <row r="773">
      <c r="A773" s="3" t="inlineStr">
        <is>
          <t>세종특별자치시 나성동 829</t>
        </is>
      </c>
      <c r="B773" s="3" t="inlineStr">
        <is>
          <t>중심상업지역</t>
        </is>
      </c>
      <c r="C773" s="3" t="inlineStr">
        <is>
          <t>대</t>
        </is>
      </c>
      <c r="D773" s="3" t="inlineStr">
        <is>
          <t>공장</t>
        </is>
      </c>
      <c r="E773" s="3" t="inlineStr">
        <is>
          <t>월세</t>
        </is>
      </c>
      <c r="F773" s="4" t="n">
        <v>3500</v>
      </c>
      <c r="G773" s="4" t="n">
        <v>350</v>
      </c>
      <c r="H773" s="4" t="n">
        <v>1520</v>
      </c>
      <c r="I773" s="4" t="n">
        <v>460</v>
      </c>
      <c r="J773" s="5" t="n">
        <v>0.8</v>
      </c>
      <c r="K773" s="4" t="n">
        <v>1995</v>
      </c>
      <c r="L773" s="4" t="n">
        <v>603</v>
      </c>
      <c r="M773" s="5" t="n">
        <v>0.6</v>
      </c>
      <c r="N773" s="3" t="inlineStr">
        <is>
          <t>3</t>
        </is>
      </c>
      <c r="O773" s="3" t="inlineStr">
        <is>
          <t>-</t>
        </is>
      </c>
      <c r="P773" s="3" t="inlineStr">
        <is>
          <t>3층이고, 화물용 리프트2톤가 있으며, 상태 깨끗함</t>
        </is>
      </c>
      <c r="Q773" s="6">
        <f>HYPERLINK("https://fin.land.naver.com/articles/2646745955", "매물Link")</f>
        <v/>
      </c>
      <c r="R773" s="6">
        <f>HYPERLINK("https://map.naver.com/p/search/세종특별자치시 나성동 829", "지도Link")</f>
        <v/>
      </c>
      <c r="S773" s="6">
        <f>HYPERLINK("http://www.eum.go.kr/web/ar/lu/luLandDet.jsp?pnu=3611010700108290000&amp;isNoScr=script&amp;mode=search", "토지이음")</f>
        <v/>
      </c>
      <c r="T773" s="3" t="inlineStr">
        <is>
          <t>대전명품</t>
        </is>
      </c>
      <c r="U773" s="3" t="n">
        <v>1</v>
      </c>
      <c r="V773" s="3" t="inlineStr">
        <is>
          <t>901(전망공간)</t>
        </is>
      </c>
      <c r="W773" s="4" t="n">
        <v>1995</v>
      </c>
      <c r="X773" s="3" t="inlineStr">
        <is>
          <t>철근콘크리트구조</t>
        </is>
      </c>
      <c r="Y773" s="3" t="inlineStr">
        <is>
          <t>제2종근린생활시설</t>
        </is>
      </c>
      <c r="Z773" s="3" t="inlineStr">
        <is>
          <t>-m</t>
        </is>
      </c>
      <c r="AA773" s="3" t="inlineStr">
        <is>
          <t>2021-08-20</t>
        </is>
      </c>
    </row>
    <row r="774">
      <c r="A774" s="3" t="inlineStr">
        <is>
          <t>세종특별자치시 나성동 829</t>
        </is>
      </c>
      <c r="B774" s="3" t="inlineStr">
        <is>
          <t>중심상업지역</t>
        </is>
      </c>
      <c r="C774" s="3" t="inlineStr">
        <is>
          <t>대</t>
        </is>
      </c>
      <c r="D774" s="3" t="inlineStr">
        <is>
          <t>공장</t>
        </is>
      </c>
      <c r="E774" s="3" t="inlineStr">
        <is>
          <t>월세</t>
        </is>
      </c>
      <c r="F774" s="4" t="n">
        <v>5000</v>
      </c>
      <c r="G774" s="4" t="n">
        <v>530</v>
      </c>
      <c r="H774" s="4" t="n">
        <v>1557</v>
      </c>
      <c r="I774" s="4" t="n">
        <v>471</v>
      </c>
      <c r="J774" s="5" t="n">
        <v>1.1</v>
      </c>
      <c r="K774" s="4" t="n">
        <v>563</v>
      </c>
      <c r="L774" s="4" t="n">
        <v>170</v>
      </c>
      <c r="M774" s="5" t="n">
        <v>3.1</v>
      </c>
      <c r="N774" s="3" t="inlineStr">
        <is>
          <t>2</t>
        </is>
      </c>
      <c r="O774" s="3" t="inlineStr">
        <is>
          <t>-</t>
        </is>
      </c>
      <c r="P774" s="3" t="inlineStr">
        <is>
          <t>전력150kw  공장임대   호이스트   사무실 있음</t>
        </is>
      </c>
      <c r="Q774" s="6">
        <f>HYPERLINK("https://fin.land.naver.com/articles/2645981447", "매물Link")</f>
        <v/>
      </c>
      <c r="R774" s="6">
        <f>HYPERLINK("https://map.naver.com/p/search/세종특별자치시 나성동 829", "지도Link")</f>
        <v/>
      </c>
      <c r="S774" s="6">
        <f>HYPERLINK("http://www.eum.go.kr/web/ar/lu/luLandDet.jsp?pnu=3611010700108290000&amp;isNoScr=script&amp;mode=search", "토지이음")</f>
        <v/>
      </c>
      <c r="T774" s="3" t="inlineStr">
        <is>
          <t>삼익</t>
        </is>
      </c>
      <c r="U774" s="3" t="n">
        <v>1</v>
      </c>
      <c r="V774" s="3" t="inlineStr">
        <is>
          <t>전망공간 기계실</t>
        </is>
      </c>
      <c r="W774" s="4" t="n">
        <v>563</v>
      </c>
      <c r="X774" s="3" t="inlineStr">
        <is>
          <t>철근콘크리트구조</t>
        </is>
      </c>
      <c r="Y774" s="3" t="inlineStr">
        <is>
          <t>제2종근린생활시설</t>
        </is>
      </c>
      <c r="Z774" s="3" t="inlineStr">
        <is>
          <t>-m</t>
        </is>
      </c>
      <c r="AA774" s="3" t="inlineStr">
        <is>
          <t>2021-08-20</t>
        </is>
      </c>
    </row>
    <row r="775">
      <c r="A775" s="3" t="inlineStr">
        <is>
          <t>세종특별자치시 나성동 829</t>
        </is>
      </c>
      <c r="B775" s="3" t="inlineStr">
        <is>
          <t>중심상업지역</t>
        </is>
      </c>
      <c r="C775" s="3" t="inlineStr">
        <is>
          <t>대</t>
        </is>
      </c>
      <c r="D775" s="3" t="inlineStr">
        <is>
          <t>공장</t>
        </is>
      </c>
      <c r="E775" s="3" t="inlineStr">
        <is>
          <t>매매</t>
        </is>
      </c>
      <c r="F775" s="4" t="n">
        <v>190000</v>
      </c>
      <c r="G775" s="4" t="n">
        <v>0</v>
      </c>
      <c r="H775" s="4" t="n">
        <v>826</v>
      </c>
      <c r="I775" s="4" t="n">
        <v>250</v>
      </c>
      <c r="J775" s="5" t="n">
        <v>760</v>
      </c>
      <c r="K775" s="4" t="n">
        <v>582</v>
      </c>
      <c r="L775" s="4" t="n">
        <v>176</v>
      </c>
      <c r="M775" s="5" t="n">
        <v>1079.5</v>
      </c>
      <c r="N775" s="3" t="inlineStr">
        <is>
          <t>2</t>
        </is>
      </c>
      <c r="O775" s="3" t="inlineStr">
        <is>
          <t>-</t>
        </is>
      </c>
      <c r="P775" s="3" t="inlineStr">
        <is>
          <t>대전4산업단지 귀한 소형공장 실용성 높고  신탄진IC 가까와 교통편리</t>
        </is>
      </c>
      <c r="Q775" s="6">
        <f>HYPERLINK("https://fin.land.naver.com/articles/2645361094", "매물Link")</f>
        <v/>
      </c>
      <c r="R775" s="6">
        <f>HYPERLINK("https://map.naver.com/p/search/세종특별자치시 나성동 829", "지도Link")</f>
        <v/>
      </c>
      <c r="S775" s="6">
        <f>HYPERLINK("http://www.eum.go.kr/web/ar/lu/luLandDet.jsp?pnu=3611010700108290000&amp;isNoScr=script&amp;mode=search", "토지이음")</f>
        <v/>
      </c>
      <c r="T775" s="3" t="inlineStr">
        <is>
          <t>테크노반석</t>
        </is>
      </c>
      <c r="U775" s="3" t="n">
        <v>1</v>
      </c>
      <c r="V775" s="3" t="inlineStr">
        <is>
          <t>803</t>
        </is>
      </c>
      <c r="W775" s="4" t="n">
        <v>582</v>
      </c>
      <c r="X775" s="3" t="inlineStr">
        <is>
          <t>철근콘크리트구조</t>
        </is>
      </c>
      <c r="Y775" s="3" t="inlineStr">
        <is>
          <t>제2종근린생활시설</t>
        </is>
      </c>
      <c r="Z775" s="3" t="inlineStr">
        <is>
          <t>-m</t>
        </is>
      </c>
      <c r="AA775" s="3" t="inlineStr">
        <is>
          <t>2021-08-20</t>
        </is>
      </c>
    </row>
    <row r="776">
      <c r="A776" s="3" t="inlineStr">
        <is>
          <t>세종특별자치시 나성동 829</t>
        </is>
      </c>
      <c r="B776" s="3" t="inlineStr">
        <is>
          <t>중심상업지역</t>
        </is>
      </c>
      <c r="C776" s="3" t="inlineStr">
        <is>
          <t>대</t>
        </is>
      </c>
      <c r="D776" s="3" t="inlineStr">
        <is>
          <t>공장</t>
        </is>
      </c>
      <c r="E776" s="3" t="inlineStr">
        <is>
          <t>매매</t>
        </is>
      </c>
      <c r="F776" s="4" t="n">
        <v>120000</v>
      </c>
      <c r="G776" s="4" t="n">
        <v>0</v>
      </c>
      <c r="H776" s="4" t="n">
        <v>500</v>
      </c>
      <c r="I776" s="4" t="n">
        <v>151</v>
      </c>
      <c r="J776" s="5" t="n">
        <v>794.7</v>
      </c>
      <c r="K776" s="4" t="n">
        <v>668</v>
      </c>
      <c r="L776" s="4" t="n">
        <v>202</v>
      </c>
      <c r="M776" s="5" t="n">
        <v>594.1</v>
      </c>
      <c r="N776" s="3" t="inlineStr">
        <is>
          <t>2</t>
        </is>
      </c>
      <c r="O776" s="3" t="inlineStr">
        <is>
          <t>-</t>
        </is>
      </c>
      <c r="P776" s="3" t="inlineStr">
        <is>
          <t>폐수장 시설있음, 유동인구많은 주변공장. 근생으로 사용가능,가격조정가능.</t>
        </is>
      </c>
      <c r="Q776" s="6">
        <f>HYPERLINK("https://fin.land.naver.com/articles/2644409849", "매물Link")</f>
        <v/>
      </c>
      <c r="R776" s="6">
        <f>HYPERLINK("https://map.naver.com/p/search/세종특별자치시 나성동 829", "지도Link")</f>
        <v/>
      </c>
      <c r="S776" s="6">
        <f>HYPERLINK("http://www.eum.go.kr/web/ar/lu/luLandDet.jsp?pnu=3611010700108290000&amp;isNoScr=script&amp;mode=search", "토지이음")</f>
        <v/>
      </c>
      <c r="T776" s="3" t="inlineStr">
        <is>
          <t>성지</t>
        </is>
      </c>
      <c r="U776" s="3" t="n">
        <v>1</v>
      </c>
      <c r="V776" s="3" t="inlineStr">
        <is>
          <t>803</t>
        </is>
      </c>
      <c r="W776" s="4" t="n">
        <v>668</v>
      </c>
      <c r="X776" s="3" t="inlineStr">
        <is>
          <t>철근콘크리트구조</t>
        </is>
      </c>
      <c r="Y776" s="3" t="inlineStr">
        <is>
          <t>제2종근린생활시설</t>
        </is>
      </c>
      <c r="Z776" s="3" t="inlineStr">
        <is>
          <t>-m</t>
        </is>
      </c>
      <c r="AA776" s="3" t="inlineStr">
        <is>
          <t>2021-08-20</t>
        </is>
      </c>
    </row>
    <row r="777">
      <c r="A777" s="3" t="inlineStr">
        <is>
          <t>세종특별자치시 나성동 829</t>
        </is>
      </c>
      <c r="B777" s="3" t="inlineStr">
        <is>
          <t>중심상업지역</t>
        </is>
      </c>
      <c r="C777" s="3" t="inlineStr">
        <is>
          <t>대</t>
        </is>
      </c>
      <c r="D777" s="3" t="inlineStr">
        <is>
          <t>공장</t>
        </is>
      </c>
      <c r="E777" s="3" t="inlineStr">
        <is>
          <t>매매</t>
        </is>
      </c>
      <c r="F777" s="4" t="n">
        <v>700000</v>
      </c>
      <c r="G777" s="4" t="n">
        <v>0</v>
      </c>
      <c r="H777" s="4" t="n">
        <v>3313</v>
      </c>
      <c r="I777" s="4" t="n">
        <v>1002</v>
      </c>
      <c r="J777" s="5" t="n">
        <v>698.6</v>
      </c>
      <c r="K777" s="4" t="n">
        <v>2529</v>
      </c>
      <c r="L777" s="4" t="n">
        <v>765</v>
      </c>
      <c r="M777" s="5" t="n">
        <v>915</v>
      </c>
      <c r="N777" s="3" t="inlineStr">
        <is>
          <t>3</t>
        </is>
      </c>
      <c r="O777" s="3" t="inlineStr">
        <is>
          <t>-</t>
        </is>
      </c>
      <c r="P777" s="3" t="inlineStr">
        <is>
          <t>공장동 3개, 사무동 1개로 구성, 가격협의 가능,</t>
        </is>
      </c>
      <c r="Q777" s="6">
        <f>HYPERLINK("https://fin.land.naver.com/articles/2647623913", "매물Link")</f>
        <v/>
      </c>
      <c r="R777" s="6">
        <f>HYPERLINK("https://map.naver.com/p/search/세종특별자치시 나성동 829", "지도Link")</f>
        <v/>
      </c>
      <c r="S777" s="6">
        <f>HYPERLINK("http://www.eum.go.kr/web/ar/lu/luLandDet.jsp?pnu=3611010700108290000&amp;isNoScr=script&amp;mode=search", "토지이음")</f>
        <v/>
      </c>
      <c r="T777" s="3" t="inlineStr">
        <is>
          <t>산업</t>
        </is>
      </c>
      <c r="U777" s="3" t="n">
        <v>1</v>
      </c>
      <c r="V777" s="3" t="inlineStr">
        <is>
          <t>802</t>
        </is>
      </c>
      <c r="W777" s="4" t="n">
        <v>2529</v>
      </c>
      <c r="X777" s="3" t="inlineStr">
        <is>
          <t>철근콘크리트구조</t>
        </is>
      </c>
      <c r="Y777" s="3" t="inlineStr">
        <is>
          <t>제2종근린생활시설</t>
        </is>
      </c>
      <c r="Z777" s="3" t="inlineStr">
        <is>
          <t>-m</t>
        </is>
      </c>
      <c r="AA777" s="3" t="inlineStr">
        <is>
          <t>2021-08-20</t>
        </is>
      </c>
    </row>
    <row r="778">
      <c r="A778" s="3" t="inlineStr">
        <is>
          <t>세종특별자치시 나성동 829</t>
        </is>
      </c>
      <c r="B778" s="3" t="inlineStr">
        <is>
          <t>중심상업지역</t>
        </is>
      </c>
      <c r="C778" s="3" t="inlineStr">
        <is>
          <t>대</t>
        </is>
      </c>
      <c r="D778" s="3" t="inlineStr">
        <is>
          <t>창고</t>
        </is>
      </c>
      <c r="E778" s="3" t="inlineStr">
        <is>
          <t>월세</t>
        </is>
      </c>
      <c r="F778" s="4" t="n">
        <v>3000</v>
      </c>
      <c r="G778" s="4" t="n">
        <v>130</v>
      </c>
      <c r="H778" s="4" t="n">
        <v>1000</v>
      </c>
      <c r="I778" s="4" t="n">
        <v>302</v>
      </c>
      <c r="J778" s="5" t="n">
        <v>0.4</v>
      </c>
      <c r="K778" s="4" t="n">
        <v>175</v>
      </c>
      <c r="L778" s="4" t="n">
        <v>53</v>
      </c>
      <c r="M778" s="5" t="n">
        <v>2.5</v>
      </c>
      <c r="N778" s="3" t="inlineStr">
        <is>
          <t>1</t>
        </is>
      </c>
      <c r="O778" s="3" t="inlineStr">
        <is>
          <t>-</t>
        </is>
      </c>
      <c r="P778" s="3" t="inlineStr">
        <is>
          <t>신탄진4공단 공장부속건물 1층 신탄진IC인근 교통편리</t>
        </is>
      </c>
      <c r="Q778" s="6">
        <f>HYPERLINK("https://fin.land.naver.com/articles/2647456048", "매물Link")</f>
        <v/>
      </c>
      <c r="R778" s="6">
        <f>HYPERLINK("https://map.naver.com/p/search/세종특별자치시 나성동 829", "지도Link")</f>
        <v/>
      </c>
      <c r="S778" s="6">
        <f>HYPERLINK("http://www.eum.go.kr/web/ar/lu/luLandDet.jsp?pnu=3611010700108290000&amp;isNoScr=script&amp;mode=search", "토지이음")</f>
        <v/>
      </c>
      <c r="T778" s="3" t="inlineStr">
        <is>
          <t>테크노반석</t>
        </is>
      </c>
      <c r="U778" s="3" t="n">
        <v>1</v>
      </c>
      <c r="V778" s="3" t="inlineStr">
        <is>
          <t>공동주택 작은도서관</t>
        </is>
      </c>
      <c r="W778" s="4" t="n">
        <v>175</v>
      </c>
      <c r="X778" s="3" t="inlineStr">
        <is>
          <t>철근콘크리트구조</t>
        </is>
      </c>
      <c r="Y778" s="3" t="inlineStr">
        <is>
          <t>공동주택</t>
        </is>
      </c>
      <c r="Z778" s="3" t="inlineStr">
        <is>
          <t>-m</t>
        </is>
      </c>
      <c r="AA778" s="3" t="inlineStr">
        <is>
          <t>2021-08-20</t>
        </is>
      </c>
    </row>
    <row r="779">
      <c r="A779" s="3" t="inlineStr">
        <is>
          <t>세종특별자치시 나성동 829</t>
        </is>
      </c>
      <c r="B779" s="3" t="inlineStr">
        <is>
          <t>중심상업지역</t>
        </is>
      </c>
      <c r="C779" s="3" t="inlineStr">
        <is>
          <t>대</t>
        </is>
      </c>
      <c r="D779" s="3" t="inlineStr">
        <is>
          <t>공장</t>
        </is>
      </c>
      <c r="E779" s="3" t="inlineStr">
        <is>
          <t>매매</t>
        </is>
      </c>
      <c r="F779" s="4" t="n">
        <v>370000</v>
      </c>
      <c r="G779" s="4" t="n">
        <v>0</v>
      </c>
      <c r="H779" s="4" t="n">
        <v>1505</v>
      </c>
      <c r="I779" s="4" t="n">
        <v>455</v>
      </c>
      <c r="J779" s="5" t="n">
        <v>813.2</v>
      </c>
      <c r="K779" s="4" t="n">
        <v>1235</v>
      </c>
      <c r="L779" s="4" t="n">
        <v>374</v>
      </c>
      <c r="M779" s="5" t="n">
        <v>989.3</v>
      </c>
      <c r="N779" s="3" t="inlineStr">
        <is>
          <t>1</t>
        </is>
      </c>
      <c r="O779" s="3" t="inlineStr">
        <is>
          <t>-</t>
        </is>
      </c>
      <c r="P779" s="3" t="inlineStr">
        <is>
          <t>nan</t>
        </is>
      </c>
      <c r="Q779" s="6">
        <f>HYPERLINK("https://fin.land.naver.com/articles/2645274810", "매물Link")</f>
        <v/>
      </c>
      <c r="R779" s="6">
        <f>HYPERLINK("https://map.naver.com/p/search/세종특별자치시 나성동 829", "지도Link")</f>
        <v/>
      </c>
      <c r="S779" s="6">
        <f>HYPERLINK("http://www.eum.go.kr/web/ar/lu/luLandDet.jsp?pnu=3611010700108290000&amp;isNoScr=script&amp;mode=search", "토지이음")</f>
        <v/>
      </c>
      <c r="T779" s="3" t="inlineStr">
        <is>
          <t>태영컨설팅</t>
        </is>
      </c>
      <c r="U779" s="3" t="n">
        <v>1</v>
      </c>
      <c r="V779" s="3" t="inlineStr">
        <is>
          <t>605</t>
        </is>
      </c>
      <c r="W779" s="4" t="n">
        <v>1235</v>
      </c>
      <c r="X779" s="3" t="inlineStr">
        <is>
          <t>철근콘크리트구조</t>
        </is>
      </c>
      <c r="Y779" s="3" t="inlineStr">
        <is>
          <t>공동주택</t>
        </is>
      </c>
      <c r="Z779" s="3" t="inlineStr">
        <is>
          <t>45.30m</t>
        </is>
      </c>
      <c r="AA779" s="3" t="inlineStr">
        <is>
          <t>2021-08-20</t>
        </is>
      </c>
    </row>
    <row r="780">
      <c r="A780" s="3" t="inlineStr">
        <is>
          <t>세종특별자치시 나성동 829</t>
        </is>
      </c>
      <c r="B780" s="3" t="inlineStr">
        <is>
          <t>중심상업지역</t>
        </is>
      </c>
      <c r="C780" s="3" t="inlineStr">
        <is>
          <t>대</t>
        </is>
      </c>
      <c r="D780" s="3" t="inlineStr">
        <is>
          <t>창고</t>
        </is>
      </c>
      <c r="E780" s="3" t="inlineStr">
        <is>
          <t>월세</t>
        </is>
      </c>
      <c r="F780" s="4" t="n">
        <v>2000</v>
      </c>
      <c r="G780" s="4" t="n">
        <v>100</v>
      </c>
      <c r="H780" s="4" t="n">
        <v>436</v>
      </c>
      <c r="I780" s="4" t="n">
        <v>132</v>
      </c>
      <c r="J780" s="5" t="n">
        <v>0.8</v>
      </c>
      <c r="K780" s="4" t="n">
        <v>85</v>
      </c>
      <c r="L780" s="4" t="n">
        <v>26</v>
      </c>
      <c r="M780" s="5" t="n">
        <v>3.8</v>
      </c>
      <c r="N780" s="3" t="inlineStr">
        <is>
          <t>1</t>
        </is>
      </c>
      <c r="O780" s="3" t="inlineStr">
        <is>
          <t>-</t>
        </is>
      </c>
      <c r="P780" s="3" t="inlineStr">
        <is>
          <t>넓은주차장. 입주협의</t>
        </is>
      </c>
      <c r="Q780" s="6">
        <f>HYPERLINK("https://fin.land.naver.com/articles/2645164472", "매물Link")</f>
        <v/>
      </c>
      <c r="R780" s="6">
        <f>HYPERLINK("https://map.naver.com/p/search/세종특별자치시 나성동 829", "지도Link")</f>
        <v/>
      </c>
      <c r="S780" s="6">
        <f>HYPERLINK("http://www.eum.go.kr/web/ar/lu/luLandDet.jsp?pnu=3611010700108290000&amp;isNoScr=script&amp;mode=search", "토지이음")</f>
        <v/>
      </c>
      <c r="T780" s="3" t="inlineStr">
        <is>
          <t>웰컴</t>
        </is>
      </c>
      <c r="U780" s="3" t="n">
        <v>1</v>
      </c>
      <c r="V780" s="3" t="inlineStr">
        <is>
          <t>공동주택 연결통로</t>
        </is>
      </c>
      <c r="W780" s="4" t="n">
        <v>85</v>
      </c>
      <c r="X780" s="3" t="inlineStr">
        <is>
          <t>철근콘크리트구조</t>
        </is>
      </c>
      <c r="Y780" s="3" t="inlineStr">
        <is>
          <t>공동주택</t>
        </is>
      </c>
      <c r="Z780" s="3" t="inlineStr">
        <is>
          <t>-m</t>
        </is>
      </c>
      <c r="AA780" s="3" t="inlineStr">
        <is>
          <t>2021-08-20</t>
        </is>
      </c>
    </row>
    <row r="781">
      <c r="A781" s="3" t="inlineStr">
        <is>
          <t>세종특별자치시 나성동 829</t>
        </is>
      </c>
      <c r="B781" s="3" t="inlineStr">
        <is>
          <t>중심상업지역</t>
        </is>
      </c>
      <c r="C781" s="3" t="inlineStr">
        <is>
          <t>대</t>
        </is>
      </c>
      <c r="D781" s="3" t="inlineStr">
        <is>
          <t>공장</t>
        </is>
      </c>
      <c r="E781" s="3" t="inlineStr">
        <is>
          <t>월세</t>
        </is>
      </c>
      <c r="F781" s="4" t="n">
        <v>6000</v>
      </c>
      <c r="G781" s="4" t="n">
        <v>537</v>
      </c>
      <c r="H781" s="4" t="n">
        <v>1550</v>
      </c>
      <c r="I781" s="4" t="n">
        <v>469</v>
      </c>
      <c r="J781" s="5" t="n">
        <v>1.1</v>
      </c>
      <c r="K781" s="4" t="n">
        <v>555</v>
      </c>
      <c r="L781" s="4" t="n">
        <v>168</v>
      </c>
      <c r="M781" s="5" t="n">
        <v>3.2</v>
      </c>
      <c r="N781" s="3" t="inlineStr">
        <is>
          <t>1</t>
        </is>
      </c>
      <c r="O781" s="3" t="inlineStr">
        <is>
          <t>-</t>
        </is>
      </c>
      <c r="P781" s="3" t="inlineStr">
        <is>
          <t>대덕산업단지 공장 1동 단독사용, 즉시입주, 호이스트, 동력충분, 대로접</t>
        </is>
      </c>
      <c r="Q781" s="6">
        <f>HYPERLINK("https://fin.land.naver.com/articles/2645117336", "매물Link")</f>
        <v/>
      </c>
      <c r="R781" s="6">
        <f>HYPERLINK("https://map.naver.com/p/search/세종특별자치시 나성동 829", "지도Link")</f>
        <v/>
      </c>
      <c r="S781" s="6">
        <f>HYPERLINK("http://www.eum.go.kr/web/ar/lu/luLandDet.jsp?pnu=3611010700108290000&amp;isNoScr=script&amp;mode=search", "토지이음")</f>
        <v/>
      </c>
      <c r="T781" s="3" t="inlineStr">
        <is>
          <t>신탄진다온</t>
        </is>
      </c>
      <c r="U781" s="3" t="n">
        <v>1</v>
      </c>
      <c r="V781" s="3" t="inlineStr">
        <is>
          <t>전망공간 기계실</t>
        </is>
      </c>
      <c r="W781" s="4" t="n">
        <v>555</v>
      </c>
      <c r="X781" s="3" t="inlineStr">
        <is>
          <t>철근콘크리트구조</t>
        </is>
      </c>
      <c r="Y781" s="3" t="inlineStr">
        <is>
          <t>제2종근린생활시설</t>
        </is>
      </c>
      <c r="Z781" s="3" t="inlineStr">
        <is>
          <t>-m</t>
        </is>
      </c>
      <c r="AA781" s="3" t="inlineStr">
        <is>
          <t>2021-08-20</t>
        </is>
      </c>
    </row>
    <row r="782">
      <c r="A782" s="3" t="inlineStr">
        <is>
          <t>세종특별자치시 나성동 829</t>
        </is>
      </c>
      <c r="B782" s="3" t="inlineStr">
        <is>
          <t>중심상업지역</t>
        </is>
      </c>
      <c r="C782" s="3" t="inlineStr">
        <is>
          <t>대</t>
        </is>
      </c>
      <c r="D782" s="3" t="inlineStr">
        <is>
          <t>공장</t>
        </is>
      </c>
      <c r="E782" s="3" t="inlineStr">
        <is>
          <t>매매</t>
        </is>
      </c>
      <c r="F782" s="4" t="n">
        <v>4650000</v>
      </c>
      <c r="G782" s="4" t="n">
        <v>0</v>
      </c>
      <c r="H782" s="4" t="n">
        <v>34000</v>
      </c>
      <c r="I782" s="4" t="n">
        <v>10285</v>
      </c>
      <c r="J782" s="5" t="n">
        <v>452.1</v>
      </c>
      <c r="K782" s="4" t="n">
        <v>4700</v>
      </c>
      <c r="L782" s="4" t="n">
        <v>1422</v>
      </c>
      <c r="M782" s="5" t="n">
        <v>3270</v>
      </c>
      <c r="N782" s="3" t="inlineStr">
        <is>
          <t>3</t>
        </is>
      </c>
      <c r="O782" s="3" t="inlineStr">
        <is>
          <t>-</t>
        </is>
      </c>
      <c r="P782" s="3" t="inlineStr">
        <is>
          <t>대덕특구 내 대형공장 및 연구소 추천
가격 협의 및 분할가능</t>
        </is>
      </c>
      <c r="Q782" s="6">
        <f>HYPERLINK("https://fin.land.naver.com/articles/2644475763", "매물Link")</f>
        <v/>
      </c>
      <c r="R782" s="6">
        <f>HYPERLINK("https://map.naver.com/p/search/세종특별자치시 나성동 829", "지도Link")</f>
        <v/>
      </c>
      <c r="S782" s="6">
        <f>HYPERLINK("http://www.eum.go.kr/web/ar/lu/luLandDet.jsp?pnu=3611010700108290000&amp;isNoScr=script&amp;mode=search", "토지이음")</f>
        <v/>
      </c>
      <c r="T782" s="3" t="inlineStr">
        <is>
          <t>산업</t>
        </is>
      </c>
      <c r="U782" s="3" t="n">
        <v>1</v>
      </c>
      <c r="V782" s="3" t="inlineStr">
        <is>
          <t>802</t>
        </is>
      </c>
      <c r="W782" s="4" t="n">
        <v>4700</v>
      </c>
      <c r="X782" s="3" t="inlineStr">
        <is>
          <t>철근콘크리트구조</t>
        </is>
      </c>
      <c r="Y782" s="3" t="inlineStr">
        <is>
          <t>제2종근린생활시설</t>
        </is>
      </c>
      <c r="Z782" s="3" t="inlineStr">
        <is>
          <t>-m</t>
        </is>
      </c>
      <c r="AA782" s="3" t="inlineStr">
        <is>
          <t>2021-08-20</t>
        </is>
      </c>
    </row>
    <row r="783">
      <c r="A783" s="3" t="inlineStr">
        <is>
          <t>세종특별자치시 나성동 829</t>
        </is>
      </c>
      <c r="B783" s="3" t="inlineStr">
        <is>
          <t>중심상업지역</t>
        </is>
      </c>
      <c r="C783" s="3" t="inlineStr">
        <is>
          <t>대</t>
        </is>
      </c>
      <c r="D783" s="3" t="inlineStr">
        <is>
          <t>공장</t>
        </is>
      </c>
      <c r="E783" s="3" t="inlineStr">
        <is>
          <t>매매</t>
        </is>
      </c>
      <c r="F783" s="4" t="n">
        <v>4600000</v>
      </c>
      <c r="G783" s="4" t="n">
        <v>0</v>
      </c>
      <c r="H783" s="4" t="n">
        <v>28423</v>
      </c>
      <c r="I783" s="4" t="n">
        <v>8598</v>
      </c>
      <c r="J783" s="5" t="n">
        <v>535</v>
      </c>
      <c r="K783" s="4" t="n">
        <v>22819</v>
      </c>
      <c r="L783" s="4" t="n">
        <v>6903</v>
      </c>
      <c r="M783" s="5" t="n">
        <v>666.4</v>
      </c>
      <c r="N783" s="3" t="inlineStr">
        <is>
          <t>2</t>
        </is>
      </c>
      <c r="O783" s="3" t="inlineStr">
        <is>
          <t>B1</t>
        </is>
      </c>
      <c r="P783" s="3" t="inlineStr">
        <is>
          <t>경부선 호남선 모두 차량 10분내 도달 가능, 일반산업단지 대형공장</t>
        </is>
      </c>
      <c r="Q783" s="6">
        <f>HYPERLINK("https://fin.land.naver.com/articles/2647057924", "매물Link")</f>
        <v/>
      </c>
      <c r="R783" s="6">
        <f>HYPERLINK("https://map.naver.com/p/search/세종특별자치시 나성동 829", "지도Link")</f>
        <v/>
      </c>
      <c r="S783" s="6">
        <f>HYPERLINK("http://www.eum.go.kr/web/ar/lu/luLandDet.jsp?pnu=3611010700108290000&amp;isNoScr=script&amp;mode=search", "토지이음")</f>
        <v/>
      </c>
      <c r="T783" s="3" t="inlineStr">
        <is>
          <t>(주)미르</t>
        </is>
      </c>
      <c r="U783" s="3" t="n">
        <v>1</v>
      </c>
      <c r="V783" s="3" t="inlineStr">
        <is>
          <t>공동주택 지하주차장</t>
        </is>
      </c>
      <c r="W783" s="4" t="n">
        <v>22819</v>
      </c>
      <c r="X783" s="3" t="inlineStr">
        <is>
          <t>철근콘크리트구조</t>
        </is>
      </c>
      <c r="Y783" s="3" t="inlineStr">
        <is>
          <t>공동주택</t>
        </is>
      </c>
      <c r="Z783" s="3" t="inlineStr">
        <is>
          <t>-m</t>
        </is>
      </c>
      <c r="AA783" s="3" t="inlineStr">
        <is>
          <t>2021-08-20</t>
        </is>
      </c>
    </row>
    <row r="784">
      <c r="A784" s="3" t="inlineStr">
        <is>
          <t>세종특별자치시 나성동 829</t>
        </is>
      </c>
      <c r="B784" s="3" t="inlineStr">
        <is>
          <t>중심상업지역</t>
        </is>
      </c>
      <c r="C784" s="3" t="inlineStr">
        <is>
          <t>대</t>
        </is>
      </c>
      <c r="D784" s="3" t="inlineStr">
        <is>
          <t>공장</t>
        </is>
      </c>
      <c r="E784" s="3" t="inlineStr">
        <is>
          <t>매매</t>
        </is>
      </c>
      <c r="F784" s="4" t="n">
        <v>110000</v>
      </c>
      <c r="G784" s="4" t="n">
        <v>0</v>
      </c>
      <c r="H784" s="4" t="n">
        <v>574</v>
      </c>
      <c r="I784" s="4" t="n">
        <v>174</v>
      </c>
      <c r="J784" s="5" t="n">
        <v>632.2</v>
      </c>
      <c r="K784" s="4" t="n">
        <v>421</v>
      </c>
      <c r="L784" s="4" t="n">
        <v>127</v>
      </c>
      <c r="M784" s="5" t="n">
        <v>866.1</v>
      </c>
      <c r="N784" s="3" t="inlineStr">
        <is>
          <t>2</t>
        </is>
      </c>
      <c r="O784" s="3" t="inlineStr">
        <is>
          <t>-</t>
        </is>
      </c>
      <c r="P784" s="3" t="inlineStr">
        <is>
          <t>유성구 성북동 냉장, 냉동 창고 시설 잘된 육가공 공장매매</t>
        </is>
      </c>
      <c r="Q784" s="6">
        <f>HYPERLINK("https://fin.land.naver.com/articles/2649099753", "매물Link")</f>
        <v/>
      </c>
      <c r="R784" s="6">
        <f>HYPERLINK("https://map.naver.com/p/search/세종특별자치시 나성동 829", "지도Link")</f>
        <v/>
      </c>
      <c r="S784" s="6">
        <f>HYPERLINK("http://www.eum.go.kr/web/ar/lu/luLandDet.jsp?pnu=3611010700108290000&amp;isNoScr=script&amp;mode=search", "토지이음")</f>
        <v/>
      </c>
      <c r="T784" s="3" t="inlineStr">
        <is>
          <t>왕중왕기업</t>
        </is>
      </c>
      <c r="U784" s="3" t="n">
        <v>1</v>
      </c>
      <c r="V784" s="3" t="inlineStr">
        <is>
          <t>전망공간 기계실</t>
        </is>
      </c>
      <c r="W784" s="4" t="n">
        <v>421</v>
      </c>
      <c r="X784" s="3" t="inlineStr">
        <is>
          <t>철근콘크리트구조</t>
        </is>
      </c>
      <c r="Y784" s="3" t="inlineStr">
        <is>
          <t>제2종근린생활시설</t>
        </is>
      </c>
      <c r="Z784" s="3" t="inlineStr">
        <is>
          <t>-m</t>
        </is>
      </c>
      <c r="AA784" s="3" t="inlineStr">
        <is>
          <t>2021-08-20</t>
        </is>
      </c>
    </row>
    <row r="785">
      <c r="A785" s="3" t="inlineStr">
        <is>
          <t>세종특별자치시 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HYPERLINK("https://map.naver.com/p/search/세종특별자치시 나성동 829", "지도Link")</f>
        <v/>
      </c>
      <c r="S785" s="6">
        <f>HYPERLINK("http://www.eum.go.kr/web/ar/lu/luLandDet.jsp?pnu=3611010700108290000&amp;isNoScr=script&amp;mode=search", "토지이음")</f>
        <v/>
      </c>
      <c r="T785" s="3" t="inlineStr">
        <is>
          <t>김창덕</t>
        </is>
      </c>
      <c r="U785" s="3" t="n">
        <v>1</v>
      </c>
      <c r="V785" s="3" t="inlineStr">
        <is>
          <t>공동주택 보육시설</t>
        </is>
      </c>
      <c r="W785" s="4" t="n">
        <v>243</v>
      </c>
      <c r="X785" s="3" t="inlineStr">
        <is>
          <t>철근콘크리트구조</t>
        </is>
      </c>
      <c r="Y785" s="3" t="inlineStr">
        <is>
          <t>공동주택</t>
        </is>
      </c>
      <c r="Z785" s="3" t="inlineStr">
        <is>
          <t>-m</t>
        </is>
      </c>
      <c r="AA785" s="3" t="inlineStr">
        <is>
          <t>2021-08-20</t>
        </is>
      </c>
    </row>
    <row r="786">
      <c r="A786" s="3" t="inlineStr">
        <is>
          <t>세종특별자치시 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HYPERLINK("https://map.naver.com/p/search/세종특별자치시 나성동 829", "지도Link")</f>
        <v/>
      </c>
      <c r="S786" s="6">
        <f>HYPERLINK("http://www.eum.go.kr/web/ar/lu/luLandDet.jsp?pnu=3611010700108290000&amp;isNoScr=script&amp;mode=search", "토지이음")</f>
        <v/>
      </c>
      <c r="T786" s="3" t="inlineStr">
        <is>
          <t>대광</t>
        </is>
      </c>
      <c r="U786" s="3" t="n">
        <v>1</v>
      </c>
      <c r="V786" s="3" t="inlineStr">
        <is>
          <t>전망공간 기계실</t>
        </is>
      </c>
      <c r="W786" s="4" t="n">
        <v>493</v>
      </c>
      <c r="X786" s="3" t="inlineStr">
        <is>
          <t>철근콘크리트구조</t>
        </is>
      </c>
      <c r="Y786" s="3" t="inlineStr">
        <is>
          <t>제2종근린생활시설</t>
        </is>
      </c>
      <c r="Z786" s="3" t="inlineStr">
        <is>
          <t>-m</t>
        </is>
      </c>
      <c r="AA786" s="3" t="inlineStr">
        <is>
          <t>2021-08-20</t>
        </is>
      </c>
    </row>
    <row r="787">
      <c r="A787" s="3" t="inlineStr">
        <is>
          <t>세종특별자치시 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HYPERLINK("https://map.naver.com/p/search/세종특별자치시 나성동 829", "지도Link")</f>
        <v/>
      </c>
      <c r="S787" s="6">
        <f>HYPERLINK("http://www.eum.go.kr/web/ar/lu/luLandDet.jsp?pnu=3611010700108290000&amp;isNoScr=script&amp;mode=search", "토지이음")</f>
        <v/>
      </c>
      <c r="T787" s="3" t="inlineStr">
        <is>
          <t>명당</t>
        </is>
      </c>
      <c r="U787" s="3" t="n">
        <v>1</v>
      </c>
      <c r="V787" s="3" t="inlineStr">
        <is>
          <t>604</t>
        </is>
      </c>
      <c r="W787" s="4" t="n">
        <v>990</v>
      </c>
      <c r="X787" s="3" t="inlineStr">
        <is>
          <t>철근콘크리트구조</t>
        </is>
      </c>
      <c r="Y787" s="3" t="inlineStr">
        <is>
          <t>공동주택</t>
        </is>
      </c>
      <c r="Z787" s="3" t="inlineStr">
        <is>
          <t>38.30m</t>
        </is>
      </c>
      <c r="AA787" s="3" t="inlineStr">
        <is>
          <t>2021-08-20</t>
        </is>
      </c>
    </row>
    <row r="788">
      <c r="A788" s="3" t="inlineStr">
        <is>
          <t>세종특별자치시 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HYPERLINK("https://map.naver.com/p/search/세종특별자치시 나성동 829", "지도Link")</f>
        <v/>
      </c>
      <c r="S788" s="6">
        <f>HYPERLINK("http://www.eum.go.kr/web/ar/lu/luLandDet.jsp?pnu=3611010700108290000&amp;isNoScr=script&amp;mode=search", "토지이음")</f>
        <v/>
      </c>
      <c r="T788" s="3" t="inlineStr">
        <is>
          <t>OK허니</t>
        </is>
      </c>
      <c r="U788" s="3" t="n">
        <v>1</v>
      </c>
      <c r="V788" s="3" t="inlineStr">
        <is>
          <t>공동주택 주민공동시설</t>
        </is>
      </c>
      <c r="W788" s="4" t="n">
        <v>195</v>
      </c>
      <c r="X788" s="3" t="inlineStr">
        <is>
          <t>철근콘크리트구조</t>
        </is>
      </c>
      <c r="Y788" s="3" t="inlineStr">
        <is>
          <t>공동주택</t>
        </is>
      </c>
      <c r="Z788" s="3" t="inlineStr">
        <is>
          <t>-m</t>
        </is>
      </c>
      <c r="AA788" s="3" t="inlineStr">
        <is>
          <t>2021-08-20</t>
        </is>
      </c>
    </row>
    <row r="789">
      <c r="A789" s="3" t="inlineStr">
        <is>
          <t>세종특별자치시 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HYPERLINK("https://map.naver.com/p/search/세종특별자치시 나성동 829", "지도Link")</f>
        <v/>
      </c>
      <c r="S789" s="6">
        <f>HYPERLINK("http://www.eum.go.kr/web/ar/lu/luLandDet.jsp?pnu=3611010700108290000&amp;isNoScr=script&amp;mode=search", "토지이음")</f>
        <v/>
      </c>
      <c r="T789" s="3" t="inlineStr">
        <is>
          <t>(주)미르</t>
        </is>
      </c>
      <c r="U789" s="3" t="n">
        <v>1</v>
      </c>
      <c r="V789" s="3" t="inlineStr">
        <is>
          <t>802</t>
        </is>
      </c>
      <c r="W789" s="4" t="n">
        <v>6971</v>
      </c>
      <c r="X789" s="3" t="inlineStr">
        <is>
          <t>철근콘크리트구조</t>
        </is>
      </c>
      <c r="Y789" s="3" t="inlineStr">
        <is>
          <t>제2종근린생활시설</t>
        </is>
      </c>
      <c r="Z789" s="3" t="inlineStr">
        <is>
          <t>-m</t>
        </is>
      </c>
      <c r="AA789" s="3" t="inlineStr">
        <is>
          <t>2021-08-20</t>
        </is>
      </c>
    </row>
    <row r="790">
      <c r="A790" s="3" t="inlineStr">
        <is>
          <t>세종특별자치시 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HYPERLINK("https://map.naver.com/p/search/세종특별자치시 나성동 829", "지도Link")</f>
        <v/>
      </c>
      <c r="S790" s="6">
        <f>HYPERLINK("http://www.eum.go.kr/web/ar/lu/luLandDet.jsp?pnu=3611010700108290000&amp;isNoScr=script&amp;mode=search", "토지이음")</f>
        <v/>
      </c>
      <c r="T790" s="3" t="inlineStr">
        <is>
          <t>(주)미르</t>
        </is>
      </c>
      <c r="U790" s="3" t="n">
        <v>1</v>
      </c>
      <c r="V790" s="3" t="inlineStr">
        <is>
          <t>802</t>
        </is>
      </c>
      <c r="W790" s="4" t="n">
        <v>3679</v>
      </c>
      <c r="X790" s="3" t="inlineStr">
        <is>
          <t>철근콘크리트구조</t>
        </is>
      </c>
      <c r="Y790" s="3" t="inlineStr">
        <is>
          <t>제2종근린생활시설</t>
        </is>
      </c>
      <c r="Z790" s="3" t="inlineStr">
        <is>
          <t>-m</t>
        </is>
      </c>
      <c r="AA790" s="3" t="inlineStr">
        <is>
          <t>2021-08-20</t>
        </is>
      </c>
    </row>
    <row r="791">
      <c r="A791" s="3" t="inlineStr">
        <is>
          <t>세종특별자치시 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HYPERLINK("https://map.naver.com/p/search/세종특별자치시 나성동 829", "지도Link")</f>
        <v/>
      </c>
      <c r="S791" s="6">
        <f>HYPERLINK("http://www.eum.go.kr/web/ar/lu/luLandDet.jsp?pnu=3611010700108290000&amp;isNoScr=script&amp;mode=search", "토지이음")</f>
        <v/>
      </c>
      <c r="T791" s="3" t="inlineStr">
        <is>
          <t>신탄진다온</t>
        </is>
      </c>
      <c r="U791" s="3" t="n">
        <v>1</v>
      </c>
      <c r="V791" s="3" t="inlineStr">
        <is>
          <t>604</t>
        </is>
      </c>
      <c r="W791" s="4" t="n">
        <v>990</v>
      </c>
      <c r="X791" s="3" t="inlineStr">
        <is>
          <t>철근콘크리트구조</t>
        </is>
      </c>
      <c r="Y791" s="3" t="inlineStr">
        <is>
          <t>공동주택</t>
        </is>
      </c>
      <c r="Z791" s="3" t="inlineStr">
        <is>
          <t>38.30m</t>
        </is>
      </c>
      <c r="AA791" s="3" t="inlineStr">
        <is>
          <t>2021-08-20</t>
        </is>
      </c>
    </row>
    <row r="792">
      <c r="A792" s="3" t="inlineStr">
        <is>
          <t>세종특별자치시 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HYPERLINK("https://map.naver.com/p/search/세종특별자치시 나성동 829", "지도Link")</f>
        <v/>
      </c>
      <c r="S792" s="6">
        <f>HYPERLINK("http://www.eum.go.kr/web/ar/lu/luLandDet.jsp?pnu=3611010700108290000&amp;isNoScr=script&amp;mode=search", "토지이음")</f>
        <v/>
      </c>
      <c r="T792" s="3" t="inlineStr">
        <is>
          <t>더원</t>
        </is>
      </c>
      <c r="U792" s="3" t="n">
        <v>1</v>
      </c>
      <c r="V792" s="3" t="inlineStr">
        <is>
          <t>803</t>
        </is>
      </c>
      <c r="W792" s="4" t="n">
        <v>733</v>
      </c>
      <c r="X792" s="3" t="inlineStr">
        <is>
          <t>철근콘크리트구조</t>
        </is>
      </c>
      <c r="Y792" s="3" t="inlineStr">
        <is>
          <t>제2종근린생활시설</t>
        </is>
      </c>
      <c r="Z792" s="3" t="inlineStr">
        <is>
          <t>-m</t>
        </is>
      </c>
      <c r="AA792" s="3" t="inlineStr">
        <is>
          <t>2021-08-20</t>
        </is>
      </c>
    </row>
    <row r="793">
      <c r="A793" s="3" t="inlineStr">
        <is>
          <t>세종특별자치시 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HYPERLINK("https://map.naver.com/p/search/세종특별자치시 나성동 829", "지도Link")</f>
        <v/>
      </c>
      <c r="S793" s="6">
        <f>HYPERLINK("http://www.eum.go.kr/web/ar/lu/luLandDet.jsp?pnu=3611010700108290000&amp;isNoScr=script&amp;mode=search", "토지이음")</f>
        <v/>
      </c>
      <c r="T793" s="3" t="inlineStr">
        <is>
          <t>우리동네</t>
        </is>
      </c>
      <c r="U793" s="3" t="n">
        <v>1</v>
      </c>
      <c r="V793" s="3" t="inlineStr">
        <is>
          <t>전망공간 기계실</t>
        </is>
      </c>
      <c r="W793" s="4" t="n">
        <v>445</v>
      </c>
      <c r="X793" s="3" t="inlineStr">
        <is>
          <t>철근콘크리트구조</t>
        </is>
      </c>
      <c r="Y793" s="3" t="inlineStr">
        <is>
          <t>제2종근린생활시설</t>
        </is>
      </c>
      <c r="Z793" s="3" t="inlineStr">
        <is>
          <t>-m</t>
        </is>
      </c>
      <c r="AA793" s="3" t="inlineStr">
        <is>
          <t>2021-08-20</t>
        </is>
      </c>
    </row>
    <row r="794">
      <c r="A794" s="3" t="inlineStr">
        <is>
          <t>세종특별자치시 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HYPERLINK("https://map.naver.com/p/search/세종특별자치시 나성동 829", "지도Link")</f>
        <v/>
      </c>
      <c r="S794" s="6">
        <f>HYPERLINK("http://www.eum.go.kr/web/ar/lu/luLandDet.jsp?pnu=3611010700108290000&amp;isNoScr=script&amp;mode=search", "토지이음")</f>
        <v/>
      </c>
      <c r="T794" s="3" t="inlineStr">
        <is>
          <t>세종연동탑</t>
        </is>
      </c>
      <c r="U794" s="3" t="n">
        <v>1</v>
      </c>
      <c r="V794" s="3" t="inlineStr">
        <is>
          <t>공동주택 작은도서관</t>
        </is>
      </c>
      <c r="W794" s="4" t="n">
        <v>176</v>
      </c>
      <c r="X794" s="3" t="inlineStr">
        <is>
          <t>철근콘크리트구조</t>
        </is>
      </c>
      <c r="Y794" s="3" t="inlineStr">
        <is>
          <t>공동주택</t>
        </is>
      </c>
      <c r="Z794" s="3" t="inlineStr">
        <is>
          <t>-m</t>
        </is>
      </c>
      <c r="AA794" s="3" t="inlineStr">
        <is>
          <t>2021-08-20</t>
        </is>
      </c>
    </row>
    <row r="795">
      <c r="A795" s="3" t="inlineStr">
        <is>
          <t>세종특별자치시 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HYPERLINK("https://map.naver.com/p/search/세종특별자치시 나성동 829", "지도Link")</f>
        <v/>
      </c>
      <c r="S795" s="6">
        <f>HYPERLINK("http://www.eum.go.kr/web/ar/lu/luLandDet.jsp?pnu=3611010700108290000&amp;isNoScr=script&amp;mode=search", "토지이음")</f>
        <v/>
      </c>
      <c r="T795" s="3" t="inlineStr">
        <is>
          <t>OK허니</t>
        </is>
      </c>
      <c r="U795" s="3" t="n">
        <v>1</v>
      </c>
      <c r="V795" s="3" t="inlineStr">
        <is>
          <t>전망공간 기계실</t>
        </is>
      </c>
      <c r="W795" s="4" t="n">
        <v>390</v>
      </c>
      <c r="X795" s="3" t="inlineStr">
        <is>
          <t>철근콘크리트구조</t>
        </is>
      </c>
      <c r="Y795" s="3" t="inlineStr">
        <is>
          <t>제2종근린생활시설</t>
        </is>
      </c>
      <c r="Z795" s="3" t="inlineStr">
        <is>
          <t>-m</t>
        </is>
      </c>
      <c r="AA795" s="3" t="inlineStr">
        <is>
          <t>2021-08-20</t>
        </is>
      </c>
    </row>
    <row r="796">
      <c r="A796" s="3" t="inlineStr">
        <is>
          <t>세종특별자치시 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HYPERLINK("https://map.naver.com/p/search/세종특별자치시 나성동 829", "지도Link")</f>
        <v/>
      </c>
      <c r="S796" s="6">
        <f>HYPERLINK("http://www.eum.go.kr/web/ar/lu/luLandDet.jsp?pnu=3611010700108290000&amp;isNoScr=script&amp;mode=search", "토지이음")</f>
        <v/>
      </c>
      <c r="T796" s="3" t="inlineStr">
        <is>
          <t>세종연동탑</t>
        </is>
      </c>
      <c r="U796" s="3" t="n">
        <v>1</v>
      </c>
      <c r="V796" s="3" t="inlineStr">
        <is>
          <t>공동주택 주민공동시설</t>
        </is>
      </c>
      <c r="W796" s="4" t="n">
        <v>192</v>
      </c>
      <c r="X796" s="3" t="inlineStr">
        <is>
          <t>철근콘크리트구조</t>
        </is>
      </c>
      <c r="Y796" s="3" t="inlineStr">
        <is>
          <t>공동주택</t>
        </is>
      </c>
      <c r="Z796" s="3" t="inlineStr">
        <is>
          <t>-m</t>
        </is>
      </c>
      <c r="AA796" s="3" t="inlineStr">
        <is>
          <t>2021-08-20</t>
        </is>
      </c>
    </row>
    <row r="797">
      <c r="A797" s="3" t="inlineStr">
        <is>
          <t>세종특별자치시 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HYPERLINK("https://map.naver.com/p/search/세종특별자치시 나성동 829", "지도Link")</f>
        <v/>
      </c>
      <c r="S797" s="6">
        <f>HYPERLINK("http://www.eum.go.kr/web/ar/lu/luLandDet.jsp?pnu=3611010700108290000&amp;isNoScr=script&amp;mode=search", "토지이음")</f>
        <v/>
      </c>
      <c r="T797" s="3" t="inlineStr">
        <is>
          <t>더원</t>
        </is>
      </c>
      <c r="U797" s="3" t="n">
        <v>1</v>
      </c>
      <c r="V797" s="3" t="inlineStr">
        <is>
          <t>전망공간 기계실</t>
        </is>
      </c>
      <c r="W797" s="4" t="n">
        <v>397</v>
      </c>
      <c r="X797" s="3" t="inlineStr">
        <is>
          <t>철근콘크리트구조</t>
        </is>
      </c>
      <c r="Y797" s="3" t="inlineStr">
        <is>
          <t>제2종근린생활시설</t>
        </is>
      </c>
      <c r="Z797" s="3" t="inlineStr">
        <is>
          <t>-m</t>
        </is>
      </c>
      <c r="AA797" s="3" t="inlineStr">
        <is>
          <t>2021-08-20</t>
        </is>
      </c>
    </row>
    <row r="798">
      <c r="A798" s="3" t="inlineStr">
        <is>
          <t>세종특별자치시 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HYPERLINK("https://map.naver.com/p/search/세종특별자치시 나성동 829", "지도Link")</f>
        <v/>
      </c>
      <c r="S798" s="6">
        <f>HYPERLINK("http://www.eum.go.kr/web/ar/lu/luLandDet.jsp?pnu=3611010700108290000&amp;isNoScr=script&amp;mode=search", "토지이음")</f>
        <v/>
      </c>
      <c r="T798" s="3" t="inlineStr">
        <is>
          <t>더원</t>
        </is>
      </c>
      <c r="U798" s="3" t="n">
        <v>1</v>
      </c>
      <c r="V798" s="3" t="inlineStr">
        <is>
          <t>전망공간 기계실</t>
        </is>
      </c>
      <c r="W798" s="4" t="n">
        <v>496</v>
      </c>
      <c r="X798" s="3" t="inlineStr">
        <is>
          <t>철근콘크리트구조</t>
        </is>
      </c>
      <c r="Y798" s="3" t="inlineStr">
        <is>
          <t>제2종근린생활시설</t>
        </is>
      </c>
      <c r="Z798" s="3" t="inlineStr">
        <is>
          <t>-m</t>
        </is>
      </c>
      <c r="AA798" s="3" t="inlineStr">
        <is>
          <t>2021-08-20</t>
        </is>
      </c>
    </row>
    <row r="799">
      <c r="A799" s="3" t="inlineStr">
        <is>
          <t>세종특별자치시 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HYPERLINK("https://map.naver.com/p/search/세종특별자치시 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94.45m</t>
        </is>
      </c>
      <c r="AA799" s="3" t="inlineStr">
        <is>
          <t>2021-08-20</t>
        </is>
      </c>
    </row>
    <row r="800">
      <c r="A800" s="3" t="inlineStr">
        <is>
          <t>세종특별자치시 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HYPERLINK("https://map.naver.com/p/search/세종특별자치시 나성동 829", "지도Link")</f>
        <v/>
      </c>
      <c r="S800" s="6">
        <f>HYPERLINK("http://www.eum.go.kr/web/ar/lu/luLandDet.jsp?pnu=3611010700108290000&amp;isNoScr=script&amp;mode=search", "토지이음")</f>
        <v/>
      </c>
      <c r="T800" s="3" t="inlineStr">
        <is>
          <t>효성</t>
        </is>
      </c>
      <c r="U800" s="3" t="n">
        <v>2</v>
      </c>
      <c r="V800" s="3" t="inlineStr">
        <is>
          <t>802</t>
        </is>
      </c>
      <c r="W800" s="4" t="n">
        <v>4454</v>
      </c>
      <c r="X800" s="3" t="inlineStr">
        <is>
          <t>철근콘크리트구조</t>
        </is>
      </c>
      <c r="Y800" s="3" t="inlineStr">
        <is>
          <t>제2종근린생활시설</t>
        </is>
      </c>
      <c r="Z800" s="3" t="inlineStr">
        <is>
          <t>-m</t>
        </is>
      </c>
      <c r="AA800" s="3" t="inlineStr">
        <is>
          <t>2021-08-20</t>
        </is>
      </c>
    </row>
    <row r="801">
      <c r="A801" s="3" t="inlineStr">
        <is>
          <t>세종특별자치시 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HYPERLINK("https://map.naver.com/p/search/세종특별자치시 나성동 829", "지도Link")</f>
        <v/>
      </c>
      <c r="S801" s="6">
        <f>HYPERLINK("http://www.eum.go.kr/web/ar/lu/luLandDet.jsp?pnu=3611010700108290000&amp;isNoScr=script&amp;mode=search", "토지이음")</f>
        <v/>
      </c>
      <c r="T801" s="3" t="inlineStr">
        <is>
          <t>세종연동탑</t>
        </is>
      </c>
      <c r="U801" s="3" t="n">
        <v>1</v>
      </c>
      <c r="V801" s="3" t="inlineStr">
        <is>
          <t>공동주택 보육시설</t>
        </is>
      </c>
      <c r="W801" s="4" t="n">
        <v>252</v>
      </c>
      <c r="X801" s="3" t="inlineStr">
        <is>
          <t>철근콘크리트구조</t>
        </is>
      </c>
      <c r="Y801" s="3" t="inlineStr">
        <is>
          <t>공동주택</t>
        </is>
      </c>
      <c r="Z801" s="3" t="inlineStr">
        <is>
          <t>-m</t>
        </is>
      </c>
      <c r="AA801" s="3" t="inlineStr">
        <is>
          <t>2021-08-20</t>
        </is>
      </c>
    </row>
    <row r="802">
      <c r="A802" s="3" t="inlineStr">
        <is>
          <t>세종특별자치시 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HYPERLINK("https://map.naver.com/p/search/세종특별자치시 나성동 829", "지도Link")</f>
        <v/>
      </c>
      <c r="S802" s="6">
        <f>HYPERLINK("http://www.eum.go.kr/web/ar/lu/luLandDet.jsp?pnu=3611010700108290000&amp;isNoScr=script&amp;mode=search", "토지이음")</f>
        <v/>
      </c>
      <c r="T802" s="3" t="inlineStr">
        <is>
          <t>더원</t>
        </is>
      </c>
      <c r="U802" s="3" t="n">
        <v>1</v>
      </c>
      <c r="V802" s="3" t="inlineStr">
        <is>
          <t>803</t>
        </is>
      </c>
      <c r="W802" s="4" t="n">
        <v>733</v>
      </c>
      <c r="X802" s="3" t="inlineStr">
        <is>
          <t>철근콘크리트구조</t>
        </is>
      </c>
      <c r="Y802" s="3" t="inlineStr">
        <is>
          <t>제2종근린생활시설</t>
        </is>
      </c>
      <c r="Z802" s="3" t="inlineStr">
        <is>
          <t>-m</t>
        </is>
      </c>
      <c r="AA802" s="3" t="inlineStr">
        <is>
          <t>2021-08-20</t>
        </is>
      </c>
    </row>
    <row r="803">
      <c r="A803" s="3" t="inlineStr">
        <is>
          <t>세종특별자치시 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HYPERLINK("https://map.naver.com/p/search/세종특별자치시 나성동 829", "지도Link")</f>
        <v/>
      </c>
      <c r="S803" s="6">
        <f>HYPERLINK("http://www.eum.go.kr/web/ar/lu/luLandDet.jsp?pnu=3611010700108290000&amp;isNoScr=script&amp;mode=search", "토지이음")</f>
        <v/>
      </c>
      <c r="T803" s="3" t="inlineStr">
        <is>
          <t>세종연동탑</t>
        </is>
      </c>
      <c r="U803" s="3" t="n">
        <v>1</v>
      </c>
      <c r="V803" s="3" t="inlineStr">
        <is>
          <t>605</t>
        </is>
      </c>
      <c r="W803" s="4" t="n">
        <v>1150</v>
      </c>
      <c r="X803" s="3" t="inlineStr">
        <is>
          <t>철근콘크리트구조</t>
        </is>
      </c>
      <c r="Y803" s="3" t="inlineStr">
        <is>
          <t>공동주택</t>
        </is>
      </c>
      <c r="Z803" s="3" t="inlineStr">
        <is>
          <t>45.30m</t>
        </is>
      </c>
      <c r="AA803" s="3" t="inlineStr">
        <is>
          <t>2021-08-20</t>
        </is>
      </c>
    </row>
    <row r="804">
      <c r="A804" s="3" t="inlineStr">
        <is>
          <t>세종특별자치시 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HYPERLINK("https://map.naver.com/p/search/세종특별자치시 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94.45m</t>
        </is>
      </c>
      <c r="AA804" s="3" t="inlineStr">
        <is>
          <t>2021-08-20</t>
        </is>
      </c>
    </row>
    <row r="805">
      <c r="A805" s="3" t="inlineStr">
        <is>
          <t>세종특별자치시 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HYPERLINK("https://map.naver.com/p/search/세종특별자치시 나성동 829", "지도Link")</f>
        <v/>
      </c>
      <c r="S805" s="6">
        <f>HYPERLINK("http://www.eum.go.kr/web/ar/lu/luLandDet.jsp?pnu=3611010700108290000&amp;isNoScr=script&amp;mode=search", "토지이음")</f>
        <v/>
      </c>
      <c r="T805" s="3" t="inlineStr">
        <is>
          <t>미더스</t>
        </is>
      </c>
      <c r="U805" s="3" t="n">
        <v>1</v>
      </c>
      <c r="V805" s="3" t="inlineStr">
        <is>
          <t>공동주택 지하주차장</t>
        </is>
      </c>
      <c r="W805" s="4" t="n">
        <v>51485</v>
      </c>
      <c r="X805" s="3" t="inlineStr">
        <is>
          <t>철근콘크리트구조</t>
        </is>
      </c>
      <c r="Y805" s="3" t="inlineStr">
        <is>
          <t>공동주택</t>
        </is>
      </c>
      <c r="Z805" s="3" t="inlineStr">
        <is>
          <t>-m</t>
        </is>
      </c>
      <c r="AA805" s="3" t="inlineStr">
        <is>
          <t>2021-08-20</t>
        </is>
      </c>
    </row>
    <row r="806">
      <c r="A806" s="3" t="inlineStr">
        <is>
          <t>세종특별자치시 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HYPERLINK("https://map.naver.com/p/search/세종특별자치시 나성동 829", "지도Link")</f>
        <v/>
      </c>
      <c r="S806" s="6">
        <f>HYPERLINK("http://www.eum.go.kr/web/ar/lu/luLandDet.jsp?pnu=3611010700108290000&amp;isNoScr=script&amp;mode=search", "토지이음")</f>
        <v/>
      </c>
      <c r="T806" s="3" t="inlineStr">
        <is>
          <t>명당</t>
        </is>
      </c>
      <c r="U806" s="3" t="n">
        <v>1</v>
      </c>
      <c r="V806" s="3" t="inlineStr">
        <is>
          <t>802</t>
        </is>
      </c>
      <c r="W806" s="4" t="n">
        <v>5853</v>
      </c>
      <c r="X806" s="3" t="inlineStr">
        <is>
          <t>철근콘크리트구조</t>
        </is>
      </c>
      <c r="Y806" s="3" t="inlineStr">
        <is>
          <t>제2종근린생활시설</t>
        </is>
      </c>
      <c r="Z806" s="3" t="inlineStr">
        <is>
          <t>-m</t>
        </is>
      </c>
      <c r="AA806" s="3" t="inlineStr">
        <is>
          <t>2021-08-20</t>
        </is>
      </c>
    </row>
    <row r="807">
      <c r="A807" s="3" t="inlineStr">
        <is>
          <t>세종특별자치시 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HYPERLINK("https://map.naver.com/p/search/세종특별자치시 나성동 829", "지도Link")</f>
        <v/>
      </c>
      <c r="S807" s="6">
        <f>HYPERLINK("http://www.eum.go.kr/web/ar/lu/luLandDet.jsp?pnu=3611010700108290000&amp;isNoScr=script&amp;mode=search", "토지이음")</f>
        <v/>
      </c>
      <c r="T807" s="3" t="inlineStr">
        <is>
          <t>태양</t>
        </is>
      </c>
      <c r="U807" s="3" t="n">
        <v>1</v>
      </c>
      <c r="V807" s="3" t="inlineStr">
        <is>
          <t>901(전망공간)</t>
        </is>
      </c>
      <c r="W807" s="4" t="n">
        <v>1793</v>
      </c>
      <c r="X807" s="3" t="inlineStr">
        <is>
          <t>철근콘크리트구조</t>
        </is>
      </c>
      <c r="Y807" s="3" t="inlineStr">
        <is>
          <t>제2종근린생활시설</t>
        </is>
      </c>
      <c r="Z807" s="3" t="inlineStr">
        <is>
          <t>-m</t>
        </is>
      </c>
      <c r="AA807" s="3" t="inlineStr">
        <is>
          <t>2021-08-20</t>
        </is>
      </c>
    </row>
    <row r="808">
      <c r="A808" s="3" t="inlineStr">
        <is>
          <t>세종특별자치시 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HYPERLINK("https://map.naver.com/p/search/세종특별자치시 나성동 829", "지도Link")</f>
        <v/>
      </c>
      <c r="S808" s="6">
        <f>HYPERLINK("http://www.eum.go.kr/web/ar/lu/luLandDet.jsp?pnu=3611010700108290000&amp;isNoScr=script&amp;mode=search", "토지이음")</f>
        <v/>
      </c>
      <c r="T808" s="3" t="inlineStr">
        <is>
          <t>정문</t>
        </is>
      </c>
      <c r="U808" s="3" t="n">
        <v>1</v>
      </c>
      <c r="V808" s="3" t="inlineStr">
        <is>
          <t>전망공간 기계실</t>
        </is>
      </c>
      <c r="W808" s="4" t="n">
        <v>489</v>
      </c>
      <c r="X808" s="3" t="inlineStr">
        <is>
          <t>철근콘크리트구조</t>
        </is>
      </c>
      <c r="Y808" s="3" t="inlineStr">
        <is>
          <t>제2종근린생활시설</t>
        </is>
      </c>
      <c r="Z808" s="3" t="inlineStr">
        <is>
          <t>-m</t>
        </is>
      </c>
      <c r="AA808" s="3" t="inlineStr">
        <is>
          <t>2021-08-20</t>
        </is>
      </c>
    </row>
    <row r="809">
      <c r="A809" s="3" t="inlineStr">
        <is>
          <t>세종특별자치시 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HYPERLINK("https://map.naver.com/p/search/세종특별자치시 나성동 829", "지도Link")</f>
        <v/>
      </c>
      <c r="S809" s="6">
        <f>HYPERLINK("http://www.eum.go.kr/web/ar/lu/luLandDet.jsp?pnu=3611010700108290000&amp;isNoScr=script&amp;mode=search", "토지이음")</f>
        <v/>
      </c>
      <c r="T809" s="3" t="inlineStr">
        <is>
          <t>벽산마을</t>
        </is>
      </c>
      <c r="U809" s="3" t="n">
        <v>1</v>
      </c>
      <c r="V809" s="3" t="inlineStr">
        <is>
          <t>전망공간 기계실</t>
        </is>
      </c>
      <c r="W809" s="4" t="n">
        <v>494</v>
      </c>
      <c r="X809" s="3" t="inlineStr">
        <is>
          <t>철근콘크리트구조</t>
        </is>
      </c>
      <c r="Y809" s="3" t="inlineStr">
        <is>
          <t>제2종근린생활시설</t>
        </is>
      </c>
      <c r="Z809" s="3" t="inlineStr">
        <is>
          <t>-m</t>
        </is>
      </c>
      <c r="AA809" s="3" t="inlineStr">
        <is>
          <t>2021-08-20</t>
        </is>
      </c>
    </row>
    <row r="810">
      <c r="A810" s="3" t="inlineStr">
        <is>
          <t>세종특별자치시 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HYPERLINK("https://map.naver.com/p/search/세종특별자치시 나성동 829", "지도Link")</f>
        <v/>
      </c>
      <c r="S810" s="6">
        <f>HYPERLINK("http://www.eum.go.kr/web/ar/lu/luLandDet.jsp?pnu=3611010700108290000&amp;isNoScr=script&amp;mode=search", "토지이음")</f>
        <v/>
      </c>
      <c r="T810" s="3" t="inlineStr">
        <is>
          <t>미래로</t>
        </is>
      </c>
      <c r="U810" s="3" t="n">
        <v>1</v>
      </c>
      <c r="V810" s="3" t="inlineStr">
        <is>
          <t>공동주택 주민공동시설</t>
        </is>
      </c>
      <c r="W810" s="4" t="n">
        <v>220</v>
      </c>
      <c r="X810" s="3" t="inlineStr">
        <is>
          <t>철근콘크리트구조</t>
        </is>
      </c>
      <c r="Y810" s="3" t="inlineStr">
        <is>
          <t>공동주택</t>
        </is>
      </c>
      <c r="Z810" s="3" t="inlineStr">
        <is>
          <t>-m</t>
        </is>
      </c>
      <c r="AA810" s="3" t="inlineStr">
        <is>
          <t>2021-08-20</t>
        </is>
      </c>
    </row>
    <row r="811">
      <c r="A811" s="3" t="inlineStr">
        <is>
          <t>세종특별자치시 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HYPERLINK("https://map.naver.com/p/search/세종특별자치시 나성동 829", "지도Link")</f>
        <v/>
      </c>
      <c r="S811" s="6">
        <f>HYPERLINK("http://www.eum.go.kr/web/ar/lu/luLandDet.jsp?pnu=3611010700108290000&amp;isNoScr=script&amp;mode=search", "토지이음")</f>
        <v/>
      </c>
      <c r="T811" s="3" t="inlineStr">
        <is>
          <t>왕중왕기업</t>
        </is>
      </c>
      <c r="U811" s="3" t="n">
        <v>1</v>
      </c>
      <c r="V811" s="3" t="inlineStr">
        <is>
          <t>공동주택 관리사무소</t>
        </is>
      </c>
      <c r="W811" s="4" t="n">
        <v>162</v>
      </c>
      <c r="X811" s="3" t="inlineStr">
        <is>
          <t>철근콘크리트구조</t>
        </is>
      </c>
      <c r="Y811" s="3" t="inlineStr">
        <is>
          <t>공동주택</t>
        </is>
      </c>
      <c r="Z811" s="3" t="inlineStr">
        <is>
          <t>-m</t>
        </is>
      </c>
      <c r="AA811" s="3" t="inlineStr">
        <is>
          <t>2021-08-20</t>
        </is>
      </c>
    </row>
    <row r="812">
      <c r="A812" s="3" t="inlineStr">
        <is>
          <t>세종특별자치시 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HYPERLINK("https://map.naver.com/p/search/세종특별자치시 나성동 829", "지도Link")</f>
        <v/>
      </c>
      <c r="S812" s="6">
        <f>HYPERLINK("http://www.eum.go.kr/web/ar/lu/luLandDet.jsp?pnu=3611010700108290000&amp;isNoScr=script&amp;mode=search", "토지이음")</f>
        <v/>
      </c>
      <c r="T812" s="3" t="inlineStr">
        <is>
          <t>왕중왕기업</t>
        </is>
      </c>
      <c r="U812" s="3" t="n">
        <v>1</v>
      </c>
      <c r="V812" s="3" t="inlineStr">
        <is>
          <t>공동주택 경로당</t>
        </is>
      </c>
      <c r="W812" s="4" t="n">
        <v>146</v>
      </c>
      <c r="X812" s="3" t="inlineStr">
        <is>
          <t>철근콘크리트구조</t>
        </is>
      </c>
      <c r="Y812" s="3" t="inlineStr">
        <is>
          <t>공동주택</t>
        </is>
      </c>
      <c r="Z812" s="3" t="inlineStr">
        <is>
          <t>-m</t>
        </is>
      </c>
      <c r="AA812" s="3" t="inlineStr">
        <is>
          <t>2021-08-20</t>
        </is>
      </c>
    </row>
    <row r="813">
      <c r="A813" s="3" t="inlineStr">
        <is>
          <t>세종특별자치시 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HYPERLINK("https://map.naver.com/p/search/세종특별자치시 나성동 829", "지도Link")</f>
        <v/>
      </c>
      <c r="S813" s="6">
        <f>HYPERLINK("http://www.eum.go.kr/web/ar/lu/luLandDet.jsp?pnu=3611010700108290000&amp;isNoScr=script&amp;mode=search", "토지이음")</f>
        <v/>
      </c>
      <c r="T813" s="3" t="inlineStr">
        <is>
          <t>뉴탑</t>
        </is>
      </c>
      <c r="U813" s="3" t="n">
        <v>1</v>
      </c>
      <c r="V813" s="3" t="inlineStr">
        <is>
          <t>801</t>
        </is>
      </c>
      <c r="W813" s="4" t="n">
        <v>353</v>
      </c>
      <c r="X813" s="3" t="inlineStr">
        <is>
          <t>철근콘크리트구조</t>
        </is>
      </c>
      <c r="Y813" s="3" t="inlineStr">
        <is>
          <t>제2종근린생활시설</t>
        </is>
      </c>
      <c r="Z813" s="3" t="inlineStr">
        <is>
          <t>-m</t>
        </is>
      </c>
      <c r="AA813" s="3" t="inlineStr">
        <is>
          <t>2021-08-20</t>
        </is>
      </c>
    </row>
    <row r="814">
      <c r="A814" s="3" t="inlineStr">
        <is>
          <t>세종특별자치시 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HYPERLINK("https://map.naver.com/p/search/세종특별자치시 나성동 829", "지도Link")</f>
        <v/>
      </c>
      <c r="S814" s="6">
        <f>HYPERLINK("http://www.eum.go.kr/web/ar/lu/luLandDet.jsp?pnu=3611010700108290000&amp;isNoScr=script&amp;mode=search", "토지이음")</f>
        <v/>
      </c>
      <c r="T814" s="3" t="inlineStr">
        <is>
          <t>미더스</t>
        </is>
      </c>
      <c r="U814" s="3" t="n">
        <v>1</v>
      </c>
      <c r="V814" s="3" t="inlineStr">
        <is>
          <t>802</t>
        </is>
      </c>
      <c r="W814" s="4" t="n">
        <v>6971</v>
      </c>
      <c r="X814" s="3" t="inlineStr">
        <is>
          <t>철근콘크리트구조</t>
        </is>
      </c>
      <c r="Y814" s="3" t="inlineStr">
        <is>
          <t>제2종근린생활시설</t>
        </is>
      </c>
      <c r="Z814" s="3" t="inlineStr">
        <is>
          <t>-m</t>
        </is>
      </c>
      <c r="AA814" s="3" t="inlineStr">
        <is>
          <t>2021-08-20</t>
        </is>
      </c>
    </row>
    <row r="815">
      <c r="A815" s="3" t="inlineStr">
        <is>
          <t>세종특별자치시 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HYPERLINK("https://map.naver.com/p/search/세종특별자치시 나성동 829", "지도Link")</f>
        <v/>
      </c>
      <c r="S815" s="6">
        <f>HYPERLINK("http://www.eum.go.kr/web/ar/lu/luLandDet.jsp?pnu=3611010700108290000&amp;isNoScr=script&amp;mode=search", "토지이음")</f>
        <v/>
      </c>
      <c r="T815" s="3" t="inlineStr">
        <is>
          <t>더원</t>
        </is>
      </c>
      <c r="U815" s="3" t="n">
        <v>1</v>
      </c>
      <c r="V815" s="3" t="inlineStr">
        <is>
          <t>801</t>
        </is>
      </c>
      <c r="W815" s="4" t="n">
        <v>352</v>
      </c>
      <c r="X815" s="3" t="inlineStr">
        <is>
          <t>철근콘크리트구조</t>
        </is>
      </c>
      <c r="Y815" s="3" t="inlineStr">
        <is>
          <t>제2종근린생활시설</t>
        </is>
      </c>
      <c r="Z815" s="3" t="inlineStr">
        <is>
          <t>-m</t>
        </is>
      </c>
      <c r="AA815" s="3" t="inlineStr">
        <is>
          <t>2021-08-20</t>
        </is>
      </c>
    </row>
    <row r="816">
      <c r="A816" s="3" t="inlineStr">
        <is>
          <t>세종특별자치시 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HYPERLINK("https://map.naver.com/p/search/세종특별자치시 나성동 829", "지도Link")</f>
        <v/>
      </c>
      <c r="S816" s="6">
        <f>HYPERLINK("http://www.eum.go.kr/web/ar/lu/luLandDet.jsp?pnu=3611010700108290000&amp;isNoScr=script&amp;mode=search", "토지이음")</f>
        <v/>
      </c>
      <c r="T816" s="3" t="inlineStr">
        <is>
          <t>더원</t>
        </is>
      </c>
      <c r="U816" s="3" t="n">
        <v>1</v>
      </c>
      <c r="V816" s="3" t="inlineStr">
        <is>
          <t>802</t>
        </is>
      </c>
      <c r="W816" s="4" t="n">
        <v>6971</v>
      </c>
      <c r="X816" s="3" t="inlineStr">
        <is>
          <t>철근콘크리트구조</t>
        </is>
      </c>
      <c r="Y816" s="3" t="inlineStr">
        <is>
          <t>제2종근린생활시설</t>
        </is>
      </c>
      <c r="Z816" s="3" t="inlineStr">
        <is>
          <t>-m</t>
        </is>
      </c>
      <c r="AA816" s="3" t="inlineStr">
        <is>
          <t>2021-08-20</t>
        </is>
      </c>
    </row>
    <row r="817">
      <c r="A817" s="3" t="inlineStr">
        <is>
          <t>세종특별자치시 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HYPERLINK("https://map.naver.com/p/search/세종특별자치시 나성동 829", "지도Link")</f>
        <v/>
      </c>
      <c r="S817" s="6">
        <f>HYPERLINK("http://www.eum.go.kr/web/ar/lu/luLandDet.jsp?pnu=3611010700108290000&amp;isNoScr=script&amp;mode=search", "토지이음")</f>
        <v/>
      </c>
      <c r="T817" s="3" t="inlineStr">
        <is>
          <t>더원</t>
        </is>
      </c>
      <c r="U817" s="3" t="n">
        <v>1</v>
      </c>
      <c r="V817" s="3" t="inlineStr">
        <is>
          <t>802</t>
        </is>
      </c>
      <c r="W817" s="4" t="n">
        <v>6987</v>
      </c>
      <c r="X817" s="3" t="inlineStr">
        <is>
          <t>철근콘크리트구조</t>
        </is>
      </c>
      <c r="Y817" s="3" t="inlineStr">
        <is>
          <t>제2종근린생활시설</t>
        </is>
      </c>
      <c r="Z817" s="3" t="inlineStr">
        <is>
          <t>-m</t>
        </is>
      </c>
      <c r="AA817" s="3" t="inlineStr">
        <is>
          <t>2021-08-20</t>
        </is>
      </c>
    </row>
    <row r="818">
      <c r="A818" s="3" t="inlineStr">
        <is>
          <t>세종특별자치시 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HYPERLINK("https://map.naver.com/p/search/세종특별자치시 나성동 829", "지도Link")</f>
        <v/>
      </c>
      <c r="S818" s="6">
        <f>HYPERLINK("http://www.eum.go.kr/web/ar/lu/luLandDet.jsp?pnu=3611010700108290000&amp;isNoScr=script&amp;mode=search", "토지이음")</f>
        <v/>
      </c>
      <c r="T818" s="3" t="inlineStr">
        <is>
          <t>세종연동탑</t>
        </is>
      </c>
      <c r="U818" s="3" t="n">
        <v>1</v>
      </c>
      <c r="V818" s="3" t="inlineStr">
        <is>
          <t>전망공간 기계실</t>
        </is>
      </c>
      <c r="W818" s="4" t="n">
        <v>397</v>
      </c>
      <c r="X818" s="3" t="inlineStr">
        <is>
          <t>철근콘크리트구조</t>
        </is>
      </c>
      <c r="Y818" s="3" t="inlineStr">
        <is>
          <t>제2종근린생활시설</t>
        </is>
      </c>
      <c r="Z818" s="3" t="inlineStr">
        <is>
          <t>-m</t>
        </is>
      </c>
      <c r="AA818" s="3" t="inlineStr">
        <is>
          <t>2021-08-20</t>
        </is>
      </c>
    </row>
    <row r="819">
      <c r="A819" s="3" t="inlineStr">
        <is>
          <t>세종특별자치시 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HYPERLINK("https://map.naver.com/p/search/세종특별자치시 나성동 829", "지도Link")</f>
        <v/>
      </c>
      <c r="S819" s="6">
        <f>HYPERLINK("http://www.eum.go.kr/web/ar/lu/luLandDet.jsp?pnu=3611010700108290000&amp;isNoScr=script&amp;mode=search", "토지이음")</f>
        <v/>
      </c>
      <c r="T819" s="3" t="inlineStr">
        <is>
          <t>세종연동탑</t>
        </is>
      </c>
      <c r="U819" s="3" t="n">
        <v>1</v>
      </c>
      <c r="V819" s="3" t="inlineStr">
        <is>
          <t>전망공간 기계실</t>
        </is>
      </c>
      <c r="W819" s="4" t="n">
        <v>496</v>
      </c>
      <c r="X819" s="3" t="inlineStr">
        <is>
          <t>철근콘크리트구조</t>
        </is>
      </c>
      <c r="Y819" s="3" t="inlineStr">
        <is>
          <t>제2종근린생활시설</t>
        </is>
      </c>
      <c r="Z819" s="3" t="inlineStr">
        <is>
          <t>-m</t>
        </is>
      </c>
      <c r="AA819" s="3" t="inlineStr">
        <is>
          <t>2021-08-20</t>
        </is>
      </c>
    </row>
    <row r="820">
      <c r="A820" s="3" t="inlineStr">
        <is>
          <t>세종특별자치시 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HYPERLINK("https://map.naver.com/p/search/세종특별자치시 나성동 829", "지도Link")</f>
        <v/>
      </c>
      <c r="S820" s="6">
        <f>HYPERLINK("http://www.eum.go.kr/web/ar/lu/luLandDet.jsp?pnu=3611010700108290000&amp;isNoScr=script&amp;mode=search", "토지이음")</f>
        <v/>
      </c>
      <c r="T820" s="3" t="inlineStr">
        <is>
          <t>삼익</t>
        </is>
      </c>
      <c r="U820" s="3" t="n">
        <v>1</v>
      </c>
      <c r="V820" s="3" t="inlineStr">
        <is>
          <t>605</t>
        </is>
      </c>
      <c r="W820" s="4" t="n">
        <v>1288</v>
      </c>
      <c r="X820" s="3" t="inlineStr">
        <is>
          <t>철근콘크리트구조</t>
        </is>
      </c>
      <c r="Y820" s="3" t="inlineStr">
        <is>
          <t>공동주택</t>
        </is>
      </c>
      <c r="Z820" s="3" t="inlineStr">
        <is>
          <t>45.30m</t>
        </is>
      </c>
      <c r="AA820" s="3" t="inlineStr">
        <is>
          <t>2021-08-20</t>
        </is>
      </c>
    </row>
    <row r="821">
      <c r="A821" s="3" t="inlineStr">
        <is>
          <t>세종특별자치시 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HYPERLINK("https://map.naver.com/p/search/세종특별자치시 나성동 829", "지도Link")</f>
        <v/>
      </c>
      <c r="S821" s="6">
        <f>HYPERLINK("http://www.eum.go.kr/web/ar/lu/luLandDet.jsp?pnu=3611010700108290000&amp;isNoScr=script&amp;mode=search", "토지이음")</f>
        <v/>
      </c>
      <c r="T821" s="3" t="inlineStr">
        <is>
          <t>세종연동탑</t>
        </is>
      </c>
      <c r="U821" s="3" t="n">
        <v>1</v>
      </c>
      <c r="V821" s="3" t="inlineStr">
        <is>
          <t>전망공간 기계실</t>
        </is>
      </c>
      <c r="W821" s="4" t="n">
        <v>446</v>
      </c>
      <c r="X821" s="3" t="inlineStr">
        <is>
          <t>철근콘크리트구조</t>
        </is>
      </c>
      <c r="Y821" s="3" t="inlineStr">
        <is>
          <t>제2종근린생활시설</t>
        </is>
      </c>
      <c r="Z821" s="3" t="inlineStr">
        <is>
          <t>-m</t>
        </is>
      </c>
      <c r="AA821" s="3" t="inlineStr">
        <is>
          <t>2021-08-20</t>
        </is>
      </c>
    </row>
    <row r="822">
      <c r="A822" s="3" t="inlineStr">
        <is>
          <t>세종특별자치시 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HYPERLINK("https://map.naver.com/p/search/세종특별자치시 나성동 829", "지도Link")</f>
        <v/>
      </c>
      <c r="S822" s="6">
        <f>HYPERLINK("http://www.eum.go.kr/web/ar/lu/luLandDet.jsp?pnu=3611010700108290000&amp;isNoScr=script&amp;mode=search", "토지이음")</f>
        <v/>
      </c>
      <c r="T822" s="3" t="inlineStr">
        <is>
          <t>세종연동탑</t>
        </is>
      </c>
      <c r="U822" s="3" t="n">
        <v>1</v>
      </c>
      <c r="V822" s="3" t="inlineStr">
        <is>
          <t>전망공간 기계실</t>
        </is>
      </c>
      <c r="W822" s="4" t="n">
        <v>471</v>
      </c>
      <c r="X822" s="3" t="inlineStr">
        <is>
          <t>철근콘크리트구조</t>
        </is>
      </c>
      <c r="Y822" s="3" t="inlineStr">
        <is>
          <t>제2종근린생활시설</t>
        </is>
      </c>
      <c r="Z822" s="3" t="inlineStr">
        <is>
          <t>-m</t>
        </is>
      </c>
      <c r="AA822" s="3" t="inlineStr">
        <is>
          <t>2021-08-20</t>
        </is>
      </c>
    </row>
    <row r="823">
      <c r="A823" s="3" t="inlineStr">
        <is>
          <t>세종특별자치시 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HYPERLINK("https://map.naver.com/p/search/세종특별자치시 나성동 829", "지도Link")</f>
        <v/>
      </c>
      <c r="S823" s="6">
        <f>HYPERLINK("http://www.eum.go.kr/web/ar/lu/luLandDet.jsp?pnu=3611010700108290000&amp;isNoScr=script&amp;mode=search", "토지이음")</f>
        <v/>
      </c>
      <c r="T823" s="3" t="inlineStr">
        <is>
          <t>남대전</t>
        </is>
      </c>
      <c r="U823" s="3" t="n">
        <v>2</v>
      </c>
      <c r="V823" s="3" t="inlineStr">
        <is>
          <t>공동주택 기계실/열교환기실/펌프실</t>
        </is>
      </c>
      <c r="W823" s="4" t="n">
        <v>269</v>
      </c>
      <c r="X823" s="3" t="inlineStr">
        <is>
          <t>철근콘크리트구조</t>
        </is>
      </c>
      <c r="Y823" s="3" t="inlineStr">
        <is>
          <t>공동주택</t>
        </is>
      </c>
      <c r="Z823" s="3" t="inlineStr">
        <is>
          <t>-m</t>
        </is>
      </c>
      <c r="AA823" s="3" t="inlineStr">
        <is>
          <t>2021-08-20</t>
        </is>
      </c>
    </row>
    <row r="824">
      <c r="A824" s="3" t="inlineStr">
        <is>
          <t>세종특별자치시 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HYPERLINK("https://map.naver.com/p/search/세종특별자치시 나성동 829", "지도Link")</f>
        <v/>
      </c>
      <c r="S824" s="6">
        <f>HYPERLINK("http://www.eum.go.kr/web/ar/lu/luLandDet.jsp?pnu=3611010700108290000&amp;isNoScr=script&amp;mode=search", "토지이음")</f>
        <v/>
      </c>
      <c r="T824" s="3" t="inlineStr">
        <is>
          <t>남대전</t>
        </is>
      </c>
      <c r="U824" s="3" t="n">
        <v>1</v>
      </c>
      <c r="V824" s="3" t="inlineStr">
        <is>
          <t>공동주택 기계실/열교환기실/펌프실</t>
        </is>
      </c>
      <c r="W824" s="4" t="n">
        <v>270</v>
      </c>
      <c r="X824" s="3" t="inlineStr">
        <is>
          <t>철근콘크리트구조</t>
        </is>
      </c>
      <c r="Y824" s="3" t="inlineStr">
        <is>
          <t>공동주택</t>
        </is>
      </c>
      <c r="Z824" s="3" t="inlineStr">
        <is>
          <t>-m</t>
        </is>
      </c>
      <c r="AA824" s="3" t="inlineStr">
        <is>
          <t>2021-08-20</t>
        </is>
      </c>
    </row>
    <row r="825">
      <c r="A825" s="3" t="inlineStr">
        <is>
          <t>세종특별자치시 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HYPERLINK("https://map.naver.com/p/search/세종특별자치시 나성동 829", "지도Link")</f>
        <v/>
      </c>
      <c r="S825" s="6">
        <f>HYPERLINK("http://www.eum.go.kr/web/ar/lu/luLandDet.jsp?pnu=3611010700108290000&amp;isNoScr=script&amp;mode=search", "토지이음")</f>
        <v/>
      </c>
      <c r="T825" s="3" t="inlineStr">
        <is>
          <t>삼익</t>
        </is>
      </c>
      <c r="U825" s="3" t="n">
        <v>1</v>
      </c>
      <c r="V825" s="3" t="inlineStr">
        <is>
          <t>판매시설 지하주차장</t>
        </is>
      </c>
      <c r="W825" s="4" t="n">
        <v>113</v>
      </c>
      <c r="X825" s="3" t="inlineStr">
        <is>
          <t>철근콘크리트구조</t>
        </is>
      </c>
      <c r="Y825" s="3" t="inlineStr">
        <is>
          <t>판매시설</t>
        </is>
      </c>
      <c r="Z825" s="3" t="inlineStr">
        <is>
          <t>-m</t>
        </is>
      </c>
      <c r="AA825" s="3" t="inlineStr">
        <is>
          <t>2021-08-20</t>
        </is>
      </c>
    </row>
    <row r="826">
      <c r="A826" s="3" t="inlineStr">
        <is>
          <t>세종특별자치시 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HYPERLINK("https://map.naver.com/p/search/세종특별자치시 나성동 829", "지도Link")</f>
        <v/>
      </c>
      <c r="S826" s="6">
        <f>HYPERLINK("http://www.eum.go.kr/web/ar/lu/luLandDet.jsp?pnu=3611010700108290000&amp;isNoScr=script&amp;mode=search", "토지이음")</f>
        <v/>
      </c>
      <c r="T826" s="3" t="inlineStr">
        <is>
          <t>대성오투그란데</t>
        </is>
      </c>
      <c r="U826" s="3" t="n">
        <v>1</v>
      </c>
      <c r="V826" s="3" t="inlineStr">
        <is>
          <t>판매시설 지하주차장</t>
        </is>
      </c>
      <c r="W826" s="4" t="n">
        <v>125</v>
      </c>
      <c r="X826" s="3" t="inlineStr">
        <is>
          <t>철근콘크리트구조</t>
        </is>
      </c>
      <c r="Y826" s="3" t="inlineStr">
        <is>
          <t>판매시설</t>
        </is>
      </c>
      <c r="Z826" s="3" t="inlineStr">
        <is>
          <t>-m</t>
        </is>
      </c>
      <c r="AA826" s="3" t="inlineStr">
        <is>
          <t>2021-08-20</t>
        </is>
      </c>
    </row>
    <row r="827">
      <c r="A827" s="3" t="inlineStr">
        <is>
          <t>세종특별자치시 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HYPERLINK("https://map.naver.com/p/search/세종특별자치시 나성동 829", "지도Link")</f>
        <v/>
      </c>
      <c r="S827" s="6">
        <f>HYPERLINK("http://www.eum.go.kr/web/ar/lu/luLandDet.jsp?pnu=3611010700108290000&amp;isNoScr=script&amp;mode=search", "토지이음")</f>
        <v/>
      </c>
      <c r="T827" s="3" t="inlineStr">
        <is>
          <t>남대전</t>
        </is>
      </c>
      <c r="U827" s="3" t="n">
        <v>1</v>
      </c>
      <c r="V827" s="3" t="inlineStr">
        <is>
          <t>공동주택 경로당</t>
        </is>
      </c>
      <c r="W827" s="4" t="n">
        <v>144</v>
      </c>
      <c r="X827" s="3" t="inlineStr">
        <is>
          <t>철근콘크리트구조</t>
        </is>
      </c>
      <c r="Y827" s="3" t="inlineStr">
        <is>
          <t>공동주택</t>
        </is>
      </c>
      <c r="Z827" s="3" t="inlineStr">
        <is>
          <t>-m</t>
        </is>
      </c>
      <c r="AA827" s="3" t="inlineStr">
        <is>
          <t>2021-08-20</t>
        </is>
      </c>
    </row>
    <row r="828">
      <c r="A828" s="3" t="inlineStr">
        <is>
          <t>세종특별자치시 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HYPERLINK("https://map.naver.com/p/search/세종특별자치시 나성동 829", "지도Link")</f>
        <v/>
      </c>
      <c r="S828" s="6">
        <f>HYPERLINK("http://www.eum.go.kr/web/ar/lu/luLandDet.jsp?pnu=3611010700108290000&amp;isNoScr=script&amp;mode=search", "토지이음")</f>
        <v/>
      </c>
      <c r="T828" s="3" t="inlineStr">
        <is>
          <t>남대전</t>
        </is>
      </c>
      <c r="U828" s="3" t="n">
        <v>1</v>
      </c>
      <c r="V828" s="3" t="inlineStr">
        <is>
          <t>801</t>
        </is>
      </c>
      <c r="W828" s="4" t="n">
        <v>307</v>
      </c>
      <c r="X828" s="3" t="inlineStr">
        <is>
          <t>철근콘크리트구조</t>
        </is>
      </c>
      <c r="Y828" s="3" t="inlineStr">
        <is>
          <t>제2종근린생활시설</t>
        </is>
      </c>
      <c r="Z828" s="3" t="inlineStr">
        <is>
          <t>-m</t>
        </is>
      </c>
      <c r="AA828" s="3" t="inlineStr">
        <is>
          <t>2021-08-20</t>
        </is>
      </c>
    </row>
    <row r="829">
      <c r="A829" s="3" t="inlineStr">
        <is>
          <t>세종특별자치시 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HYPERLINK("https://map.naver.com/p/search/세종특별자치시 나성동 829", "지도Link")</f>
        <v/>
      </c>
      <c r="S829" s="6">
        <f>HYPERLINK("http://www.eum.go.kr/web/ar/lu/luLandDet.jsp?pnu=3611010700108290000&amp;isNoScr=script&amp;mode=search", "토지이음")</f>
        <v/>
      </c>
      <c r="T829" s="3" t="inlineStr">
        <is>
          <t>한울합동</t>
        </is>
      </c>
      <c r="U829" s="3" t="n">
        <v>1</v>
      </c>
      <c r="V829" s="3" t="inlineStr">
        <is>
          <t>801</t>
        </is>
      </c>
      <c r="W829" s="4" t="n">
        <v>343</v>
      </c>
      <c r="X829" s="3" t="inlineStr">
        <is>
          <t>철근콘크리트구조</t>
        </is>
      </c>
      <c r="Y829" s="3" t="inlineStr">
        <is>
          <t>제2종근린생활시설</t>
        </is>
      </c>
      <c r="Z829" s="3" t="inlineStr">
        <is>
          <t>-m</t>
        </is>
      </c>
      <c r="AA829" s="3" t="inlineStr">
        <is>
          <t>2021-08-20</t>
        </is>
      </c>
    </row>
    <row r="830">
      <c r="A830" s="3" t="inlineStr">
        <is>
          <t>세종특별자치시 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HYPERLINK("https://map.naver.com/p/search/세종특별자치시 나성동 829", "지도Link")</f>
        <v/>
      </c>
      <c r="S830" s="6">
        <f>HYPERLINK("http://www.eum.go.kr/web/ar/lu/luLandDet.jsp?pnu=3611010700108290000&amp;isNoScr=script&amp;mode=search", "토지이음")</f>
        <v/>
      </c>
      <c r="T830" s="3" t="inlineStr">
        <is>
          <t>삼익</t>
        </is>
      </c>
      <c r="U830" s="3" t="n">
        <v>1</v>
      </c>
      <c r="V830" s="3" t="inlineStr">
        <is>
          <t>공동주택 보육시설</t>
        </is>
      </c>
      <c r="W830" s="4" t="n">
        <v>234</v>
      </c>
      <c r="X830" s="3" t="inlineStr">
        <is>
          <t>철근콘크리트구조</t>
        </is>
      </c>
      <c r="Y830" s="3" t="inlineStr">
        <is>
          <t>공동주택</t>
        </is>
      </c>
      <c r="Z830" s="3" t="inlineStr">
        <is>
          <t>-m</t>
        </is>
      </c>
      <c r="AA830" s="3" t="inlineStr">
        <is>
          <t>2021-08-20</t>
        </is>
      </c>
    </row>
    <row r="831">
      <c r="A831" s="3" t="inlineStr">
        <is>
          <t>세종특별자치시 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HYPERLINK("https://map.naver.com/p/search/세종특별자치시 나성동 829", "지도Link")</f>
        <v/>
      </c>
      <c r="S831" s="6">
        <f>HYPERLINK("http://www.eum.go.kr/web/ar/lu/luLandDet.jsp?pnu=3611010700108290000&amp;isNoScr=script&amp;mode=search", "토지이음")</f>
        <v/>
      </c>
      <c r="T831" s="3" t="inlineStr">
        <is>
          <t>삼익</t>
        </is>
      </c>
      <c r="U831" s="3" t="n">
        <v>1</v>
      </c>
      <c r="V831" s="3" t="inlineStr">
        <is>
          <t>공동주택 보육시설</t>
        </is>
      </c>
      <c r="W831" s="4" t="n">
        <v>234</v>
      </c>
      <c r="X831" s="3" t="inlineStr">
        <is>
          <t>철근콘크리트구조</t>
        </is>
      </c>
      <c r="Y831" s="3" t="inlineStr">
        <is>
          <t>공동주택</t>
        </is>
      </c>
      <c r="Z831" s="3" t="inlineStr">
        <is>
          <t>-m</t>
        </is>
      </c>
      <c r="AA831" s="3" t="inlineStr">
        <is>
          <t>2021-08-20</t>
        </is>
      </c>
    </row>
    <row r="832">
      <c r="A832" s="3" t="inlineStr">
        <is>
          <t>세종특별자치시 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HYPERLINK("https://map.naver.com/p/search/세종특별자치시 나성동 829", "지도Link")</f>
        <v/>
      </c>
      <c r="S832" s="6">
        <f>HYPERLINK("http://www.eum.go.kr/web/ar/lu/luLandDet.jsp?pnu=3611010700108290000&amp;isNoScr=script&amp;mode=search", "토지이음")</f>
        <v/>
      </c>
      <c r="T832" s="3" t="inlineStr">
        <is>
          <t>어진마을</t>
        </is>
      </c>
      <c r="U832" s="3" t="n">
        <v>1</v>
      </c>
      <c r="V832" s="3" t="inlineStr">
        <is>
          <t>공동주택 방재실</t>
        </is>
      </c>
      <c r="W832" s="4" t="n">
        <v>64</v>
      </c>
      <c r="X832" s="3" t="inlineStr">
        <is>
          <t>철근콘크리트구조</t>
        </is>
      </c>
      <c r="Y832" s="3" t="inlineStr">
        <is>
          <t>공동주택</t>
        </is>
      </c>
      <c r="Z832" s="3" t="inlineStr">
        <is>
          <t>-m</t>
        </is>
      </c>
      <c r="AA832" s="3" t="inlineStr">
        <is>
          <t>2021-08-20</t>
        </is>
      </c>
    </row>
    <row r="833">
      <c r="A833" s="3" t="inlineStr">
        <is>
          <t>세종특별자치시 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HYPERLINK("https://map.naver.com/p/search/세종특별자치시 나성동 829", "지도Link")</f>
        <v/>
      </c>
      <c r="S833" s="6">
        <f>HYPERLINK("http://www.eum.go.kr/web/ar/lu/luLandDet.jsp?pnu=3611010700108290000&amp;isNoScr=script&amp;mode=search", "토지이음")</f>
        <v/>
      </c>
      <c r="T833" s="3" t="inlineStr">
        <is>
          <t>대복</t>
        </is>
      </c>
      <c r="U833" s="3" t="n">
        <v>1</v>
      </c>
      <c r="V833" s="3" t="inlineStr">
        <is>
          <t>801</t>
        </is>
      </c>
      <c r="W833" s="4" t="n">
        <v>340</v>
      </c>
      <c r="X833" s="3" t="inlineStr">
        <is>
          <t>철근콘크리트구조</t>
        </is>
      </c>
      <c r="Y833" s="3" t="inlineStr">
        <is>
          <t>제2종근린생활시설</t>
        </is>
      </c>
      <c r="Z833" s="3" t="inlineStr">
        <is>
          <t>-m</t>
        </is>
      </c>
      <c r="AA833" s="3" t="inlineStr">
        <is>
          <t>2021-08-20</t>
        </is>
      </c>
    </row>
    <row r="834">
      <c r="A834" s="3" t="inlineStr">
        <is>
          <t>세종특별자치시 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HYPERLINK("https://map.naver.com/p/search/세종특별자치시 나성동 829", "지도Link")</f>
        <v/>
      </c>
      <c r="S834" s="6">
        <f>HYPERLINK("http://www.eum.go.kr/web/ar/lu/luLandDet.jsp?pnu=3611010700108290000&amp;isNoScr=script&amp;mode=search", "토지이음")</f>
        <v/>
      </c>
      <c r="T834" s="3" t="inlineStr">
        <is>
          <t>대성오투그란데</t>
        </is>
      </c>
      <c r="U834" s="3" t="n">
        <v>1</v>
      </c>
      <c r="V834" s="3" t="inlineStr">
        <is>
          <t>공동주택 주민공동시설</t>
        </is>
      </c>
      <c r="W834" s="4" t="n">
        <v>198</v>
      </c>
      <c r="X834" s="3" t="inlineStr">
        <is>
          <t>철근콘크리트구조</t>
        </is>
      </c>
      <c r="Y834" s="3" t="inlineStr">
        <is>
          <t>공동주택</t>
        </is>
      </c>
      <c r="Z834" s="3" t="inlineStr">
        <is>
          <t>-m</t>
        </is>
      </c>
      <c r="AA834" s="3" t="inlineStr">
        <is>
          <t>2021-08-20</t>
        </is>
      </c>
    </row>
    <row r="835">
      <c r="A835" s="3" t="inlineStr">
        <is>
          <t>세종특별자치시 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HYPERLINK("https://map.naver.com/p/search/세종특별자치시 나성동 829", "지도Link")</f>
        <v/>
      </c>
      <c r="S835" s="6">
        <f>HYPERLINK("http://www.eum.go.kr/web/ar/lu/luLandDet.jsp?pnu=3611010700108290000&amp;isNoScr=script&amp;mode=search", "토지이음")</f>
        <v/>
      </c>
      <c r="T835" s="3" t="inlineStr">
        <is>
          <t>삼보</t>
        </is>
      </c>
      <c r="U835" s="3" t="n">
        <v>1</v>
      </c>
      <c r="V835" s="3" t="inlineStr">
        <is>
          <t>801</t>
        </is>
      </c>
      <c r="W835" s="4" t="n">
        <v>325</v>
      </c>
      <c r="X835" s="3" t="inlineStr">
        <is>
          <t>철근콘크리트구조</t>
        </is>
      </c>
      <c r="Y835" s="3" t="inlineStr">
        <is>
          <t>제2종근린생활시설</t>
        </is>
      </c>
      <c r="Z835" s="3" t="inlineStr">
        <is>
          <t>-m</t>
        </is>
      </c>
      <c r="AA835" s="3" t="inlineStr">
        <is>
          <t>2021-08-20</t>
        </is>
      </c>
    </row>
    <row r="836">
      <c r="A836" s="3" t="inlineStr">
        <is>
          <t>세종특별자치시 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HYPERLINK("https://map.naver.com/p/search/세종특별자치시 나성동 829", "지도Link")</f>
        <v/>
      </c>
      <c r="S836" s="6">
        <f>HYPERLINK("http://www.eum.go.kr/web/ar/lu/luLandDet.jsp?pnu=3611010700108290000&amp;isNoScr=script&amp;mode=search", "토지이음")</f>
        <v/>
      </c>
      <c r="T836" s="3" t="inlineStr">
        <is>
          <t>KS</t>
        </is>
      </c>
      <c r="U836" s="3" t="n">
        <v>1</v>
      </c>
      <c r="V836" s="3" t="inlineStr">
        <is>
          <t>공동주택 보육시설</t>
        </is>
      </c>
      <c r="W836" s="4" t="n">
        <v>226</v>
      </c>
      <c r="X836" s="3" t="inlineStr">
        <is>
          <t>철근콘크리트구조</t>
        </is>
      </c>
      <c r="Y836" s="3" t="inlineStr">
        <is>
          <t>공동주택</t>
        </is>
      </c>
      <c r="Z836" s="3" t="inlineStr">
        <is>
          <t>-m</t>
        </is>
      </c>
      <c r="AA836" s="3" t="inlineStr">
        <is>
          <t>2021-08-20</t>
        </is>
      </c>
    </row>
    <row r="837">
      <c r="A837" s="3" t="inlineStr">
        <is>
          <t>세종특별자치시 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HYPERLINK("https://map.naver.com/p/search/세종특별자치시 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94.45m</t>
        </is>
      </c>
      <c r="AA837" s="3" t="inlineStr">
        <is>
          <t>2021-08-20</t>
        </is>
      </c>
    </row>
    <row r="838">
      <c r="A838" s="3" t="inlineStr">
        <is>
          <t>세종특별자치시 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HYPERLINK("https://map.naver.com/p/search/세종특별자치시 나성동 829", "지도Link")</f>
        <v/>
      </c>
      <c r="S838" s="6">
        <f>HYPERLINK("http://www.eum.go.kr/web/ar/lu/luLandDet.jsp?pnu=3611010700108290000&amp;isNoScr=script&amp;mode=search", "토지이음")</f>
        <v/>
      </c>
      <c r="T838" s="3" t="inlineStr">
        <is>
          <t>예스</t>
        </is>
      </c>
      <c r="U838" s="3" t="n">
        <v>1</v>
      </c>
      <c r="V838" s="3" t="inlineStr">
        <is>
          <t>공동주택 연결통로</t>
        </is>
      </c>
      <c r="W838" s="4" t="n">
        <v>99</v>
      </c>
      <c r="X838" s="3" t="inlineStr">
        <is>
          <t>철근콘크리트구조</t>
        </is>
      </c>
      <c r="Y838" s="3" t="inlineStr">
        <is>
          <t>공동주택</t>
        </is>
      </c>
      <c r="Z838" s="3" t="inlineStr">
        <is>
          <t>-m</t>
        </is>
      </c>
      <c r="AA838" s="3" t="inlineStr">
        <is>
          <t>2021-08-20</t>
        </is>
      </c>
    </row>
    <row r="839">
      <c r="A839" s="3" t="inlineStr">
        <is>
          <t>세종특별자치시 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HYPERLINK("https://map.naver.com/p/search/세종특별자치시 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94.45m</t>
        </is>
      </c>
      <c r="AA839" s="3" t="inlineStr">
        <is>
          <t>2021-08-20</t>
        </is>
      </c>
    </row>
    <row r="840">
      <c r="A840" s="3" t="inlineStr">
        <is>
          <t>세종특별자치시 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HYPERLINK("https://map.naver.com/p/search/세종특별자치시 나성동 829", "지도Link")</f>
        <v/>
      </c>
      <c r="S840" s="6">
        <f>HYPERLINK("http://www.eum.go.kr/web/ar/lu/luLandDet.jsp?pnu=3611010700108290000&amp;isNoScr=script&amp;mode=search", "토지이음")</f>
        <v/>
      </c>
      <c r="T840" s="3" t="inlineStr">
        <is>
          <t>왕중왕기업</t>
        </is>
      </c>
      <c r="U840" s="3" t="n">
        <v>1</v>
      </c>
      <c r="V840" s="3" t="inlineStr">
        <is>
          <t>605</t>
        </is>
      </c>
      <c r="W840" s="4" t="n">
        <v>1248</v>
      </c>
      <c r="X840" s="3" t="inlineStr">
        <is>
          <t>철근콘크리트구조</t>
        </is>
      </c>
      <c r="Y840" s="3" t="inlineStr">
        <is>
          <t>공동주택</t>
        </is>
      </c>
      <c r="Z840" s="3" t="inlineStr">
        <is>
          <t>45.30m</t>
        </is>
      </c>
      <c r="AA840" s="3" t="inlineStr">
        <is>
          <t>2021-08-20</t>
        </is>
      </c>
    </row>
    <row r="841">
      <c r="A841" s="3" t="inlineStr">
        <is>
          <t>세종특별자치시 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HYPERLINK("https://map.naver.com/p/search/세종특별자치시 나성동 829", "지도Link")</f>
        <v/>
      </c>
      <c r="S841" s="6">
        <f>HYPERLINK("http://www.eum.go.kr/web/ar/lu/luLandDet.jsp?pnu=3611010700108290000&amp;isNoScr=script&amp;mode=search", "토지이음")</f>
        <v/>
      </c>
      <c r="T841" s="3" t="inlineStr">
        <is>
          <t>로또</t>
        </is>
      </c>
      <c r="U841" s="3" t="n">
        <v>1</v>
      </c>
      <c r="V841" s="3" t="inlineStr">
        <is>
          <t>근린생활시설 기계실</t>
        </is>
      </c>
      <c r="W841" s="4" t="n">
        <v>259</v>
      </c>
      <c r="X841" s="3" t="inlineStr">
        <is>
          <t>철근콘크리트구조</t>
        </is>
      </c>
      <c r="Y841" s="3" t="inlineStr">
        <is>
          <t>제2종근린생활시설</t>
        </is>
      </c>
      <c r="Z841" s="3" t="inlineStr">
        <is>
          <t>-m</t>
        </is>
      </c>
      <c r="AA841" s="3" t="inlineStr">
        <is>
          <t>2021-08-20</t>
        </is>
      </c>
    </row>
    <row r="842">
      <c r="A842" s="3" t="inlineStr">
        <is>
          <t>세종특별자치시 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HYPERLINK("https://map.naver.com/p/search/세종특별자치시 나성동 829", "지도Link")</f>
        <v/>
      </c>
      <c r="S842" s="6">
        <f>HYPERLINK("http://www.eum.go.kr/web/ar/lu/luLandDet.jsp?pnu=3611010700108290000&amp;isNoScr=script&amp;mode=search", "토지이음")</f>
        <v/>
      </c>
      <c r="T842" s="3" t="inlineStr">
        <is>
          <t>KS</t>
        </is>
      </c>
      <c r="U842" s="3" t="n">
        <v>1</v>
      </c>
      <c r="V842" s="3" t="inlineStr">
        <is>
          <t>801</t>
        </is>
      </c>
      <c r="W842" s="4" t="n">
        <v>339</v>
      </c>
      <c r="X842" s="3" t="inlineStr">
        <is>
          <t>철근콘크리트구조</t>
        </is>
      </c>
      <c r="Y842" s="3" t="inlineStr">
        <is>
          <t>제2종근린생활시설</t>
        </is>
      </c>
      <c r="Z842" s="3" t="inlineStr">
        <is>
          <t>-m</t>
        </is>
      </c>
      <c r="AA842" s="3" t="inlineStr">
        <is>
          <t>2021-08-20</t>
        </is>
      </c>
    </row>
    <row r="843">
      <c r="A843" s="3" t="inlineStr">
        <is>
          <t>세종특별자치시 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HYPERLINK("https://map.naver.com/p/search/세종특별자치시 나성동 829", "지도Link")</f>
        <v/>
      </c>
      <c r="S843" s="6">
        <f>HYPERLINK("http://www.eum.go.kr/web/ar/lu/luLandDet.jsp?pnu=3611010700108290000&amp;isNoScr=script&amp;mode=search", "토지이음")</f>
        <v/>
      </c>
      <c r="T843" s="3" t="inlineStr">
        <is>
          <t>크로바</t>
        </is>
      </c>
      <c r="U843" s="3" t="n">
        <v>1</v>
      </c>
      <c r="V843" s="3" t="inlineStr">
        <is>
          <t>801</t>
        </is>
      </c>
      <c r="W843" s="4" t="n">
        <v>339</v>
      </c>
      <c r="X843" s="3" t="inlineStr">
        <is>
          <t>철근콘크리트구조</t>
        </is>
      </c>
      <c r="Y843" s="3" t="inlineStr">
        <is>
          <t>제2종근린생활시설</t>
        </is>
      </c>
      <c r="Z843" s="3" t="inlineStr">
        <is>
          <t>-m</t>
        </is>
      </c>
      <c r="AA843" s="3" t="inlineStr">
        <is>
          <t>2021-08-20</t>
        </is>
      </c>
    </row>
    <row r="844">
      <c r="A844" s="3" t="inlineStr">
        <is>
          <t>세종특별자치시 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HYPERLINK("https://map.naver.com/p/search/세종특별자치시 나성동 829", "지도Link")</f>
        <v/>
      </c>
      <c r="S844" s="6">
        <f>HYPERLINK("http://www.eum.go.kr/web/ar/lu/luLandDet.jsp?pnu=3611010700108290000&amp;isNoScr=script&amp;mode=search", "토지이음")</f>
        <v/>
      </c>
      <c r="T844" s="3" t="inlineStr">
        <is>
          <t>한솔</t>
        </is>
      </c>
      <c r="U844" s="3" t="n">
        <v>1</v>
      </c>
      <c r="V844" s="3" t="inlineStr">
        <is>
          <t>공동주택 관리사무소</t>
        </is>
      </c>
      <c r="W844" s="4" t="n">
        <v>167</v>
      </c>
      <c r="X844" s="3" t="inlineStr">
        <is>
          <t>철근콘크리트구조</t>
        </is>
      </c>
      <c r="Y844" s="3" t="inlineStr">
        <is>
          <t>공동주택</t>
        </is>
      </c>
      <c r="Z844" s="3" t="inlineStr">
        <is>
          <t>-m</t>
        </is>
      </c>
      <c r="AA844" s="3" t="inlineStr">
        <is>
          <t>2021-08-20</t>
        </is>
      </c>
    </row>
    <row r="845">
      <c r="A845" s="3" t="inlineStr">
        <is>
          <t>세종특별자치시 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HYPERLINK("https://map.naver.com/p/search/세종특별자치시 나성동 829", "지도Link")</f>
        <v/>
      </c>
      <c r="S845" s="6">
        <f>HYPERLINK("http://www.eum.go.kr/web/ar/lu/luLandDet.jsp?pnu=3611010700108290000&amp;isNoScr=script&amp;mode=search", "토지이음")</f>
        <v/>
      </c>
      <c r="T845" s="3" t="inlineStr">
        <is>
          <t>좋은터</t>
        </is>
      </c>
      <c r="U845" s="3" t="n">
        <v>1</v>
      </c>
      <c r="V845" s="3" t="inlineStr">
        <is>
          <t>전망공간 기계실</t>
        </is>
      </c>
      <c r="W845" s="4" t="n">
        <v>420</v>
      </c>
      <c r="X845" s="3" t="inlineStr">
        <is>
          <t>철근콘크리트구조</t>
        </is>
      </c>
      <c r="Y845" s="3" t="inlineStr">
        <is>
          <t>제2종근린생활시설</t>
        </is>
      </c>
      <c r="Z845" s="3" t="inlineStr">
        <is>
          <t>-m</t>
        </is>
      </c>
      <c r="AA845" s="3" t="inlineStr">
        <is>
          <t>2021-08-20</t>
        </is>
      </c>
    </row>
    <row r="846">
      <c r="A846" s="3" t="inlineStr">
        <is>
          <t>세종특별자치시 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HYPERLINK("https://map.naver.com/p/search/세종특별자치시 나성동 829", "지도Link")</f>
        <v/>
      </c>
      <c r="S846" s="6">
        <f>HYPERLINK("http://www.eum.go.kr/web/ar/lu/luLandDet.jsp?pnu=3611010700108290000&amp;isNoScr=script&amp;mode=search", "토지이음")</f>
        <v/>
      </c>
      <c r="T846" s="3" t="inlineStr">
        <is>
          <t>메가주식회사</t>
        </is>
      </c>
      <c r="U846" s="3" t="n">
        <v>1</v>
      </c>
      <c r="V846" s="3" t="inlineStr">
        <is>
          <t>공동주택 주민공동시설</t>
        </is>
      </c>
      <c r="W846" s="4" t="n">
        <v>206</v>
      </c>
      <c r="X846" s="3" t="inlineStr">
        <is>
          <t>철근콘크리트구조</t>
        </is>
      </c>
      <c r="Y846" s="3" t="inlineStr">
        <is>
          <t>공동주택</t>
        </is>
      </c>
      <c r="Z846" s="3" t="inlineStr">
        <is>
          <t>-m</t>
        </is>
      </c>
      <c r="AA846" s="3" t="inlineStr">
        <is>
          <t>2021-08-20</t>
        </is>
      </c>
    </row>
    <row r="847">
      <c r="A847" s="3" t="inlineStr">
        <is>
          <t>세종특별자치시 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HYPERLINK("https://map.naver.com/p/search/세종특별자치시 나성동 829", "지도Link")</f>
        <v/>
      </c>
      <c r="S847" s="6">
        <f>HYPERLINK("http://www.eum.go.kr/web/ar/lu/luLandDet.jsp?pnu=3611010700108290000&amp;isNoScr=script&amp;mode=search", "토지이음")</f>
        <v/>
      </c>
      <c r="T847" s="3" t="inlineStr">
        <is>
          <t>왕중왕기업</t>
        </is>
      </c>
      <c r="U847" s="3" t="n">
        <v>1</v>
      </c>
      <c r="V847" s="3" t="inlineStr">
        <is>
          <t>전망공간 기계실</t>
        </is>
      </c>
      <c r="W847" s="4" t="n">
        <v>452</v>
      </c>
      <c r="X847" s="3" t="inlineStr">
        <is>
          <t>철근콘크리트구조</t>
        </is>
      </c>
      <c r="Y847" s="3" t="inlineStr">
        <is>
          <t>제2종근린생활시설</t>
        </is>
      </c>
      <c r="Z847" s="3" t="inlineStr">
        <is>
          <t>-m</t>
        </is>
      </c>
      <c r="AA847" s="3" t="inlineStr">
        <is>
          <t>2021-08-20</t>
        </is>
      </c>
    </row>
    <row r="848">
      <c r="A848" s="3" t="inlineStr">
        <is>
          <t>세종특별자치시 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HYPERLINK("https://map.naver.com/p/search/세종특별자치시 나성동 829", "지도Link")</f>
        <v/>
      </c>
      <c r="S848" s="6">
        <f>HYPERLINK("http://www.eum.go.kr/web/ar/lu/luLandDet.jsp?pnu=3611010700108290000&amp;isNoScr=script&amp;mode=search", "토지이음")</f>
        <v/>
      </c>
      <c r="T848" s="3" t="inlineStr">
        <is>
          <t>한울합동</t>
        </is>
      </c>
      <c r="U848" s="3" t="n">
        <v>1</v>
      </c>
      <c r="V848" s="3" t="inlineStr">
        <is>
          <t>604</t>
        </is>
      </c>
      <c r="W848" s="4" t="n">
        <v>1020</v>
      </c>
      <c r="X848" s="3" t="inlineStr">
        <is>
          <t>철근콘크리트구조</t>
        </is>
      </c>
      <c r="Y848" s="3" t="inlineStr">
        <is>
          <t>공동주택</t>
        </is>
      </c>
      <c r="Z848" s="3" t="inlineStr">
        <is>
          <t>38.30m</t>
        </is>
      </c>
      <c r="AA848" s="3" t="inlineStr">
        <is>
          <t>2021-08-20</t>
        </is>
      </c>
    </row>
    <row r="849">
      <c r="A849" s="3" t="inlineStr">
        <is>
          <t>세종특별자치시 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HYPERLINK("https://map.naver.com/p/search/세종특별자치시 나성동 829", "지도Link")</f>
        <v/>
      </c>
      <c r="S849" s="6">
        <f>HYPERLINK("http://www.eum.go.kr/web/ar/lu/luLandDet.jsp?pnu=3611010700108290000&amp;isNoScr=script&amp;mode=search", "토지이음")</f>
        <v/>
      </c>
      <c r="T849" s="3" t="inlineStr">
        <is>
          <t>믿음</t>
        </is>
      </c>
      <c r="U849" s="3" t="n">
        <v>1</v>
      </c>
      <c r="V849" s="3" t="inlineStr">
        <is>
          <t>전망공간 기계실</t>
        </is>
      </c>
      <c r="W849" s="4" t="n">
        <v>560</v>
      </c>
      <c r="X849" s="3" t="inlineStr">
        <is>
          <t>철근콘크리트구조</t>
        </is>
      </c>
      <c r="Y849" s="3" t="inlineStr">
        <is>
          <t>제2종근린생활시설</t>
        </is>
      </c>
      <c r="Z849" s="3" t="inlineStr">
        <is>
          <t>-m</t>
        </is>
      </c>
      <c r="AA849" s="3" t="inlineStr">
        <is>
          <t>2021-08-20</t>
        </is>
      </c>
    </row>
    <row r="850">
      <c r="A850" s="3" t="inlineStr">
        <is>
          <t>세종특별자치시 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HYPERLINK("https://map.naver.com/p/search/세종특별자치시 나성동 829", "지도Link")</f>
        <v/>
      </c>
      <c r="S850" s="6">
        <f>HYPERLINK("http://www.eum.go.kr/web/ar/lu/luLandDet.jsp?pnu=3611010700108290000&amp;isNoScr=script&amp;mode=search", "토지이음")</f>
        <v/>
      </c>
      <c r="T850" s="3" t="inlineStr">
        <is>
          <t>테크노반석</t>
        </is>
      </c>
      <c r="U850" s="3" t="n">
        <v>1</v>
      </c>
      <c r="V850" s="3" t="inlineStr">
        <is>
          <t>901(전망공간)</t>
        </is>
      </c>
      <c r="W850" s="4" t="n">
        <v>1575</v>
      </c>
      <c r="X850" s="3" t="inlineStr">
        <is>
          <t>철근콘크리트구조</t>
        </is>
      </c>
      <c r="Y850" s="3" t="inlineStr">
        <is>
          <t>제2종근린생활시설</t>
        </is>
      </c>
      <c r="Z850" s="3" t="inlineStr">
        <is>
          <t>-m</t>
        </is>
      </c>
      <c r="AA850" s="3" t="inlineStr">
        <is>
          <t>2021-08-20</t>
        </is>
      </c>
    </row>
    <row r="851">
      <c r="A851" s="3" t="inlineStr">
        <is>
          <t>세종특별자치시 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HYPERLINK("https://map.naver.com/p/search/세종특별자치시 나성동 829", "지도Link")</f>
        <v/>
      </c>
      <c r="S851" s="6">
        <f>HYPERLINK("http://www.eum.go.kr/web/ar/lu/luLandDet.jsp?pnu=3611010700108290000&amp;isNoScr=script&amp;mode=search", "토지이음")</f>
        <v/>
      </c>
      <c r="T851" s="3" t="inlineStr">
        <is>
          <t>테크노반석</t>
        </is>
      </c>
      <c r="U851" s="3" t="n">
        <v>1</v>
      </c>
      <c r="V851" s="3" t="inlineStr">
        <is>
          <t>901(전망공간)</t>
        </is>
      </c>
      <c r="W851" s="4" t="n">
        <v>1575</v>
      </c>
      <c r="X851" s="3" t="inlineStr">
        <is>
          <t>철근콘크리트구조</t>
        </is>
      </c>
      <c r="Y851" s="3" t="inlineStr">
        <is>
          <t>제2종근린생활시설</t>
        </is>
      </c>
      <c r="Z851" s="3" t="inlineStr">
        <is>
          <t>-m</t>
        </is>
      </c>
      <c r="AA851" s="3" t="inlineStr">
        <is>
          <t>2021-08-20</t>
        </is>
      </c>
    </row>
    <row r="852">
      <c r="A852" s="3" t="inlineStr">
        <is>
          <t>세종특별자치시 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HYPERLINK("https://map.naver.com/p/search/세종특별자치시 나성동 829", "지도Link")</f>
        <v/>
      </c>
      <c r="S852" s="6">
        <f>HYPERLINK("http://www.eum.go.kr/web/ar/lu/luLandDet.jsp?pnu=3611010700108290000&amp;isNoScr=script&amp;mode=search", "토지이음")</f>
        <v/>
      </c>
      <c r="T852" s="3" t="inlineStr">
        <is>
          <t>오케이</t>
        </is>
      </c>
      <c r="U852" s="3" t="n">
        <v>1</v>
      </c>
      <c r="V852" s="3" t="inlineStr">
        <is>
          <t>803</t>
        </is>
      </c>
      <c r="W852" s="4" t="n">
        <v>680</v>
      </c>
      <c r="X852" s="3" t="inlineStr">
        <is>
          <t>철근콘크리트구조</t>
        </is>
      </c>
      <c r="Y852" s="3" t="inlineStr">
        <is>
          <t>제2종근린생활시설</t>
        </is>
      </c>
      <c r="Z852" s="3" t="inlineStr">
        <is>
          <t>-m</t>
        </is>
      </c>
      <c r="AA852" s="3" t="inlineStr">
        <is>
          <t>2021-08-20</t>
        </is>
      </c>
    </row>
    <row r="853">
      <c r="A853" s="3" t="inlineStr">
        <is>
          <t>세종특별자치시 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HYPERLINK("https://map.naver.com/p/search/세종특별자치시 나성동 829", "지도Link")</f>
        <v/>
      </c>
      <c r="S853" s="6">
        <f>HYPERLINK("http://www.eum.go.kr/web/ar/lu/luLandDet.jsp?pnu=3611010700108290000&amp;isNoScr=script&amp;mode=search", "토지이음")</f>
        <v/>
      </c>
      <c r="T853" s="3" t="inlineStr">
        <is>
          <t>왕중왕기업</t>
        </is>
      </c>
      <c r="U853" s="3" t="n">
        <v>1</v>
      </c>
      <c r="V853" s="3" t="inlineStr">
        <is>
          <t>공동주택 주민공동시설</t>
        </is>
      </c>
      <c r="W853" s="4" t="n">
        <v>201</v>
      </c>
      <c r="X853" s="3" t="inlineStr">
        <is>
          <t>철근콘크리트구조</t>
        </is>
      </c>
      <c r="Y853" s="3" t="inlineStr">
        <is>
          <t>공동주택</t>
        </is>
      </c>
      <c r="Z853" s="3" t="inlineStr">
        <is>
          <t>-m</t>
        </is>
      </c>
      <c r="AA853" s="3" t="inlineStr">
        <is>
          <t>2021-08-20</t>
        </is>
      </c>
    </row>
    <row r="854">
      <c r="A854" s="3" t="inlineStr">
        <is>
          <t>세종특별자치시 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HYPERLINK("https://map.naver.com/p/search/세종특별자치시 나성동 829", "지도Link")</f>
        <v/>
      </c>
      <c r="S854" s="6">
        <f>HYPERLINK("http://www.eum.go.kr/web/ar/lu/luLandDet.jsp?pnu=3611010700108290000&amp;isNoScr=script&amp;mode=search", "토지이음")</f>
        <v/>
      </c>
      <c r="T854" s="3" t="inlineStr">
        <is>
          <t>이루마</t>
        </is>
      </c>
      <c r="U854" s="3" t="n">
        <v>1</v>
      </c>
      <c r="V854" s="3" t="inlineStr">
        <is>
          <t>근린생활시설 전기/발전기실</t>
        </is>
      </c>
      <c r="W854" s="4" t="n">
        <v>131</v>
      </c>
      <c r="X854" s="3" t="inlineStr">
        <is>
          <t>철근콘크리트구조</t>
        </is>
      </c>
      <c r="Y854" s="3" t="inlineStr">
        <is>
          <t>제2종근린생활시설</t>
        </is>
      </c>
      <c r="Z854" s="3" t="inlineStr">
        <is>
          <t>-m</t>
        </is>
      </c>
      <c r="AA854" s="3" t="inlineStr">
        <is>
          <t>2021-08-20</t>
        </is>
      </c>
    </row>
    <row r="855">
      <c r="A855" s="3" t="inlineStr">
        <is>
          <t>세종특별자치시 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HYPERLINK("https://map.naver.com/p/search/세종특별자치시 나성동 829", "지도Link")</f>
        <v/>
      </c>
      <c r="S855" s="6">
        <f>HYPERLINK("http://www.eum.go.kr/web/ar/lu/luLandDet.jsp?pnu=3611010700108290000&amp;isNoScr=script&amp;mode=search", "토지이음")</f>
        <v/>
      </c>
      <c r="T855" s="3" t="inlineStr">
        <is>
          <t>오로</t>
        </is>
      </c>
      <c r="U855" s="3" t="n">
        <v>1</v>
      </c>
      <c r="V855" s="3" t="inlineStr">
        <is>
          <t>901(전망공간)</t>
        </is>
      </c>
      <c r="W855" s="4" t="n">
        <v>1645</v>
      </c>
      <c r="X855" s="3" t="inlineStr">
        <is>
          <t>철근콘크리트구조</t>
        </is>
      </c>
      <c r="Y855" s="3" t="inlineStr">
        <is>
          <t>제2종근린생활시설</t>
        </is>
      </c>
      <c r="Z855" s="3" t="inlineStr">
        <is>
          <t>-m</t>
        </is>
      </c>
      <c r="AA855" s="3" t="inlineStr">
        <is>
          <t>2021-08-20</t>
        </is>
      </c>
    </row>
    <row r="856">
      <c r="A856" s="3" t="inlineStr">
        <is>
          <t>세종특별자치시 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HYPERLINK("https://map.naver.com/p/search/세종특별자치시 나성동 829", "지도Link")</f>
        <v/>
      </c>
      <c r="S856" s="6">
        <f>HYPERLINK("http://www.eum.go.kr/web/ar/lu/luLandDet.jsp?pnu=3611010700108290000&amp;isNoScr=script&amp;mode=search", "토지이음")</f>
        <v/>
      </c>
      <c r="T856" s="3" t="inlineStr">
        <is>
          <t>미래개발</t>
        </is>
      </c>
      <c r="U856" s="3" t="n">
        <v>1</v>
      </c>
      <c r="V856" s="3" t="inlineStr">
        <is>
          <t>전망공간 기계실</t>
        </is>
      </c>
      <c r="W856" s="4" t="n">
        <v>489</v>
      </c>
      <c r="X856" s="3" t="inlineStr">
        <is>
          <t>철근콘크리트구조</t>
        </is>
      </c>
      <c r="Y856" s="3" t="inlineStr">
        <is>
          <t>제2종근린생활시설</t>
        </is>
      </c>
      <c r="Z856" s="3" t="inlineStr">
        <is>
          <t>-m</t>
        </is>
      </c>
      <c r="AA856" s="3" t="inlineStr">
        <is>
          <t>2021-08-20</t>
        </is>
      </c>
    </row>
    <row r="857">
      <c r="A857" s="3" t="inlineStr">
        <is>
          <t>세종특별자치시 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HYPERLINK("https://map.naver.com/p/search/세종특별자치시 나성동 829", "지도Link")</f>
        <v/>
      </c>
      <c r="S857" s="6">
        <f>HYPERLINK("http://www.eum.go.kr/web/ar/lu/luLandDet.jsp?pnu=3611010700108290000&amp;isNoScr=script&amp;mode=search", "토지이음")</f>
        <v/>
      </c>
      <c r="T857" s="3" t="inlineStr">
        <is>
          <t>이즈리더스시티대표</t>
        </is>
      </c>
      <c r="U857" s="3" t="n">
        <v>1</v>
      </c>
      <c r="V857" s="3" t="inlineStr">
        <is>
          <t>판매시설 지하주차장</t>
        </is>
      </c>
      <c r="W857" s="4" t="n">
        <v>115</v>
      </c>
      <c r="X857" s="3" t="inlineStr">
        <is>
          <t>철근콘크리트구조</t>
        </is>
      </c>
      <c r="Y857" s="3" t="inlineStr">
        <is>
          <t>판매시설</t>
        </is>
      </c>
      <c r="Z857" s="3" t="inlineStr">
        <is>
          <t>-m</t>
        </is>
      </c>
      <c r="AA857" s="3" t="inlineStr">
        <is>
          <t>2021-08-20</t>
        </is>
      </c>
    </row>
    <row r="858">
      <c r="A858" s="3" t="inlineStr">
        <is>
          <t>세종특별자치시 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HYPERLINK("https://map.naver.com/p/search/세종특별자치시 나성동 829", "지도Link")</f>
        <v/>
      </c>
      <c r="S858" s="6">
        <f>HYPERLINK("http://www.eum.go.kr/web/ar/lu/luLandDet.jsp?pnu=3611010700108290000&amp;isNoScr=script&amp;mode=search", "토지이음")</f>
        <v/>
      </c>
      <c r="T858" s="3" t="inlineStr">
        <is>
          <t>성지</t>
        </is>
      </c>
      <c r="U858" s="3" t="n">
        <v>1</v>
      </c>
      <c r="V858" s="3" t="inlineStr">
        <is>
          <t>공동주택 관리사무소</t>
        </is>
      </c>
      <c r="W858" s="4" t="n">
        <v>165</v>
      </c>
      <c r="X858" s="3" t="inlineStr">
        <is>
          <t>철근콘크리트구조</t>
        </is>
      </c>
      <c r="Y858" s="3" t="inlineStr">
        <is>
          <t>공동주택</t>
        </is>
      </c>
      <c r="Z858" s="3" t="inlineStr">
        <is>
          <t>-m</t>
        </is>
      </c>
      <c r="AA858" s="3" t="inlineStr">
        <is>
          <t>2021-08-20</t>
        </is>
      </c>
    </row>
    <row r="859">
      <c r="A859" s="3" t="inlineStr">
        <is>
          <t>세종특별자치시 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HYPERLINK("https://map.naver.com/p/search/세종특별자치시 나성동 829", "지도Link")</f>
        <v/>
      </c>
      <c r="S859" s="6">
        <f>HYPERLINK("http://www.eum.go.kr/web/ar/lu/luLandDet.jsp?pnu=3611010700108290000&amp;isNoScr=script&amp;mode=search", "토지이음")</f>
        <v/>
      </c>
      <c r="T859" s="3" t="inlineStr">
        <is>
          <t>OK허니</t>
        </is>
      </c>
      <c r="U859" s="3" t="n">
        <v>1</v>
      </c>
      <c r="V859" s="3" t="inlineStr">
        <is>
          <t>801</t>
        </is>
      </c>
      <c r="W859" s="4" t="n">
        <v>330</v>
      </c>
      <c r="X859" s="3" t="inlineStr">
        <is>
          <t>철근콘크리트구조</t>
        </is>
      </c>
      <c r="Y859" s="3" t="inlineStr">
        <is>
          <t>제2종근린생활시설</t>
        </is>
      </c>
      <c r="Z859" s="3" t="inlineStr">
        <is>
          <t>-m</t>
        </is>
      </c>
      <c r="AA859" s="3" t="inlineStr">
        <is>
          <t>2021-08-20</t>
        </is>
      </c>
    </row>
    <row r="860">
      <c r="A860" s="3" t="inlineStr">
        <is>
          <t>세종특별자치시 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HYPERLINK("https://map.naver.com/p/search/세종특별자치시 나성동 829", "지도Link")</f>
        <v/>
      </c>
      <c r="S860" s="6">
        <f>HYPERLINK("http://www.eum.go.kr/web/ar/lu/luLandDet.jsp?pnu=3611010700108290000&amp;isNoScr=script&amp;mode=search", "토지이음")</f>
        <v/>
      </c>
      <c r="T860" s="3" t="inlineStr">
        <is>
          <t>OK허니</t>
        </is>
      </c>
      <c r="U860" s="3" t="n">
        <v>1</v>
      </c>
      <c r="V860" s="3" t="inlineStr">
        <is>
          <t>801</t>
        </is>
      </c>
      <c r="W860" s="4" t="n">
        <v>330</v>
      </c>
      <c r="X860" s="3" t="inlineStr">
        <is>
          <t>철근콘크리트구조</t>
        </is>
      </c>
      <c r="Y860" s="3" t="inlineStr">
        <is>
          <t>제2종근린생활시설</t>
        </is>
      </c>
      <c r="Z860" s="3" t="inlineStr">
        <is>
          <t>-m</t>
        </is>
      </c>
      <c r="AA860" s="3" t="inlineStr">
        <is>
          <t>2021-08-20</t>
        </is>
      </c>
    </row>
    <row r="861">
      <c r="A861" s="3" t="inlineStr">
        <is>
          <t>세종특별자치시 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HYPERLINK("https://map.naver.com/p/search/세종특별자치시 나성동 829", "지도Link")</f>
        <v/>
      </c>
      <c r="S861" s="6">
        <f>HYPERLINK("http://www.eum.go.kr/web/ar/lu/luLandDet.jsp?pnu=3611010700108290000&amp;isNoScr=script&amp;mode=search", "토지이음")</f>
        <v/>
      </c>
      <c r="T861" s="3" t="inlineStr">
        <is>
          <t>삼익</t>
        </is>
      </c>
      <c r="U861" s="3" t="n">
        <v>1</v>
      </c>
      <c r="V861" s="3" t="inlineStr">
        <is>
          <t>605</t>
        </is>
      </c>
      <c r="W861" s="4" t="n">
        <v>1443</v>
      </c>
      <c r="X861" s="3" t="inlineStr">
        <is>
          <t>철근콘크리트구조</t>
        </is>
      </c>
      <c r="Y861" s="3" t="inlineStr">
        <is>
          <t>공동주택</t>
        </is>
      </c>
      <c r="Z861" s="3" t="inlineStr">
        <is>
          <t>45.30m</t>
        </is>
      </c>
      <c r="AA861" s="3" t="inlineStr">
        <is>
          <t>2021-08-20</t>
        </is>
      </c>
    </row>
    <row r="862">
      <c r="A862" s="3" t="inlineStr">
        <is>
          <t>세종특별자치시 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HYPERLINK("https://map.naver.com/p/search/세종특별자치시 나성동 829", "지도Link")</f>
        <v/>
      </c>
      <c r="S862" s="6">
        <f>HYPERLINK("http://www.eum.go.kr/web/ar/lu/luLandDet.jsp?pnu=3611010700108290000&amp;isNoScr=script&amp;mode=search", "토지이음")</f>
        <v/>
      </c>
      <c r="T862" s="3" t="inlineStr">
        <is>
          <t>KS</t>
        </is>
      </c>
      <c r="U862" s="3" t="n">
        <v>1</v>
      </c>
      <c r="V862" s="3" t="inlineStr">
        <is>
          <t>전망공간 기계실</t>
        </is>
      </c>
      <c r="W862" s="4" t="n">
        <v>494</v>
      </c>
      <c r="X862" s="3" t="inlineStr">
        <is>
          <t>철근콘크리트구조</t>
        </is>
      </c>
      <c r="Y862" s="3" t="inlineStr">
        <is>
          <t>제2종근린생활시설</t>
        </is>
      </c>
      <c r="Z862" s="3" t="inlineStr">
        <is>
          <t>-m</t>
        </is>
      </c>
      <c r="AA862" s="3" t="inlineStr">
        <is>
          <t>2021-08-20</t>
        </is>
      </c>
    </row>
    <row r="863">
      <c r="A863" s="3" t="inlineStr">
        <is>
          <t>세종특별자치시 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HYPERLINK("https://map.naver.com/p/search/세종특별자치시 나성동 829", "지도Link")</f>
        <v/>
      </c>
      <c r="S863" s="6">
        <f>HYPERLINK("http://www.eum.go.kr/web/ar/lu/luLandDet.jsp?pnu=3611010700108290000&amp;isNoScr=script&amp;mode=search", "토지이음")</f>
        <v/>
      </c>
      <c r="T863" s="3" t="inlineStr">
        <is>
          <t>국제</t>
        </is>
      </c>
      <c r="U863" s="3" t="n">
        <v>1</v>
      </c>
      <c r="V863" s="3" t="inlineStr">
        <is>
          <t>605</t>
        </is>
      </c>
      <c r="W863" s="4" t="n">
        <v>1157</v>
      </c>
      <c r="X863" s="3" t="inlineStr">
        <is>
          <t>철근콘크리트구조</t>
        </is>
      </c>
      <c r="Y863" s="3" t="inlineStr">
        <is>
          <t>공동주택</t>
        </is>
      </c>
      <c r="Z863" s="3" t="inlineStr">
        <is>
          <t>45.30m</t>
        </is>
      </c>
      <c r="AA863" s="3" t="inlineStr">
        <is>
          <t>2021-08-20</t>
        </is>
      </c>
    </row>
    <row r="864">
      <c r="A864" s="3" t="inlineStr">
        <is>
          <t>세종특별자치시 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HYPERLINK("https://map.naver.com/p/search/세종특별자치시 나성동 829", "지도Link")</f>
        <v/>
      </c>
      <c r="S864" s="6">
        <f>HYPERLINK("http://www.eum.go.kr/web/ar/lu/luLandDet.jsp?pnu=3611010700108290000&amp;isNoScr=script&amp;mode=search", "토지이음")</f>
        <v/>
      </c>
      <c r="T864" s="3" t="inlineStr">
        <is>
          <t>대명</t>
        </is>
      </c>
      <c r="U864" s="3" t="n">
        <v>1</v>
      </c>
      <c r="V864" s="3" t="inlineStr">
        <is>
          <t>803</t>
        </is>
      </c>
      <c r="W864" s="4" t="n">
        <v>715</v>
      </c>
      <c r="X864" s="3" t="inlineStr">
        <is>
          <t>철근콘크리트구조</t>
        </is>
      </c>
      <c r="Y864" s="3" t="inlineStr">
        <is>
          <t>제2종근린생활시설</t>
        </is>
      </c>
      <c r="Z864" s="3" t="inlineStr">
        <is>
          <t>-m</t>
        </is>
      </c>
      <c r="AA864" s="3" t="inlineStr">
        <is>
          <t>2021-08-20</t>
        </is>
      </c>
    </row>
    <row r="865">
      <c r="A865" s="3" t="inlineStr">
        <is>
          <t>세종특별자치시 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HYPERLINK("https://map.naver.com/p/search/세종특별자치시 나성동 829", "지도Link")</f>
        <v/>
      </c>
      <c r="S865" s="6">
        <f>HYPERLINK("http://www.eum.go.kr/web/ar/lu/luLandDet.jsp?pnu=3611010700108290000&amp;isNoScr=script&amp;mode=search", "토지이음")</f>
        <v/>
      </c>
      <c r="T865" s="3" t="inlineStr">
        <is>
          <t>산업</t>
        </is>
      </c>
      <c r="U865" s="3" t="n">
        <v>1</v>
      </c>
      <c r="V865" s="3" t="inlineStr">
        <is>
          <t>605</t>
        </is>
      </c>
      <c r="W865" s="4" t="n">
        <v>1300</v>
      </c>
      <c r="X865" s="3" t="inlineStr">
        <is>
          <t>철근콘크리트구조</t>
        </is>
      </c>
      <c r="Y865" s="3" t="inlineStr">
        <is>
          <t>공동주택</t>
        </is>
      </c>
      <c r="Z865" s="3" t="inlineStr">
        <is>
          <t>45.30m</t>
        </is>
      </c>
      <c r="AA865" s="3" t="inlineStr">
        <is>
          <t>2021-08-20</t>
        </is>
      </c>
    </row>
    <row r="866">
      <c r="A866" s="3" t="inlineStr">
        <is>
          <t>세종특별자치시 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HYPERLINK("https://map.naver.com/p/search/세종특별자치시 나성동 829", "지도Link")</f>
        <v/>
      </c>
      <c r="S866" s="6">
        <f>HYPERLINK("http://www.eum.go.kr/web/ar/lu/luLandDet.jsp?pnu=3611010700108290000&amp;isNoScr=script&amp;mode=search", "토지이음")</f>
        <v/>
      </c>
      <c r="T866" s="3" t="inlineStr">
        <is>
          <t>가온비즈타워</t>
        </is>
      </c>
      <c r="U866" s="3" t="n">
        <v>1</v>
      </c>
      <c r="V866" s="3" t="inlineStr">
        <is>
          <t>803</t>
        </is>
      </c>
      <c r="W866" s="4" t="n">
        <v>721</v>
      </c>
      <c r="X866" s="3" t="inlineStr">
        <is>
          <t>철근콘크리트구조</t>
        </is>
      </c>
      <c r="Y866" s="3" t="inlineStr">
        <is>
          <t>제2종근린생활시설</t>
        </is>
      </c>
      <c r="Z866" s="3" t="inlineStr">
        <is>
          <t>-m</t>
        </is>
      </c>
      <c r="AA866" s="3" t="inlineStr">
        <is>
          <t>2021-08-20</t>
        </is>
      </c>
    </row>
    <row r="867">
      <c r="A867" s="3" t="inlineStr">
        <is>
          <t>세종특별자치시 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HYPERLINK("https://map.naver.com/p/search/세종특별자치시 나성동 829", "지도Link")</f>
        <v/>
      </c>
      <c r="S867" s="6">
        <f>HYPERLINK("http://www.eum.go.kr/web/ar/lu/luLandDet.jsp?pnu=3611010700108290000&amp;isNoScr=script&amp;mode=search", "토지이음")</f>
        <v/>
      </c>
      <c r="T867" s="3" t="inlineStr">
        <is>
          <t>더행복</t>
        </is>
      </c>
      <c r="U867" s="3" t="n">
        <v>1</v>
      </c>
      <c r="V867" s="3" t="inlineStr">
        <is>
          <t>공동주택 연결통로</t>
        </is>
      </c>
      <c r="W867" s="4" t="n">
        <v>98</v>
      </c>
      <c r="X867" s="3" t="inlineStr">
        <is>
          <t>철근콘크리트구조</t>
        </is>
      </c>
      <c r="Y867" s="3" t="inlineStr">
        <is>
          <t>공동주택</t>
        </is>
      </c>
      <c r="Z867" s="3" t="inlineStr">
        <is>
          <t>-m</t>
        </is>
      </c>
      <c r="AA867" s="3" t="inlineStr">
        <is>
          <t>2021-08-20</t>
        </is>
      </c>
    </row>
    <row r="868">
      <c r="A868" s="3" t="inlineStr">
        <is>
          <t>세종특별자치시 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HYPERLINK("https://map.naver.com/p/search/세종특별자치시 나성동 829", "지도Link")</f>
        <v/>
      </c>
      <c r="S868" s="6">
        <f>HYPERLINK("http://www.eum.go.kr/web/ar/lu/luLandDet.jsp?pnu=3611010700108290000&amp;isNoScr=script&amp;mode=search", "토지이음")</f>
        <v/>
      </c>
      <c r="T868" s="3" t="inlineStr">
        <is>
          <t>제이파크</t>
        </is>
      </c>
      <c r="U868" s="3" t="n">
        <v>1</v>
      </c>
      <c r="V868" s="3" t="inlineStr">
        <is>
          <t>전망공간 기계실</t>
        </is>
      </c>
      <c r="W868" s="4" t="n">
        <v>363</v>
      </c>
      <c r="X868" s="3" t="inlineStr">
        <is>
          <t>철근콘크리트구조</t>
        </is>
      </c>
      <c r="Y868" s="3" t="inlineStr">
        <is>
          <t>제2종근린생활시설</t>
        </is>
      </c>
      <c r="Z868" s="3" t="inlineStr">
        <is>
          <t>-m</t>
        </is>
      </c>
      <c r="AA868" s="3" t="inlineStr">
        <is>
          <t>2021-08-20</t>
        </is>
      </c>
    </row>
    <row r="869">
      <c r="A869" s="3" t="inlineStr">
        <is>
          <t>세종특별자치시 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HYPERLINK("https://map.naver.com/p/search/세종특별자치시 나성동 829", "지도Link")</f>
        <v/>
      </c>
      <c r="S869" s="6">
        <f>HYPERLINK("http://www.eum.go.kr/web/ar/lu/luLandDet.jsp?pnu=3611010700108290000&amp;isNoScr=script&amp;mode=search", "토지이음")</f>
        <v/>
      </c>
      <c r="T869" s="3" t="inlineStr">
        <is>
          <t>더행복</t>
        </is>
      </c>
      <c r="U869" s="3" t="n">
        <v>1</v>
      </c>
      <c r="V869" s="3" t="inlineStr">
        <is>
          <t>전망공간 기계실</t>
        </is>
      </c>
      <c r="W869" s="4" t="n">
        <v>363</v>
      </c>
      <c r="X869" s="3" t="inlineStr">
        <is>
          <t>철근콘크리트구조</t>
        </is>
      </c>
      <c r="Y869" s="3" t="inlineStr">
        <is>
          <t>제2종근린생활시설</t>
        </is>
      </c>
      <c r="Z869" s="3" t="inlineStr">
        <is>
          <t>-m</t>
        </is>
      </c>
      <c r="AA869" s="3" t="inlineStr">
        <is>
          <t>2021-08-20</t>
        </is>
      </c>
    </row>
    <row r="870">
      <c r="A870" s="3" t="inlineStr">
        <is>
          <t>세종특별자치시 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HYPERLINK("https://map.naver.com/p/search/세종특별자치시 나성동 829", "지도Link")</f>
        <v/>
      </c>
      <c r="S870" s="6">
        <f>HYPERLINK("http://www.eum.go.kr/web/ar/lu/luLandDet.jsp?pnu=3611010700108290000&amp;isNoScr=script&amp;mode=search", "토지이음")</f>
        <v/>
      </c>
      <c r="T870" s="3" t="inlineStr">
        <is>
          <t>뉴재벌</t>
        </is>
      </c>
      <c r="U870" s="3" t="n">
        <v>1</v>
      </c>
      <c r="V870" s="3" t="inlineStr">
        <is>
          <t>공동주택 주민공동시설</t>
        </is>
      </c>
      <c r="W870" s="4" t="n">
        <v>200</v>
      </c>
      <c r="X870" s="3" t="inlineStr">
        <is>
          <t>철근콘크리트구조</t>
        </is>
      </c>
      <c r="Y870" s="3" t="inlineStr">
        <is>
          <t>공동주택</t>
        </is>
      </c>
      <c r="Z870" s="3" t="inlineStr">
        <is>
          <t>-m</t>
        </is>
      </c>
      <c r="AA870" s="3" t="inlineStr">
        <is>
          <t>2021-08-20</t>
        </is>
      </c>
    </row>
    <row r="871">
      <c r="A871" s="3" t="inlineStr">
        <is>
          <t>세종특별자치시 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HYPERLINK("https://map.naver.com/p/search/세종특별자치시 나성동 829", "지도Link")</f>
        <v/>
      </c>
      <c r="S871" s="6">
        <f>HYPERLINK("http://www.eum.go.kr/web/ar/lu/luLandDet.jsp?pnu=3611010700108290000&amp;isNoScr=script&amp;mode=search", "토지이음")</f>
        <v/>
      </c>
      <c r="T871" s="3" t="inlineStr">
        <is>
          <t>지구촌</t>
        </is>
      </c>
      <c r="U871" s="3" t="n">
        <v>1</v>
      </c>
      <c r="V871" s="3" t="inlineStr">
        <is>
          <t>공동주택 주민공동시설</t>
        </is>
      </c>
      <c r="W871" s="4" t="n">
        <v>198</v>
      </c>
      <c r="X871" s="3" t="inlineStr">
        <is>
          <t>철근콘크리트구조</t>
        </is>
      </c>
      <c r="Y871" s="3" t="inlineStr">
        <is>
          <t>공동주택</t>
        </is>
      </c>
      <c r="Z871" s="3" t="inlineStr">
        <is>
          <t>-m</t>
        </is>
      </c>
      <c r="AA871" s="3" t="inlineStr">
        <is>
          <t>2021-08-20</t>
        </is>
      </c>
    </row>
    <row r="872">
      <c r="A872" s="3" t="inlineStr">
        <is>
          <t>세종특별자치시 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HYPERLINK("https://map.naver.com/p/search/세종특별자치시 나성동 829", "지도Link")</f>
        <v/>
      </c>
      <c r="S872" s="6">
        <f>HYPERLINK("http://www.eum.go.kr/web/ar/lu/luLandDet.jsp?pnu=3611010700108290000&amp;isNoScr=script&amp;mode=search", "토지이음")</f>
        <v/>
      </c>
      <c r="T872" s="3" t="inlineStr">
        <is>
          <t>지구촌</t>
        </is>
      </c>
      <c r="U872" s="3" t="n">
        <v>1</v>
      </c>
      <c r="V872" s="3" t="inlineStr">
        <is>
          <t>공동주택 주민공동시설</t>
        </is>
      </c>
      <c r="W872" s="4" t="n">
        <v>214</v>
      </c>
      <c r="X872" s="3" t="inlineStr">
        <is>
          <t>철근콘크리트구조</t>
        </is>
      </c>
      <c r="Y872" s="3" t="inlineStr">
        <is>
          <t>공동주택</t>
        </is>
      </c>
      <c r="Z872" s="3" t="inlineStr">
        <is>
          <t>-m</t>
        </is>
      </c>
      <c r="AA872" s="3" t="inlineStr">
        <is>
          <t>2021-08-20</t>
        </is>
      </c>
    </row>
    <row r="873">
      <c r="A873" s="3" t="inlineStr">
        <is>
          <t>세종특별자치시 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HYPERLINK("https://map.naver.com/p/search/세종특별자치시 나성동 829", "지도Link")</f>
        <v/>
      </c>
      <c r="S873" s="6">
        <f>HYPERLINK("http://www.eum.go.kr/web/ar/lu/luLandDet.jsp?pnu=3611010700108290000&amp;isNoScr=script&amp;mode=search", "토지이음")</f>
        <v/>
      </c>
      <c r="T873" s="3" t="inlineStr">
        <is>
          <t>왕중왕기업</t>
        </is>
      </c>
      <c r="U873" s="3" t="n">
        <v>1</v>
      </c>
      <c r="V873" s="3" t="inlineStr">
        <is>
          <t>803</t>
        </is>
      </c>
      <c r="W873" s="4" t="n">
        <v>709</v>
      </c>
      <c r="X873" s="3" t="inlineStr">
        <is>
          <t>철근콘크리트구조</t>
        </is>
      </c>
      <c r="Y873" s="3" t="inlineStr">
        <is>
          <t>제2종근린생활시설</t>
        </is>
      </c>
      <c r="Z873" s="3" t="inlineStr">
        <is>
          <t>-m</t>
        </is>
      </c>
      <c r="AA873" s="3" t="inlineStr">
        <is>
          <t>2021-08-20</t>
        </is>
      </c>
    </row>
    <row r="874">
      <c r="A874" s="3" t="inlineStr">
        <is>
          <t>세종특별자치시 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HYPERLINK("https://map.naver.com/p/search/세종특별자치시 나성동 829", "지도Link")</f>
        <v/>
      </c>
      <c r="S874" s="6">
        <f>HYPERLINK("http://www.eum.go.kr/web/ar/lu/luLandDet.jsp?pnu=3611010700108290000&amp;isNoScr=script&amp;mode=search", "토지이음")</f>
        <v/>
      </c>
      <c r="T874" s="3" t="inlineStr">
        <is>
          <t>미래로</t>
        </is>
      </c>
      <c r="U874" s="3" t="n">
        <v>1</v>
      </c>
      <c r="V874" s="3" t="inlineStr">
        <is>
          <t>803</t>
        </is>
      </c>
      <c r="W874" s="4" t="n">
        <v>698</v>
      </c>
      <c r="X874" s="3" t="inlineStr">
        <is>
          <t>철근콘크리트구조</t>
        </is>
      </c>
      <c r="Y874" s="3" t="inlineStr">
        <is>
          <t>제2종근린생활시설</t>
        </is>
      </c>
      <c r="Z874" s="3" t="inlineStr">
        <is>
          <t>-m</t>
        </is>
      </c>
      <c r="AA874" s="3" t="inlineStr">
        <is>
          <t>2021-08-20</t>
        </is>
      </c>
    </row>
    <row r="875">
      <c r="A875" s="3" t="inlineStr">
        <is>
          <t>세종특별자치시 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HYPERLINK("https://map.naver.com/p/search/세종특별자치시 나성동 829", "지도Link")</f>
        <v/>
      </c>
      <c r="S875" s="6">
        <f>HYPERLINK("http://www.eum.go.kr/web/ar/lu/luLandDet.jsp?pnu=3611010700108290000&amp;isNoScr=script&amp;mode=search", "토지이음")</f>
        <v/>
      </c>
      <c r="T875" s="3" t="inlineStr">
        <is>
          <t>학하랜드</t>
        </is>
      </c>
      <c r="U875" s="3" t="n">
        <v>1</v>
      </c>
      <c r="V875" s="3" t="inlineStr">
        <is>
          <t>공동주택 전기,발전기실</t>
        </is>
      </c>
      <c r="W875" s="4" t="n">
        <v>286</v>
      </c>
      <c r="X875" s="3" t="inlineStr">
        <is>
          <t>철근콘크리트구조</t>
        </is>
      </c>
      <c r="Y875" s="3" t="inlineStr">
        <is>
          <t>공동주택</t>
        </is>
      </c>
      <c r="Z875" s="3" t="inlineStr">
        <is>
          <t>-m</t>
        </is>
      </c>
      <c r="AA875" s="3" t="inlineStr">
        <is>
          <t>2021-08-20</t>
        </is>
      </c>
    </row>
    <row r="876">
      <c r="A876" s="3" t="inlineStr">
        <is>
          <t>세종특별자치시 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HYPERLINK("https://map.naver.com/p/search/세종특별자치시 나성동 829", "지도Link")</f>
        <v/>
      </c>
      <c r="S876" s="6">
        <f>HYPERLINK("http://www.eum.go.kr/web/ar/lu/luLandDet.jsp?pnu=3611010700108290000&amp;isNoScr=script&amp;mode=search", "토지이음")</f>
        <v/>
      </c>
      <c r="T876" s="3" t="inlineStr">
        <is>
          <t>학하랜드</t>
        </is>
      </c>
      <c r="U876" s="3" t="n">
        <v>1</v>
      </c>
      <c r="V876" s="3" t="inlineStr">
        <is>
          <t>801</t>
        </is>
      </c>
      <c r="W876" s="4" t="n">
        <v>353</v>
      </c>
      <c r="X876" s="3" t="inlineStr">
        <is>
          <t>철근콘크리트구조</t>
        </is>
      </c>
      <c r="Y876" s="3" t="inlineStr">
        <is>
          <t>제2종근린생활시설</t>
        </is>
      </c>
      <c r="Z876" s="3" t="inlineStr">
        <is>
          <t>-m</t>
        </is>
      </c>
      <c r="AA876" s="3" t="inlineStr">
        <is>
          <t>2021-08-20</t>
        </is>
      </c>
    </row>
    <row r="877">
      <c r="A877" s="3" t="inlineStr">
        <is>
          <t>세종특별자치시 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HYPERLINK("https://map.naver.com/p/search/세종특별자치시 나성동 829", "지도Link")</f>
        <v/>
      </c>
      <c r="S877" s="6">
        <f>HYPERLINK("http://www.eum.go.kr/web/ar/lu/luLandDet.jsp?pnu=3611010700108290000&amp;isNoScr=script&amp;mode=search", "토지이음")</f>
        <v/>
      </c>
      <c r="T877" s="3" t="inlineStr">
        <is>
          <t>가경</t>
        </is>
      </c>
      <c r="U877" s="3" t="n">
        <v>1</v>
      </c>
      <c r="V877" s="3" t="inlineStr">
        <is>
          <t>판매시설 지하주차장</t>
        </is>
      </c>
      <c r="W877" s="4" t="n">
        <v>130</v>
      </c>
      <c r="X877" s="3" t="inlineStr">
        <is>
          <t>철근콘크리트구조</t>
        </is>
      </c>
      <c r="Y877" s="3" t="inlineStr">
        <is>
          <t>판매시설</t>
        </is>
      </c>
      <c r="Z877" s="3" t="inlineStr">
        <is>
          <t>-m</t>
        </is>
      </c>
      <c r="AA877" s="3" t="inlineStr">
        <is>
          <t>2021-08-20</t>
        </is>
      </c>
    </row>
    <row r="878">
      <c r="A878" s="3" t="inlineStr">
        <is>
          <t>세종특별자치시 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HYPERLINK("https://map.naver.com/p/search/세종특별자치시 나성동 829", "지도Link")</f>
        <v/>
      </c>
      <c r="S878" s="6">
        <f>HYPERLINK("http://www.eum.go.kr/web/ar/lu/luLandDet.jsp?pnu=3611010700108290000&amp;isNoScr=script&amp;mode=search", "토지이음")</f>
        <v/>
      </c>
      <c r="T878" s="3" t="inlineStr">
        <is>
          <t>드리움행운</t>
        </is>
      </c>
      <c r="U878" s="3" t="n">
        <v>1</v>
      </c>
      <c r="V878" s="3" t="inlineStr">
        <is>
          <t>공동주택 보육시설</t>
        </is>
      </c>
      <c r="W878" s="4" t="n">
        <v>256</v>
      </c>
      <c r="X878" s="3" t="inlineStr">
        <is>
          <t>철근콘크리트구조</t>
        </is>
      </c>
      <c r="Y878" s="3" t="inlineStr">
        <is>
          <t>공동주택</t>
        </is>
      </c>
      <c r="Z878" s="3" t="inlineStr">
        <is>
          <t>-m</t>
        </is>
      </c>
      <c r="AA878" s="3" t="inlineStr">
        <is>
          <t>2021-08-20</t>
        </is>
      </c>
    </row>
    <row r="879">
      <c r="A879" s="3" t="inlineStr">
        <is>
          <t>세종특별자치시 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HYPERLINK("https://map.naver.com/p/search/세종특별자치시 나성동 829", "지도Link")</f>
        <v/>
      </c>
      <c r="S879" s="6">
        <f>HYPERLINK("http://www.eum.go.kr/web/ar/lu/luLandDet.jsp?pnu=3611010700108290000&amp;isNoScr=script&amp;mode=search", "토지이음")</f>
        <v/>
      </c>
      <c r="T879" s="3" t="inlineStr">
        <is>
          <t>미래로</t>
        </is>
      </c>
      <c r="U879" s="3" t="n">
        <v>1</v>
      </c>
      <c r="V879" s="3" t="inlineStr">
        <is>
          <t>803</t>
        </is>
      </c>
      <c r="W879" s="4" t="n">
        <v>593</v>
      </c>
      <c r="X879" s="3" t="inlineStr">
        <is>
          <t>철근콘크리트구조</t>
        </is>
      </c>
      <c r="Y879" s="3" t="inlineStr">
        <is>
          <t>제2종근린생활시설</t>
        </is>
      </c>
      <c r="Z879" s="3" t="inlineStr">
        <is>
          <t>-m</t>
        </is>
      </c>
      <c r="AA879" s="3" t="inlineStr">
        <is>
          <t>2021-08-20</t>
        </is>
      </c>
    </row>
    <row r="880">
      <c r="A880" s="3" t="inlineStr">
        <is>
          <t>세종특별자치시 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HYPERLINK("https://map.naver.com/p/search/세종특별자치시 나성동 829", "지도Link")</f>
        <v/>
      </c>
      <c r="S880" s="6">
        <f>HYPERLINK("http://www.eum.go.kr/web/ar/lu/luLandDet.jsp?pnu=3611010700108290000&amp;isNoScr=script&amp;mode=search", "토지이음")</f>
        <v/>
      </c>
      <c r="T880" s="3" t="inlineStr">
        <is>
          <t>OK허니</t>
        </is>
      </c>
      <c r="U880" s="3" t="n">
        <v>1</v>
      </c>
      <c r="V880" s="3" t="inlineStr">
        <is>
          <t>전망공간 기계실</t>
        </is>
      </c>
      <c r="W880" s="4" t="n">
        <v>429</v>
      </c>
      <c r="X880" s="3" t="inlineStr">
        <is>
          <t>철근콘크리트구조</t>
        </is>
      </c>
      <c r="Y880" s="3" t="inlineStr">
        <is>
          <t>제2종근린생활시설</t>
        </is>
      </c>
      <c r="Z880" s="3" t="inlineStr">
        <is>
          <t>-m</t>
        </is>
      </c>
      <c r="AA880" s="3" t="inlineStr">
        <is>
          <t>2021-08-20</t>
        </is>
      </c>
    </row>
    <row r="881">
      <c r="A881" s="3" t="inlineStr">
        <is>
          <t>세종특별자치시 나성동 829</t>
        </is>
      </c>
      <c r="B881" s="3" t="inlineStr">
        <is>
          <t>중심상업지역</t>
        </is>
      </c>
      <c r="C881" s="3" t="inlineStr">
        <is>
          <t>대</t>
        </is>
      </c>
      <c r="D881" s="3" t="inlineStr">
        <is>
          <t>창고</t>
        </is>
      </c>
      <c r="E881" s="3" t="inlineStr">
        <is>
          <t>월세</t>
        </is>
      </c>
      <c r="F881" s="4" t="n">
        <v>2000</v>
      </c>
      <c r="G881" s="4" t="n">
        <v>120</v>
      </c>
      <c r="H881" s="4" t="n">
        <v>1600</v>
      </c>
      <c r="I881" s="4" t="n">
        <v>484</v>
      </c>
      <c r="J881" s="5" t="n">
        <v>0.2</v>
      </c>
      <c r="K881" s="4" t="n">
        <v>256</v>
      </c>
      <c r="L881" s="4" t="n">
        <v>77</v>
      </c>
      <c r="M881" s="5" t="n">
        <v>1.6</v>
      </c>
      <c r="N881" s="3" t="inlineStr">
        <is>
          <t>1</t>
        </is>
      </c>
      <c r="O881" s="3" t="inlineStr">
        <is>
          <t>-</t>
        </is>
      </c>
      <c r="P881" s="3" t="inlineStr">
        <is>
          <t>농수산물 가공 가능한 창고</t>
        </is>
      </c>
      <c r="Q881" s="6">
        <f>HYPERLINK("https://fin.land.naver.com/articles/2644001805", "매물Link")</f>
        <v/>
      </c>
      <c r="R881" s="6">
        <f>HYPERLINK("https://map.naver.com/p/search/세종특별자치시 나성동 829", "지도Link")</f>
        <v/>
      </c>
      <c r="S881" s="6">
        <f>HYPERLINK("http://www.eum.go.kr/web/ar/lu/luLandDet.jsp?pnu=3611010700108290000&amp;isNoScr=script&amp;mode=search", "토지이음")</f>
        <v/>
      </c>
      <c r="T881" s="3" t="inlineStr">
        <is>
          <t>새땅</t>
        </is>
      </c>
      <c r="U881" s="3" t="n">
        <v>1</v>
      </c>
      <c r="V881" s="3" t="inlineStr">
        <is>
          <t>공동주택 보육시설</t>
        </is>
      </c>
      <c r="W881" s="4" t="n">
        <v>256</v>
      </c>
      <c r="X881" s="3" t="inlineStr">
        <is>
          <t>철근콘크리트구조</t>
        </is>
      </c>
      <c r="Y881" s="3" t="inlineStr">
        <is>
          <t>공동주택</t>
        </is>
      </c>
      <c r="Z881" s="3" t="inlineStr">
        <is>
          <t>-m</t>
        </is>
      </c>
      <c r="AA881" s="3" t="inlineStr">
        <is>
          <t>2021-08-20</t>
        </is>
      </c>
    </row>
    <row r="882">
      <c r="A882" s="3" t="inlineStr">
        <is>
          <t>세종특별자치시 나성동 829</t>
        </is>
      </c>
      <c r="B882" s="3" t="inlineStr">
        <is>
          <t>중심상업지역</t>
        </is>
      </c>
      <c r="C882" s="3" t="inlineStr">
        <is>
          <t>대</t>
        </is>
      </c>
      <c r="D882" s="3" t="inlineStr">
        <is>
          <t>공장</t>
        </is>
      </c>
      <c r="E882" s="3" t="inlineStr">
        <is>
          <t>매매</t>
        </is>
      </c>
      <c r="F882" s="4" t="n">
        <v>182000</v>
      </c>
      <c r="G882" s="4" t="n">
        <v>0</v>
      </c>
      <c r="H882" s="4" t="n">
        <v>631</v>
      </c>
      <c r="I882" s="4" t="n">
        <v>191</v>
      </c>
      <c r="J882" s="5" t="n">
        <v>952.9</v>
      </c>
      <c r="K882" s="4" t="n">
        <v>343</v>
      </c>
      <c r="L882" s="4" t="n">
        <v>104</v>
      </c>
      <c r="M882" s="5" t="n">
        <v>1750</v>
      </c>
      <c r="N882" s="3" t="inlineStr">
        <is>
          <t>1</t>
        </is>
      </c>
      <c r="O882" s="3" t="inlineStr">
        <is>
          <t>B1</t>
        </is>
      </c>
      <c r="P882" s="3" t="inlineStr">
        <is>
          <t>탄방동 창고와 대지 매매</t>
        </is>
      </c>
      <c r="Q882" s="6">
        <f>HYPERLINK("https://fin.land.naver.com/articles/2644679526", "매물Link")</f>
        <v/>
      </c>
      <c r="R882" s="6">
        <f>HYPERLINK("https://map.naver.com/p/search/세종특별자치시 나성동 829", "지도Link")</f>
        <v/>
      </c>
      <c r="S882" s="6">
        <f>HYPERLINK("http://www.eum.go.kr/web/ar/lu/luLandDet.jsp?pnu=3611010700108290000&amp;isNoScr=script&amp;mode=search", "토지이음")</f>
        <v/>
      </c>
      <c r="T882" s="3" t="inlineStr">
        <is>
          <t>대별</t>
        </is>
      </c>
      <c r="U882" s="3" t="n">
        <v>1</v>
      </c>
      <c r="V882" s="3" t="inlineStr">
        <is>
          <t>801</t>
        </is>
      </c>
      <c r="W882" s="4" t="n">
        <v>343</v>
      </c>
      <c r="X882" s="3" t="inlineStr">
        <is>
          <t>철근콘크리트구조</t>
        </is>
      </c>
      <c r="Y882" s="3" t="inlineStr">
        <is>
          <t>제2종근린생활시설</t>
        </is>
      </c>
      <c r="Z882" s="3" t="inlineStr">
        <is>
          <t>-m</t>
        </is>
      </c>
      <c r="AA882" s="3" t="inlineStr">
        <is>
          <t>2021-08-20</t>
        </is>
      </c>
    </row>
    <row r="883">
      <c r="A883" s="3" t="inlineStr">
        <is>
          <t>세종특별자치시 나성동 829</t>
        </is>
      </c>
      <c r="B883" s="3" t="inlineStr">
        <is>
          <t>중심상업지역</t>
        </is>
      </c>
      <c r="C883" s="3" t="inlineStr">
        <is>
          <t>대</t>
        </is>
      </c>
      <c r="D883" s="3" t="inlineStr">
        <is>
          <t>창고</t>
        </is>
      </c>
      <c r="E883" s="3" t="inlineStr">
        <is>
          <t>매매</t>
        </is>
      </c>
      <c r="F883" s="4" t="n">
        <v>1500000</v>
      </c>
      <c r="G883" s="4" t="n">
        <v>0</v>
      </c>
      <c r="H883" s="4" t="n">
        <v>17618</v>
      </c>
      <c r="I883" s="4" t="n">
        <v>5329</v>
      </c>
      <c r="J883" s="5" t="n">
        <v>281.5</v>
      </c>
      <c r="K883" s="4" t="n">
        <v>4986</v>
      </c>
      <c r="L883" s="4" t="n">
        <v>1508</v>
      </c>
      <c r="M883" s="5" t="n">
        <v>994.7</v>
      </c>
      <c r="N883" s="3" t="inlineStr">
        <is>
          <t>1</t>
        </is>
      </c>
      <c r="O883" s="3" t="inlineStr">
        <is>
          <t>-</t>
        </is>
      </c>
      <c r="P883" s="3" t="inlineStr">
        <is>
          <t>물류창고</t>
        </is>
      </c>
      <c r="Q883" s="6">
        <f>HYPERLINK("https://fin.land.naver.com/articles/2645408390", "매물Link")</f>
        <v/>
      </c>
      <c r="R883" s="6">
        <f>HYPERLINK("https://map.naver.com/p/search/세종특별자치시 나성동 829", "지도Link")</f>
        <v/>
      </c>
      <c r="S883" s="6">
        <f>HYPERLINK("http://www.eum.go.kr/web/ar/lu/luLandDet.jsp?pnu=3611010700108290000&amp;isNoScr=script&amp;mode=search", "토지이음")</f>
        <v/>
      </c>
      <c r="T883" s="3" t="inlineStr">
        <is>
          <t>운산</t>
        </is>
      </c>
      <c r="U883" s="3" t="n">
        <v>1</v>
      </c>
      <c r="V883" s="3" t="inlineStr">
        <is>
          <t>802</t>
        </is>
      </c>
      <c r="W883" s="4" t="n">
        <v>4986</v>
      </c>
      <c r="X883" s="3" t="inlineStr">
        <is>
          <t>철근콘크리트구조</t>
        </is>
      </c>
      <c r="Y883" s="3" t="inlineStr">
        <is>
          <t>제2종근린생활시설</t>
        </is>
      </c>
      <c r="Z883" s="3" t="inlineStr">
        <is>
          <t>-m</t>
        </is>
      </c>
      <c r="AA883" s="3" t="inlineStr">
        <is>
          <t>2021-08-20</t>
        </is>
      </c>
    </row>
    <row r="884">
      <c r="A884" s="3" t="inlineStr">
        <is>
          <t>세종특별자치시 나성동 829</t>
        </is>
      </c>
      <c r="B884" s="3" t="inlineStr">
        <is>
          <t>중심상업지역</t>
        </is>
      </c>
      <c r="C884" s="3" t="inlineStr">
        <is>
          <t>대</t>
        </is>
      </c>
      <c r="D884" s="3" t="inlineStr">
        <is>
          <t>창고</t>
        </is>
      </c>
      <c r="E884" s="3" t="inlineStr">
        <is>
          <t>매매</t>
        </is>
      </c>
      <c r="F884" s="4" t="n">
        <v>120000</v>
      </c>
      <c r="G884" s="4" t="n">
        <v>0</v>
      </c>
      <c r="H884" s="4" t="n">
        <v>621</v>
      </c>
      <c r="I884" s="4" t="n">
        <v>188</v>
      </c>
      <c r="J884" s="5" t="n">
        <v>638.3</v>
      </c>
      <c r="K884" s="4" t="n">
        <v>430</v>
      </c>
      <c r="L884" s="4" t="n">
        <v>130</v>
      </c>
      <c r="M884" s="5" t="n">
        <v>923.1</v>
      </c>
      <c r="N884" s="3" t="inlineStr">
        <is>
          <t>2</t>
        </is>
      </c>
      <c r="O884" s="3" t="inlineStr">
        <is>
          <t>-</t>
        </is>
      </c>
      <c r="P884" s="3" t="inlineStr">
        <is>
          <t>nan</t>
        </is>
      </c>
      <c r="Q884" s="6">
        <f>HYPERLINK("https://fin.land.naver.com/articles/2645117975", "매물Link")</f>
        <v/>
      </c>
      <c r="R884" s="6">
        <f>HYPERLINK("https://map.naver.com/p/search/세종특별자치시 나성동 829", "지도Link")</f>
        <v/>
      </c>
      <c r="S884" s="6">
        <f>HYPERLINK("http://www.eum.go.kr/web/ar/lu/luLandDet.jsp?pnu=3611010700108290000&amp;isNoScr=script&amp;mode=search", "토지이음")</f>
        <v/>
      </c>
      <c r="T884" s="3" t="inlineStr">
        <is>
          <t>신탄진다온</t>
        </is>
      </c>
      <c r="U884" s="3" t="n">
        <v>1</v>
      </c>
      <c r="V884" s="3" t="inlineStr">
        <is>
          <t>전망공간 기계실</t>
        </is>
      </c>
      <c r="W884" s="4" t="n">
        <v>430</v>
      </c>
      <c r="X884" s="3" t="inlineStr">
        <is>
          <t>철근콘크리트구조</t>
        </is>
      </c>
      <c r="Y884" s="3" t="inlineStr">
        <is>
          <t>제2종근린생활시설</t>
        </is>
      </c>
      <c r="Z884" s="3" t="inlineStr">
        <is>
          <t>-m</t>
        </is>
      </c>
      <c r="AA884" s="3" t="inlineStr">
        <is>
          <t>2021-08-20</t>
        </is>
      </c>
    </row>
    <row r="885">
      <c r="A885" s="3" t="inlineStr">
        <is>
          <t>세종특별자치시 나성동 829</t>
        </is>
      </c>
      <c r="B885" s="3" t="inlineStr">
        <is>
          <t>중심상업지역</t>
        </is>
      </c>
      <c r="C885" s="3" t="inlineStr">
        <is>
          <t>대</t>
        </is>
      </c>
      <c r="D885" s="3" t="inlineStr">
        <is>
          <t>공장</t>
        </is>
      </c>
      <c r="E885" s="3" t="inlineStr">
        <is>
          <t>매매</t>
        </is>
      </c>
      <c r="F885" s="4" t="n">
        <v>570000</v>
      </c>
      <c r="G885" s="4" t="n">
        <v>0</v>
      </c>
      <c r="H885" s="4" t="n">
        <v>8600</v>
      </c>
      <c r="I885" s="4" t="n">
        <v>2602</v>
      </c>
      <c r="J885" s="5" t="n">
        <v>219.1</v>
      </c>
      <c r="K885" s="4" t="n">
        <v>1793</v>
      </c>
      <c r="L885" s="4" t="n">
        <v>542</v>
      </c>
      <c r="M885" s="5" t="n">
        <v>1051.7</v>
      </c>
      <c r="N885" s="3" t="inlineStr">
        <is>
          <t>2</t>
        </is>
      </c>
      <c r="O885" s="3" t="inlineStr">
        <is>
          <t>-</t>
        </is>
      </c>
      <c r="P885" s="3" t="inlineStr">
        <is>
          <t>현도면행정복지센터에서 약 3km 인근 공장</t>
        </is>
      </c>
      <c r="Q885" s="6">
        <f>HYPERLINK("https://fin.land.naver.com/articles/2644778526", "매물Link")</f>
        <v/>
      </c>
      <c r="R885" s="6">
        <f>HYPERLINK("https://map.naver.com/p/search/세종특별자치시 나성동 829", "지도Link")</f>
        <v/>
      </c>
      <c r="S885" s="6">
        <f>HYPERLINK("http://www.eum.go.kr/web/ar/lu/luLandDet.jsp?pnu=3611010700108290000&amp;isNoScr=script&amp;mode=search", "토지이음")</f>
        <v/>
      </c>
      <c r="T885" s="3" t="inlineStr">
        <is>
          <t>태평</t>
        </is>
      </c>
      <c r="U885" s="3" t="n">
        <v>1</v>
      </c>
      <c r="V885" s="3" t="inlineStr">
        <is>
          <t>901(전망공간)</t>
        </is>
      </c>
      <c r="W885" s="4" t="n">
        <v>1793</v>
      </c>
      <c r="X885" s="3" t="inlineStr">
        <is>
          <t>철근콘크리트구조</t>
        </is>
      </c>
      <c r="Y885" s="3" t="inlineStr">
        <is>
          <t>제2종근린생활시설</t>
        </is>
      </c>
      <c r="Z885" s="3" t="inlineStr">
        <is>
          <t>-m</t>
        </is>
      </c>
      <c r="AA885" s="3" t="inlineStr">
        <is>
          <t>2021-08-20</t>
        </is>
      </c>
    </row>
    <row r="886">
      <c r="A886" s="3" t="inlineStr">
        <is>
          <t>세종특별자치시 나성동 829</t>
        </is>
      </c>
      <c r="B886" s="3" t="inlineStr">
        <is>
          <t>중심상업지역</t>
        </is>
      </c>
      <c r="C886" s="3" t="inlineStr">
        <is>
          <t>대</t>
        </is>
      </c>
      <c r="D886" s="3" t="inlineStr">
        <is>
          <t>창고</t>
        </is>
      </c>
      <c r="E886" s="3" t="inlineStr">
        <is>
          <t>매매</t>
        </is>
      </c>
      <c r="F886" s="4" t="n">
        <v>1500000</v>
      </c>
      <c r="G886" s="4" t="n">
        <v>0</v>
      </c>
      <c r="H886" s="4" t="n">
        <v>18747</v>
      </c>
      <c r="I886" s="4" t="n">
        <v>5671</v>
      </c>
      <c r="J886" s="5" t="n">
        <v>264.5</v>
      </c>
      <c r="K886" s="4" t="n">
        <v>6971</v>
      </c>
      <c r="L886" s="4" t="n">
        <v>2109</v>
      </c>
      <c r="M886" s="5" t="n">
        <v>711.2</v>
      </c>
      <c r="N886" s="3" t="inlineStr">
        <is>
          <t>2</t>
        </is>
      </c>
      <c r="O886" s="3" t="inlineStr">
        <is>
          <t>-</t>
        </is>
      </c>
      <c r="P886" s="3" t="inlineStr">
        <is>
          <t>남청주I.C에서 7km 거리에 물류창고 2100(3.3m2)</t>
        </is>
      </c>
      <c r="Q886" s="6">
        <f>HYPERLINK("https://fin.land.naver.com/articles/2644294295", "매물Link")</f>
        <v/>
      </c>
      <c r="R886" s="6">
        <f>HYPERLINK("https://map.naver.com/p/search/세종특별자치시 나성동 829", "지도Link")</f>
        <v/>
      </c>
      <c r="S886" s="6">
        <f>HYPERLINK("http://www.eum.go.kr/web/ar/lu/luLandDet.jsp?pnu=3611010700108290000&amp;isNoScr=script&amp;mode=search", "토지이음")</f>
        <v/>
      </c>
      <c r="T886" s="3" t="inlineStr">
        <is>
          <t>명당</t>
        </is>
      </c>
      <c r="U886" s="3" t="n">
        <v>1</v>
      </c>
      <c r="V886" s="3" t="inlineStr">
        <is>
          <t>802</t>
        </is>
      </c>
      <c r="W886" s="4" t="n">
        <v>6971</v>
      </c>
      <c r="X886" s="3" t="inlineStr">
        <is>
          <t>철근콘크리트구조</t>
        </is>
      </c>
      <c r="Y886" s="3" t="inlineStr">
        <is>
          <t>제2종근린생활시설</t>
        </is>
      </c>
      <c r="Z886" s="3" t="inlineStr">
        <is>
          <t>-m</t>
        </is>
      </c>
      <c r="AA886" s="3" t="inlineStr">
        <is>
          <t>2021-08-20</t>
        </is>
      </c>
    </row>
    <row r="887">
      <c r="A887" s="3" t="inlineStr">
        <is>
          <t>세종특별자치시 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 창고임대 저렴  협의입주</t>
        </is>
      </c>
      <c r="Q887" s="6">
        <f>HYPERLINK("https://fin.land.naver.com/articles/2648062677", "매물Link")</f>
        <v/>
      </c>
      <c r="R887" s="6">
        <f>HYPERLINK("https://map.naver.com/p/search/세종특별자치시 나성동 829", "지도Link")</f>
        <v/>
      </c>
      <c r="S887" s="6">
        <f>HYPERLINK("http://www.eum.go.kr/web/ar/lu/luLandDet.jsp?pnu=3611010700108290000&amp;isNoScr=script&amp;mode=search", "토지이음")</f>
        <v/>
      </c>
      <c r="T887" s="3" t="inlineStr">
        <is>
          <t>행복주는</t>
        </is>
      </c>
      <c r="U887" s="3" t="n">
        <v>1</v>
      </c>
      <c r="V887" s="3" t="inlineStr">
        <is>
          <t>공동주택 주민공동시설</t>
        </is>
      </c>
      <c r="W887" s="4" t="n">
        <v>196</v>
      </c>
      <c r="X887" s="3" t="inlineStr">
        <is>
          <t>철근콘크리트구조</t>
        </is>
      </c>
      <c r="Y887" s="3" t="inlineStr">
        <is>
          <t>공동주택</t>
        </is>
      </c>
      <c r="Z887" s="3" t="inlineStr">
        <is>
          <t>-m</t>
        </is>
      </c>
      <c r="AA887" s="3" t="inlineStr">
        <is>
          <t>2021-08-20</t>
        </is>
      </c>
    </row>
    <row r="888">
      <c r="A888" s="3" t="inlineStr">
        <is>
          <t>세종특별자치시 나성동 829</t>
        </is>
      </c>
      <c r="B888" s="3" t="inlineStr">
        <is>
          <t>중심상업지역</t>
        </is>
      </c>
      <c r="C888" s="3" t="inlineStr">
        <is>
          <t>대</t>
        </is>
      </c>
      <c r="D888" s="3" t="inlineStr">
        <is>
          <t>창고</t>
        </is>
      </c>
      <c r="E888" s="3" t="inlineStr">
        <is>
          <t>월세</t>
        </is>
      </c>
      <c r="F888" s="4" t="n">
        <v>2000</v>
      </c>
      <c r="G888" s="4" t="n">
        <v>140</v>
      </c>
      <c r="H888" s="4" t="n">
        <v>196</v>
      </c>
      <c r="I888" s="4" t="n">
        <v>59</v>
      </c>
      <c r="J888" s="5" t="n">
        <v>2.4</v>
      </c>
      <c r="K888" s="4" t="n">
        <v>196</v>
      </c>
      <c r="L888" s="4" t="n">
        <v>59</v>
      </c>
      <c r="M888" s="5" t="n">
        <v>2.4</v>
      </c>
      <c r="N888" s="3" t="inlineStr">
        <is>
          <t>1</t>
        </is>
      </c>
      <c r="O888" s="3" t="inlineStr">
        <is>
          <t>-</t>
        </is>
      </c>
      <c r="P888" s="3" t="inlineStr">
        <is>
          <t>세종시 귀한창고임대</t>
        </is>
      </c>
      <c r="Q888" s="6">
        <f>HYPERLINK("https://fin.land.naver.com/articles/2648062675", "매물Link")</f>
        <v/>
      </c>
      <c r="R888" s="6">
        <f>HYPERLINK("https://map.naver.com/p/search/세종특별자치시 나성동 829", "지도Link")</f>
        <v/>
      </c>
      <c r="S888" s="6">
        <f>HYPERLINK("http://www.eum.go.kr/web/ar/lu/luLandDet.jsp?pnu=3611010700108290000&amp;isNoScr=script&amp;mode=search", "토지이음")</f>
        <v/>
      </c>
      <c r="T888" s="3" t="inlineStr">
        <is>
          <t>행복주는</t>
        </is>
      </c>
      <c r="U888" s="3" t="n">
        <v>1</v>
      </c>
      <c r="V888" s="3" t="inlineStr">
        <is>
          <t>공동주택 주민공동시설</t>
        </is>
      </c>
      <c r="W888" s="4" t="n">
        <v>196</v>
      </c>
      <c r="X888" s="3" t="inlineStr">
        <is>
          <t>철근콘크리트구조</t>
        </is>
      </c>
      <c r="Y888" s="3" t="inlineStr">
        <is>
          <t>공동주택</t>
        </is>
      </c>
      <c r="Z888" s="3" t="inlineStr">
        <is>
          <t>-m</t>
        </is>
      </c>
      <c r="AA888" s="3" t="inlineStr">
        <is>
          <t>2021-08-20</t>
        </is>
      </c>
    </row>
    <row r="889">
      <c r="A889" s="3" t="inlineStr">
        <is>
          <t>세종특별자치시 나성동 829</t>
        </is>
      </c>
      <c r="B889" s="3" t="inlineStr">
        <is>
          <t>중심상업지역</t>
        </is>
      </c>
      <c r="C889" s="3" t="inlineStr">
        <is>
          <t>대</t>
        </is>
      </c>
      <c r="D889" s="3" t="inlineStr">
        <is>
          <t>창고</t>
        </is>
      </c>
      <c r="E889" s="3" t="inlineStr">
        <is>
          <t>매매</t>
        </is>
      </c>
      <c r="F889" s="4" t="n">
        <v>260000</v>
      </c>
      <c r="G889" s="4" t="n">
        <v>0</v>
      </c>
      <c r="H889" s="4" t="n">
        <v>1649</v>
      </c>
      <c r="I889" s="4" t="n">
        <v>499</v>
      </c>
      <c r="J889" s="5" t="n">
        <v>521</v>
      </c>
      <c r="K889" s="4" t="n">
        <v>807</v>
      </c>
      <c r="L889" s="4" t="n">
        <v>244</v>
      </c>
      <c r="M889" s="5" t="n">
        <v>1065.6</v>
      </c>
      <c r="N889" s="3" t="inlineStr">
        <is>
          <t>2</t>
        </is>
      </c>
      <c r="O889" s="3" t="inlineStr">
        <is>
          <t>-</t>
        </is>
      </c>
      <c r="P889" s="3" t="inlineStr">
        <is>
          <t>대전과 세종 접근성 좋은 물류창고 매매합니다.</t>
        </is>
      </c>
      <c r="Q889" s="6">
        <f>HYPERLINK("https://fin.land.naver.com/articles/2649717932", "매물Link")</f>
        <v/>
      </c>
      <c r="R889" s="6">
        <f>HYPERLINK("https://map.naver.com/p/search/세종특별자치시 나성동 829", "지도Link")</f>
        <v/>
      </c>
      <c r="S889" s="6">
        <f>HYPERLINK("http://www.eum.go.kr/web/ar/lu/luLandDet.jsp?pnu=3611010700108290000&amp;isNoScr=script&amp;mode=search", "토지이음")</f>
        <v/>
      </c>
      <c r="T889" s="3" t="inlineStr">
        <is>
          <t>티오피(주)</t>
        </is>
      </c>
      <c r="U889" s="3" t="n">
        <v>1</v>
      </c>
      <c r="V889" s="3" t="inlineStr">
        <is>
          <t>공동주택 휘트니스</t>
        </is>
      </c>
      <c r="W889" s="4" t="n">
        <v>807</v>
      </c>
      <c r="X889" s="3" t="inlineStr">
        <is>
          <t>철근콘크리트구조</t>
        </is>
      </c>
      <c r="Y889" s="3" t="inlineStr">
        <is>
          <t>공동주택</t>
        </is>
      </c>
      <c r="Z889" s="3" t="inlineStr">
        <is>
          <t>-m</t>
        </is>
      </c>
      <c r="AA889" s="3" t="inlineStr">
        <is>
          <t>2021-08-20</t>
        </is>
      </c>
    </row>
    <row r="890">
      <c r="A890" s="3" t="inlineStr">
        <is>
          <t>세종특별자치시 나성동 829</t>
        </is>
      </c>
      <c r="B890" s="3" t="inlineStr">
        <is>
          <t>중심상업지역</t>
        </is>
      </c>
      <c r="C890" s="3" t="inlineStr">
        <is>
          <t>대</t>
        </is>
      </c>
      <c r="D890" s="3" t="inlineStr">
        <is>
          <t>창고</t>
        </is>
      </c>
      <c r="E890" s="3" t="inlineStr">
        <is>
          <t>월세</t>
        </is>
      </c>
      <c r="F890" s="4" t="n">
        <v>2000</v>
      </c>
      <c r="G890" s="4" t="n">
        <v>140</v>
      </c>
      <c r="H890" s="4" t="n">
        <v>490</v>
      </c>
      <c r="I890" s="4" t="n">
        <v>148</v>
      </c>
      <c r="J890" s="5" t="n">
        <v>0.9</v>
      </c>
      <c r="K890" s="4" t="n">
        <v>196</v>
      </c>
      <c r="L890" s="4" t="n">
        <v>59</v>
      </c>
      <c r="M890" s="5" t="n">
        <v>2.4</v>
      </c>
      <c r="N890" s="3" t="inlineStr">
        <is>
          <t>1</t>
        </is>
      </c>
      <c r="O890" s="3" t="inlineStr">
        <is>
          <t>-</t>
        </is>
      </c>
      <c r="P890" s="3" t="inlineStr">
        <is>
          <t>사진, 유성세종, 남세종IC10분,전용마당,1종근생,내부화장실,바닥에폭시</t>
        </is>
      </c>
      <c r="Q890" s="6">
        <f>HYPERLINK("https://fin.land.naver.com/articles/2649570381", "매물Link")</f>
        <v/>
      </c>
      <c r="R890" s="6">
        <f>HYPERLINK("https://map.naver.com/p/search/세종특별자치시 나성동 829", "지도Link")</f>
        <v/>
      </c>
      <c r="S890" s="6">
        <f>HYPERLINK("http://www.eum.go.kr/web/ar/lu/luLandDet.jsp?pnu=3611010700108290000&amp;isNoScr=script&amp;mode=search", "토지이음")</f>
        <v/>
      </c>
      <c r="T890" s="3" t="inlineStr">
        <is>
          <t>OK허니</t>
        </is>
      </c>
      <c r="U890" s="3" t="n">
        <v>1</v>
      </c>
      <c r="V890" s="3" t="inlineStr">
        <is>
          <t>공동주택 주민공동시설</t>
        </is>
      </c>
      <c r="W890" s="4" t="n">
        <v>196</v>
      </c>
      <c r="X890" s="3" t="inlineStr">
        <is>
          <t>철근콘크리트구조</t>
        </is>
      </c>
      <c r="Y890" s="3" t="inlineStr">
        <is>
          <t>공동주택</t>
        </is>
      </c>
      <c r="Z890" s="3" t="inlineStr">
        <is>
          <t>-m</t>
        </is>
      </c>
      <c r="AA890" s="3" t="inlineStr">
        <is>
          <t>2021-08-20</t>
        </is>
      </c>
    </row>
    <row r="891">
      <c r="A891" s="3" t="inlineStr">
        <is>
          <t>세종특별자치시 나성동 829</t>
        </is>
      </c>
      <c r="B891" s="3" t="inlineStr">
        <is>
          <t>중심상업지역</t>
        </is>
      </c>
      <c r="C891" s="3" t="inlineStr">
        <is>
          <t>대</t>
        </is>
      </c>
      <c r="D891" s="3" t="inlineStr">
        <is>
          <t>공장</t>
        </is>
      </c>
      <c r="E891" s="3" t="inlineStr">
        <is>
          <t>월세</t>
        </is>
      </c>
      <c r="F891" s="4" t="n">
        <v>2000</v>
      </c>
      <c r="G891" s="4" t="n">
        <v>140</v>
      </c>
      <c r="H891" s="4" t="n">
        <v>495</v>
      </c>
      <c r="I891" s="4" t="n">
        <v>150</v>
      </c>
      <c r="J891" s="5" t="n">
        <v>0.9</v>
      </c>
      <c r="K891" s="4" t="n">
        <v>196</v>
      </c>
      <c r="L891" s="4" t="n">
        <v>59</v>
      </c>
      <c r="M891" s="5" t="n">
        <v>2.4</v>
      </c>
      <c r="N891" s="3" t="inlineStr">
        <is>
          <t>1</t>
        </is>
      </c>
      <c r="O891" s="3" t="inlineStr">
        <is>
          <t>-</t>
        </is>
      </c>
      <c r="P891" s="3" t="inlineStr">
        <is>
          <t>사진, 남세종IC10분,민원없음,전용마당,1종근생,내부화장실,바닥에폭시</t>
        </is>
      </c>
      <c r="Q891" s="6">
        <f>HYPERLINK("https://fin.land.naver.com/articles/2649569250", "매물Link")</f>
        <v/>
      </c>
      <c r="R891" s="6">
        <f>HYPERLINK("https://map.naver.com/p/search/세종특별자치시 나성동 829", "지도Link")</f>
        <v/>
      </c>
      <c r="S891" s="6">
        <f>HYPERLINK("http://www.eum.go.kr/web/ar/lu/luLandDet.jsp?pnu=3611010700108290000&amp;isNoScr=script&amp;mode=search", "토지이음")</f>
        <v/>
      </c>
      <c r="T891" s="3" t="inlineStr">
        <is>
          <t>OK허니</t>
        </is>
      </c>
      <c r="U891" s="3" t="n">
        <v>1</v>
      </c>
      <c r="V891" s="3" t="inlineStr">
        <is>
          <t>공동주택 주민공동시설</t>
        </is>
      </c>
      <c r="W891" s="4" t="n">
        <v>196</v>
      </c>
      <c r="X891" s="3" t="inlineStr">
        <is>
          <t>철근콘크리트구조</t>
        </is>
      </c>
      <c r="Y891" s="3" t="inlineStr">
        <is>
          <t>공동주택</t>
        </is>
      </c>
      <c r="Z891" s="3" t="inlineStr">
        <is>
          <t>-m</t>
        </is>
      </c>
      <c r="AA891" s="3" t="inlineStr">
        <is>
          <t>2021-08-20</t>
        </is>
      </c>
    </row>
    <row r="892">
      <c r="A892" s="3" t="inlineStr">
        <is>
          <t>세종특별자치시 나성동 829</t>
        </is>
      </c>
      <c r="B892" s="3" t="inlineStr">
        <is>
          <t>중심상업지역</t>
        </is>
      </c>
      <c r="C892" s="3" t="inlineStr">
        <is>
          <t>대</t>
        </is>
      </c>
      <c r="D892" s="3" t="inlineStr">
        <is>
          <t>창고</t>
        </is>
      </c>
      <c r="E892" s="3" t="inlineStr">
        <is>
          <t>월세</t>
        </is>
      </c>
      <c r="F892" s="4" t="n">
        <v>1000</v>
      </c>
      <c r="G892" s="4" t="n">
        <v>90</v>
      </c>
      <c r="H892" s="4" t="n">
        <v>918</v>
      </c>
      <c r="I892" s="4" t="n">
        <v>278</v>
      </c>
      <c r="J892" s="5" t="n">
        <v>0.3</v>
      </c>
      <c r="K892" s="4" t="n">
        <v>127</v>
      </c>
      <c r="L892" s="4" t="n">
        <v>38</v>
      </c>
      <c r="M892" s="5" t="n">
        <v>2.4</v>
      </c>
      <c r="N892" s="3" t="inlineStr">
        <is>
          <t>2</t>
        </is>
      </c>
      <c r="O892" s="3" t="inlineStr">
        <is>
          <t>-</t>
        </is>
      </c>
      <c r="P892" s="3" t="inlineStr">
        <is>
          <t>대전과 세종인근의 저렴 창고 임대, 남세종IC 10분이내</t>
        </is>
      </c>
      <c r="Q892" s="6">
        <f>HYPERLINK("https://fin.land.naver.com/articles/2649324805", "매물Link")</f>
        <v/>
      </c>
      <c r="R892" s="6">
        <f>HYPERLINK("https://map.naver.com/p/search/세종특별자치시 나성동 829", "지도Link")</f>
        <v/>
      </c>
      <c r="S892" s="6">
        <f>HYPERLINK("http://www.eum.go.kr/web/ar/lu/luLandDet.jsp?pnu=3611010700108290000&amp;isNoScr=script&amp;mode=search", "토지이음")</f>
        <v/>
      </c>
      <c r="T892" s="3" t="inlineStr">
        <is>
          <t>세종다올</t>
        </is>
      </c>
      <c r="U892" s="3" t="n">
        <v>1</v>
      </c>
      <c r="V892" s="3" t="inlineStr">
        <is>
          <t>판매시설 지하주차장</t>
        </is>
      </c>
      <c r="W892" s="4" t="n">
        <v>127</v>
      </c>
      <c r="X892" s="3" t="inlineStr">
        <is>
          <t>철근콘크리트구조</t>
        </is>
      </c>
      <c r="Y892" s="3" t="inlineStr">
        <is>
          <t>판매시설</t>
        </is>
      </c>
      <c r="Z892" s="3" t="inlineStr">
        <is>
          <t>-m</t>
        </is>
      </c>
      <c r="AA892" s="3" t="inlineStr">
        <is>
          <t>2021-08-20</t>
        </is>
      </c>
    </row>
    <row r="893">
      <c r="A893" s="3" t="inlineStr">
        <is>
          <t>세종특별자치시 나성동 829</t>
        </is>
      </c>
      <c r="B893" s="3" t="inlineStr">
        <is>
          <t>중심상업지역</t>
        </is>
      </c>
      <c r="C893" s="3" t="inlineStr">
        <is>
          <t>대</t>
        </is>
      </c>
      <c r="D893" s="3" t="inlineStr">
        <is>
          <t>창고</t>
        </is>
      </c>
      <c r="E893" s="3" t="inlineStr">
        <is>
          <t>매매</t>
        </is>
      </c>
      <c r="F893" s="4" t="n">
        <v>165000</v>
      </c>
      <c r="G893" s="4" t="n">
        <v>0</v>
      </c>
      <c r="H893" s="4" t="n">
        <v>1557</v>
      </c>
      <c r="I893" s="4" t="n">
        <v>471</v>
      </c>
      <c r="J893" s="5" t="n">
        <v>350.3</v>
      </c>
      <c r="K893" s="4" t="n">
        <v>165</v>
      </c>
      <c r="L893" s="4" t="n">
        <v>50</v>
      </c>
      <c r="M893" s="5" t="n">
        <v>3300</v>
      </c>
      <c r="N893" s="3" t="inlineStr">
        <is>
          <t>1</t>
        </is>
      </c>
      <c r="O893" s="3" t="inlineStr">
        <is>
          <t>B1</t>
        </is>
      </c>
      <c r="P893" s="3" t="inlineStr">
        <is>
          <t>12미터 도로 접한   위치 좋고 시세보다 저렴한  토지  매매</t>
        </is>
      </c>
      <c r="Q893" s="6">
        <f>HYPERLINK("https://fin.land.naver.com/articles/2644746022", "매물Link")</f>
        <v/>
      </c>
      <c r="R893" s="6">
        <f>HYPERLINK("https://map.naver.com/p/search/세종특별자치시 나성동 829", "지도Link")</f>
        <v/>
      </c>
      <c r="S893" s="6">
        <f>HYPERLINK("http://www.eum.go.kr/web/ar/lu/luLandDet.jsp?pnu=3611010700108290000&amp;isNoScr=script&amp;mode=search", "토지이음")</f>
        <v/>
      </c>
      <c r="T893" s="3" t="inlineStr">
        <is>
          <t>코끼리</t>
        </is>
      </c>
      <c r="U893" s="3" t="n">
        <v>1</v>
      </c>
      <c r="V893" s="3" t="inlineStr">
        <is>
          <t>공동주택 관리사무소</t>
        </is>
      </c>
      <c r="W893" s="4" t="n">
        <v>165</v>
      </c>
      <c r="X893" s="3" t="inlineStr">
        <is>
          <t>철근콘크리트구조</t>
        </is>
      </c>
      <c r="Y893" s="3" t="inlineStr">
        <is>
          <t>공동주택</t>
        </is>
      </c>
      <c r="Z893" s="3" t="inlineStr">
        <is>
          <t>-m</t>
        </is>
      </c>
      <c r="AA893" s="3" t="inlineStr">
        <is>
          <t>2021-08-20</t>
        </is>
      </c>
    </row>
    <row r="894">
      <c r="A894" s="3" t="inlineStr">
        <is>
          <t>세종특별자치시 나성동 829</t>
        </is>
      </c>
      <c r="B894" s="3" t="inlineStr">
        <is>
          <t>중심상업지역</t>
        </is>
      </c>
      <c r="C894" s="3" t="inlineStr">
        <is>
          <t>대</t>
        </is>
      </c>
      <c r="D894" s="3" t="inlineStr">
        <is>
          <t>창고</t>
        </is>
      </c>
      <c r="E894" s="3" t="inlineStr">
        <is>
          <t>매매</t>
        </is>
      </c>
      <c r="F894" s="4" t="n">
        <v>95000</v>
      </c>
      <c r="G894" s="4" t="n">
        <v>0</v>
      </c>
      <c r="H894" s="4" t="n">
        <v>478</v>
      </c>
      <c r="I894" s="4" t="n">
        <v>145</v>
      </c>
      <c r="J894" s="5" t="n">
        <v>655.2</v>
      </c>
      <c r="K894" s="4" t="n">
        <v>418</v>
      </c>
      <c r="L894" s="4" t="n">
        <v>126</v>
      </c>
      <c r="M894" s="5" t="n">
        <v>754</v>
      </c>
      <c r="N894" s="3" t="inlineStr">
        <is>
          <t>2</t>
        </is>
      </c>
      <c r="O894" s="3" t="inlineStr">
        <is>
          <t>B1</t>
        </is>
      </c>
      <c r="P894" s="3" t="inlineStr">
        <is>
          <t>가수원동 깨끗한 창고 건물</t>
        </is>
      </c>
      <c r="Q894" s="6">
        <f>HYPERLINK("https://fin.land.naver.com/articles/2646924705", "매물Link")</f>
        <v/>
      </c>
      <c r="R894" s="6">
        <f>HYPERLINK("https://map.naver.com/p/search/세종특별자치시 나성동 829", "지도Link")</f>
        <v/>
      </c>
      <c r="S894" s="6">
        <f>HYPERLINK("http://www.eum.go.kr/web/ar/lu/luLandDet.jsp?pnu=3611010700108290000&amp;isNoScr=script&amp;mode=search", "토지이음")</f>
        <v/>
      </c>
      <c r="T894" s="3" t="inlineStr">
        <is>
          <t>미래로</t>
        </is>
      </c>
      <c r="U894" s="3" t="n">
        <v>1</v>
      </c>
      <c r="V894" s="3" t="inlineStr">
        <is>
          <t>전망공간 기계실</t>
        </is>
      </c>
      <c r="W894" s="4" t="n">
        <v>418</v>
      </c>
      <c r="X894" s="3" t="inlineStr">
        <is>
          <t>철근콘크리트구조</t>
        </is>
      </c>
      <c r="Y894" s="3" t="inlineStr">
        <is>
          <t>제2종근린생활시설</t>
        </is>
      </c>
      <c r="Z894" s="3" t="inlineStr">
        <is>
          <t>-m</t>
        </is>
      </c>
      <c r="AA894" s="3" t="inlineStr">
        <is>
          <t>2021-08-20</t>
        </is>
      </c>
    </row>
    <row r="895">
      <c r="A895" s="3" t="inlineStr">
        <is>
          <t>세종특별자치시 나성동 829</t>
        </is>
      </c>
      <c r="B895" s="3" t="inlineStr">
        <is>
          <t>중심상업지역</t>
        </is>
      </c>
      <c r="C895" s="3" t="inlineStr">
        <is>
          <t>대</t>
        </is>
      </c>
      <c r="D895" s="3" t="inlineStr">
        <is>
          <t>창고</t>
        </is>
      </c>
      <c r="E895" s="3" t="inlineStr">
        <is>
          <t>매매</t>
        </is>
      </c>
      <c r="F895" s="4" t="n">
        <v>149000</v>
      </c>
      <c r="G895" s="4" t="n">
        <v>0</v>
      </c>
      <c r="H895" s="4" t="n">
        <v>1669</v>
      </c>
      <c r="I895" s="4" t="n">
        <v>505</v>
      </c>
      <c r="J895" s="5" t="n">
        <v>295</v>
      </c>
      <c r="K895" s="4" t="n">
        <v>288</v>
      </c>
      <c r="L895" s="4" t="n">
        <v>87</v>
      </c>
      <c r="M895" s="5" t="n">
        <v>1712.6</v>
      </c>
      <c r="N895" s="3" t="inlineStr">
        <is>
          <t>1</t>
        </is>
      </c>
      <c r="O895" s="3" t="inlineStr">
        <is>
          <t>-</t>
        </is>
      </c>
      <c r="P895" s="3" t="inlineStr">
        <is>
          <t>공장 및 창고 최적의 위치</t>
        </is>
      </c>
      <c r="Q895" s="6">
        <f>HYPERLINK("https://fin.land.naver.com/articles/2647120866", "매물Link")</f>
        <v/>
      </c>
      <c r="R895" s="6">
        <f>HYPERLINK("https://map.naver.com/p/search/세종특별자치시 나성동 829", "지도Link")</f>
        <v/>
      </c>
      <c r="S895" s="6">
        <f>HYPERLINK("http://www.eum.go.kr/web/ar/lu/luLandDet.jsp?pnu=3611010700108290000&amp;isNoScr=script&amp;mode=search", "토지이음")</f>
        <v/>
      </c>
      <c r="T895" s="3" t="inlineStr">
        <is>
          <t>신영</t>
        </is>
      </c>
      <c r="U895" s="3" t="n">
        <v>1</v>
      </c>
      <c r="V895" s="3" t="inlineStr">
        <is>
          <t>공동주택 전기,발전기실</t>
        </is>
      </c>
      <c r="W895" s="4" t="n">
        <v>288</v>
      </c>
      <c r="X895" s="3" t="inlineStr">
        <is>
          <t>철근콘크리트구조</t>
        </is>
      </c>
      <c r="Y895" s="3" t="inlineStr">
        <is>
          <t>공동주택</t>
        </is>
      </c>
      <c r="Z895" s="3" t="inlineStr">
        <is>
          <t>-m</t>
        </is>
      </c>
      <c r="AA895" s="3" t="inlineStr">
        <is>
          <t>2021-08-20</t>
        </is>
      </c>
    </row>
    <row r="896">
      <c r="A896" s="3" t="inlineStr">
        <is>
          <t>세종특별자치시 나성동 829</t>
        </is>
      </c>
      <c r="B896" s="3" t="inlineStr">
        <is>
          <t>중심상업지역</t>
        </is>
      </c>
      <c r="C896" s="3" t="inlineStr">
        <is>
          <t>대</t>
        </is>
      </c>
      <c r="D896" s="3" t="inlineStr">
        <is>
          <t>창고</t>
        </is>
      </c>
      <c r="E896" s="3" t="inlineStr">
        <is>
          <t>월세</t>
        </is>
      </c>
      <c r="F896" s="4" t="n">
        <v>2000</v>
      </c>
      <c r="G896" s="4" t="n">
        <v>200</v>
      </c>
      <c r="H896" s="4" t="n">
        <v>359</v>
      </c>
      <c r="I896" s="4" t="n">
        <v>109</v>
      </c>
      <c r="J896" s="5" t="n">
        <v>1.8</v>
      </c>
      <c r="K896" s="4" t="n">
        <v>189</v>
      </c>
      <c r="L896" s="4" t="n">
        <v>57</v>
      </c>
      <c r="M896" s="5" t="n">
        <v>3.5</v>
      </c>
      <c r="N896" s="3" t="inlineStr">
        <is>
          <t>1</t>
        </is>
      </c>
      <c r="O896" s="3" t="inlineStr">
        <is>
          <t>-</t>
        </is>
      </c>
      <c r="P896" s="3" t="inlineStr">
        <is>
          <t>서대전 ic 1분 마당 있는 창고 겸 사무실 가능</t>
        </is>
      </c>
      <c r="Q896" s="6">
        <f>HYPERLINK("https://fin.land.naver.com/articles/2648850872", "매물Link")</f>
        <v/>
      </c>
      <c r="R896" s="6">
        <f>HYPERLINK("https://map.naver.com/p/search/세종특별자치시 나성동 829", "지도Link")</f>
        <v/>
      </c>
      <c r="S896" s="6">
        <f>HYPERLINK("http://www.eum.go.kr/web/ar/lu/luLandDet.jsp?pnu=3611010700108290000&amp;isNoScr=script&amp;mode=search", "토지이음")</f>
        <v/>
      </c>
      <c r="T896" s="3" t="inlineStr">
        <is>
          <t>KS</t>
        </is>
      </c>
      <c r="U896" s="3" t="n">
        <v>1</v>
      </c>
      <c r="V896" s="3" t="inlineStr">
        <is>
          <t>701</t>
        </is>
      </c>
      <c r="W896" s="4" t="n">
        <v>189</v>
      </c>
      <c r="X896" s="3" t="inlineStr">
        <is>
          <t>철근콘크리트구조</t>
        </is>
      </c>
      <c r="Y896" s="3" t="inlineStr">
        <is>
          <t>판매시설</t>
        </is>
      </c>
      <c r="Z896" s="3" t="inlineStr">
        <is>
          <t>-m</t>
        </is>
      </c>
      <c r="AA896" s="3" t="inlineStr">
        <is>
          <t>2021-08-20</t>
        </is>
      </c>
    </row>
    <row r="897">
      <c r="A897" s="3" t="inlineStr">
        <is>
          <t>세종특별자치시 나성동 829</t>
        </is>
      </c>
      <c r="B897" s="3" t="inlineStr">
        <is>
          <t>중심상업지역</t>
        </is>
      </c>
      <c r="C897" s="3" t="inlineStr">
        <is>
          <t>대</t>
        </is>
      </c>
      <c r="D897" s="3" t="inlineStr">
        <is>
          <t>창고</t>
        </is>
      </c>
      <c r="E897" s="3" t="inlineStr">
        <is>
          <t>월세</t>
        </is>
      </c>
      <c r="F897" s="4" t="n">
        <v>2000</v>
      </c>
      <c r="G897" s="4" t="n">
        <v>120</v>
      </c>
      <c r="H897" s="4" t="n">
        <v>804</v>
      </c>
      <c r="I897" s="4" t="n">
        <v>243</v>
      </c>
      <c r="J897" s="5" t="n">
        <v>0.5</v>
      </c>
      <c r="K897" s="4" t="n">
        <v>2135</v>
      </c>
      <c r="L897" s="4" t="n">
        <v>646</v>
      </c>
      <c r="M897" s="5" t="n">
        <v>0.2</v>
      </c>
      <c r="N897" s="3" t="inlineStr">
        <is>
          <t>3</t>
        </is>
      </c>
      <c r="O897" s="3" t="inlineStr">
        <is>
          <t>-</t>
        </is>
      </c>
      <c r="P897" s="3" t="inlineStr">
        <is>
          <t>관저동 대로변 접근성 좋은 창고 임대</t>
        </is>
      </c>
      <c r="Q897" s="6">
        <f>HYPERLINK("https://fin.land.naver.com/articles/2648783374", "매물Link")</f>
        <v/>
      </c>
      <c r="R897" s="6">
        <f>HYPERLINK("https://map.naver.com/p/search/세종특별자치시 나성동 829", "지도Link")</f>
        <v/>
      </c>
      <c r="S897" s="6">
        <f>HYPERLINK("http://www.eum.go.kr/web/ar/lu/luLandDet.jsp?pnu=3611010700108290000&amp;isNoScr=script&amp;mode=search", "토지이음")</f>
        <v/>
      </c>
      <c r="T897" s="3" t="inlineStr">
        <is>
          <t>관저밀리온</t>
        </is>
      </c>
      <c r="U897" s="3" t="n">
        <v>1</v>
      </c>
      <c r="V897" s="3" t="inlineStr">
        <is>
          <t>근린생활시설 지하주차장</t>
        </is>
      </c>
      <c r="W897" s="4" t="n">
        <v>2135</v>
      </c>
      <c r="X897" s="3" t="inlineStr">
        <is>
          <t>철근콘크리트구조</t>
        </is>
      </c>
      <c r="Y897" s="3" t="inlineStr">
        <is>
          <t>제2종근린생활시설</t>
        </is>
      </c>
      <c r="Z897" s="3" t="inlineStr">
        <is>
          <t>-m</t>
        </is>
      </c>
      <c r="AA897" s="3" t="inlineStr">
        <is>
          <t>2021-08-20</t>
        </is>
      </c>
    </row>
    <row r="898">
      <c r="A898" s="3" t="inlineStr">
        <is>
          <t>세종특별자치시 나성동 829</t>
        </is>
      </c>
      <c r="B898" s="3" t="inlineStr">
        <is>
          <t>중심상업지역</t>
        </is>
      </c>
      <c r="C898" s="3" t="inlineStr">
        <is>
          <t>대</t>
        </is>
      </c>
      <c r="D898" s="3" t="inlineStr">
        <is>
          <t>창고</t>
        </is>
      </c>
      <c r="E898" s="3" t="inlineStr">
        <is>
          <t>매매</t>
        </is>
      </c>
      <c r="F898" s="4" t="n">
        <v>69000</v>
      </c>
      <c r="G898" s="4" t="n">
        <v>0</v>
      </c>
      <c r="H898" s="4" t="n">
        <v>1340</v>
      </c>
      <c r="I898" s="4" t="n">
        <v>405</v>
      </c>
      <c r="J898" s="5" t="n">
        <v>170.4</v>
      </c>
      <c r="K898" s="4" t="n">
        <v>195</v>
      </c>
      <c r="L898" s="4" t="n">
        <v>59</v>
      </c>
      <c r="M898" s="5" t="n">
        <v>1169.5</v>
      </c>
      <c r="N898" s="3" t="inlineStr">
        <is>
          <t>1</t>
        </is>
      </c>
      <c r="O898" s="3" t="inlineStr">
        <is>
          <t>-</t>
        </is>
      </c>
      <c r="P898" s="3" t="inlineStr">
        <is>
          <t>흑석동 민원 절대 없는 창고매매</t>
        </is>
      </c>
      <c r="Q898" s="6">
        <f>HYPERLINK("https://fin.land.naver.com/articles/2646040902", "매물Link")</f>
        <v/>
      </c>
      <c r="R898" s="6">
        <f>HYPERLINK("https://map.naver.com/p/search/세종특별자치시 나성동 829", "지도Link")</f>
        <v/>
      </c>
      <c r="S898" s="6">
        <f>HYPERLINK("http://www.eum.go.kr/web/ar/lu/luLandDet.jsp?pnu=3611010700108290000&amp;isNoScr=script&amp;mode=search", "토지이음")</f>
        <v/>
      </c>
      <c r="T898" s="3" t="inlineStr">
        <is>
          <t>왕중왕기업</t>
        </is>
      </c>
      <c r="U898" s="3" t="n">
        <v>1</v>
      </c>
      <c r="V898" s="3" t="inlineStr">
        <is>
          <t>공동주택 주민공동시설</t>
        </is>
      </c>
      <c r="W898" s="4" t="n">
        <v>195</v>
      </c>
      <c r="X898" s="3" t="inlineStr">
        <is>
          <t>철근콘크리트구조</t>
        </is>
      </c>
      <c r="Y898" s="3" t="inlineStr">
        <is>
          <t>공동주택</t>
        </is>
      </c>
      <c r="Z898" s="3" t="inlineStr">
        <is>
          <t>-m</t>
        </is>
      </c>
      <c r="AA898" s="3" t="inlineStr">
        <is>
          <t>2021-08-20</t>
        </is>
      </c>
    </row>
    <row r="899">
      <c r="A899" s="3" t="inlineStr">
        <is>
          <t>세종특별자치시 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HYPERLINK("https://map.naver.com/p/search/세종특별자치시 나성동 829", "지도Link")</f>
        <v/>
      </c>
      <c r="S899" s="6">
        <f>HYPERLINK("http://www.eum.go.kr/web/ar/lu/luLandDet.jsp?pnu=3611010700108290000&amp;isNoScr=script&amp;mode=search", "토지이음")</f>
        <v/>
      </c>
      <c r="T899" s="3" t="inlineStr">
        <is>
          <t>관저리슈빌</t>
        </is>
      </c>
      <c r="U899" s="3" t="n">
        <v>1</v>
      </c>
      <c r="V899" s="3" t="inlineStr">
        <is>
          <t>701</t>
        </is>
      </c>
      <c r="W899" s="4" t="n">
        <v>180</v>
      </c>
      <c r="X899" s="3" t="inlineStr">
        <is>
          <t>철근콘크리트구조</t>
        </is>
      </c>
      <c r="Y899" s="3" t="inlineStr">
        <is>
          <t>판매시설</t>
        </is>
      </c>
      <c r="Z899" s="3" t="inlineStr">
        <is>
          <t>-m</t>
        </is>
      </c>
      <c r="AA899" s="3" t="inlineStr">
        <is>
          <t>2021-08-20</t>
        </is>
      </c>
    </row>
    <row r="900">
      <c r="A900" s="3" t="inlineStr">
        <is>
          <t>세종특별자치시 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493</v>
      </c>
      <c r="L900" s="4" t="n">
        <v>149</v>
      </c>
      <c r="M900" s="5" t="n">
        <v>3</v>
      </c>
      <c r="N900" s="3" t="inlineStr">
        <is>
          <t>2</t>
        </is>
      </c>
      <c r="O900" s="3" t="inlineStr">
        <is>
          <t>-</t>
        </is>
      </c>
      <c r="P900" s="3" t="inlineStr">
        <is>
          <t>nan</t>
        </is>
      </c>
      <c r="Q900" s="6">
        <f>HYPERLINK("https://fin.land.naver.com/articles/2648397794", "매물Link")</f>
        <v/>
      </c>
      <c r="R900" s="6">
        <f>HYPERLINK("https://map.naver.com/p/search/세종특별자치시 부강면 갈산리 402", "지도Link")</f>
        <v/>
      </c>
      <c r="S900" s="6">
        <f>HYPERLINK("http://www.eum.go.kr/web/ar/lu/luLandDet.jsp?pnu=3611033024104020000&amp;isNoScr=script&amp;mode=search", "토지이음")</f>
        <v/>
      </c>
      <c r="T900" s="3" t="inlineStr">
        <is>
          <t>e플러스</t>
        </is>
      </c>
      <c r="U900" s="3" t="n">
        <v>1</v>
      </c>
      <c r="V900" s="3" t="inlineStr">
        <is>
          <t>A동</t>
        </is>
      </c>
      <c r="W900" s="4" t="n">
        <v>493</v>
      </c>
      <c r="X900" s="3" t="inlineStr">
        <is>
          <t>일반철골구조</t>
        </is>
      </c>
      <c r="Y900" s="3" t="inlineStr">
        <is>
          <t>제2종근린생활시설</t>
        </is>
      </c>
      <c r="Z900" s="3" t="inlineStr">
        <is>
          <t>8.45m</t>
        </is>
      </c>
      <c r="AA900" s="3" t="inlineStr">
        <is>
          <t>2016-04-20</t>
        </is>
      </c>
    </row>
    <row r="901">
      <c r="A901" s="3" t="inlineStr">
        <is>
          <t>세종특별자치시 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758</v>
      </c>
      <c r="L901" s="4" t="n">
        <v>229</v>
      </c>
      <c r="M901" s="5" t="n">
        <v>1.9</v>
      </c>
      <c r="N901" s="3" t="inlineStr">
        <is>
          <t>2</t>
        </is>
      </c>
      <c r="O901" s="3" t="inlineStr">
        <is>
          <t>-</t>
        </is>
      </c>
      <c r="P901" s="3" t="inlineStr">
        <is>
          <t>접근성좋은 소형공장, 2차선변위치</t>
        </is>
      </c>
      <c r="Q901" s="6">
        <f>HYPERLINK("https://fin.land.naver.com/articles/2649707505", "매물Link")</f>
        <v/>
      </c>
      <c r="R901" s="6">
        <f>HYPERLINK("https://map.naver.com/p/search/세종특별자치시 부강면 갈산리 402", "지도Link")</f>
        <v/>
      </c>
      <c r="S901" s="6">
        <f>HYPERLINK("http://www.eum.go.kr/web/ar/lu/luLandDet.jsp?pnu=3611033024104020000&amp;isNoScr=script&amp;mode=search", "토지이음")</f>
        <v/>
      </c>
      <c r="T901" s="3" t="inlineStr">
        <is>
          <t>창고의여왕</t>
        </is>
      </c>
      <c r="U901" s="3" t="n">
        <v>2</v>
      </c>
      <c r="V901" s="3" t="inlineStr">
        <is>
          <t>A동</t>
        </is>
      </c>
      <c r="W901" s="4" t="n">
        <v>758</v>
      </c>
      <c r="X901" s="3" t="inlineStr">
        <is>
          <t>일반철골구조</t>
        </is>
      </c>
      <c r="Y901" s="3" t="inlineStr">
        <is>
          <t>제2종근린생활시설</t>
        </is>
      </c>
      <c r="Z901" s="3" t="inlineStr">
        <is>
          <t>8.45m</t>
        </is>
      </c>
      <c r="AA901" s="3" t="inlineStr">
        <is>
          <t>2016-04-20</t>
        </is>
      </c>
    </row>
    <row r="902">
      <c r="A902" s="3" t="inlineStr">
        <is>
          <t>세종특별자치시 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HYPERLINK("https://map.naver.com/p/search/세종특별자치시 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8.45m</t>
        </is>
      </c>
      <c r="AA902" s="3" t="inlineStr">
        <is>
          <t>2016-04-20</t>
        </is>
      </c>
    </row>
    <row r="903">
      <c r="A903" s="3" t="inlineStr">
        <is>
          <t>세종특별자치시 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HYPERLINK("https://map.naver.com/p/search/세종특별자치시 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11.63m</t>
        </is>
      </c>
      <c r="AA903" s="3" t="inlineStr">
        <is>
          <t>2006-05-15</t>
        </is>
      </c>
    </row>
    <row r="904">
      <c r="A904" s="3" t="inlineStr">
        <is>
          <t>세종특별자치시 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남청주ic 9분 세종 부강일반산업단지 옆 단독 소형 공장임대</t>
        </is>
      </c>
      <c r="Q904" s="6">
        <f>HYPERLINK("https://fin.land.naver.com/articles/2644199195", "매물Link")</f>
        <v/>
      </c>
      <c r="R904" s="6">
        <f>HYPERLINK("https://map.naver.com/p/search/세종특별자치시 부강면 금호리 277-2", "지도Link")</f>
        <v/>
      </c>
      <c r="S904" s="6">
        <f>HYPERLINK("http://www.eum.go.kr/web/ar/lu/luLandDet.jsp?pnu=3611033028102770002&amp;isNoScr=script&amp;mode=search", "토지이음")</f>
        <v/>
      </c>
      <c r="T904" s="3" t="inlineStr">
        <is>
          <t>더원</t>
        </is>
      </c>
      <c r="U904" s="3" t="n">
        <v>3</v>
      </c>
      <c r="V904" s="3" t="inlineStr">
        <is>
          <t>주건물</t>
        </is>
      </c>
      <c r="W904" s="4" t="n">
        <v>352</v>
      </c>
      <c r="X904" s="3" t="inlineStr">
        <is>
          <t>일반철골구조</t>
        </is>
      </c>
      <c r="Y904" s="3" t="inlineStr">
        <is>
          <t>제2종근린생활시설</t>
        </is>
      </c>
      <c r="Z904" s="3" t="inlineStr">
        <is>
          <t>9.90m</t>
        </is>
      </c>
      <c r="AA904" s="3" t="inlineStr">
        <is>
          <t>2021-07-22</t>
        </is>
      </c>
    </row>
    <row r="905">
      <c r="A905" s="3" t="inlineStr">
        <is>
          <t>세종특별자치시 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HYPERLINK("https://map.naver.com/p/search/세종특별자치시 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9.90m</t>
        </is>
      </c>
      <c r="AA905" s="3" t="inlineStr">
        <is>
          <t>2021-07-22</t>
        </is>
      </c>
    </row>
    <row r="906">
      <c r="A906" s="3" t="inlineStr">
        <is>
          <t>세종특별자치시 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nan</t>
        </is>
      </c>
      <c r="Q906" s="6">
        <f>HYPERLINK("https://fin.land.naver.com/articles/2644445671", "매물Link")</f>
        <v/>
      </c>
      <c r="R906" s="6">
        <f>HYPERLINK("https://map.naver.com/p/search/세종특별자치시 부강면 금호리 277-2", "지도Link")</f>
        <v/>
      </c>
      <c r="S906" s="6">
        <f>HYPERLINK("http://www.eum.go.kr/web/ar/lu/luLandDet.jsp?pnu=3611033028102770002&amp;isNoScr=script&amp;mode=search", "토지이음")</f>
        <v/>
      </c>
      <c r="T906" s="3" t="inlineStr">
        <is>
          <t>e플러스</t>
        </is>
      </c>
      <c r="U906" s="3" t="n">
        <v>1</v>
      </c>
      <c r="V906" s="3" t="inlineStr">
        <is>
          <t>주건물</t>
        </is>
      </c>
      <c r="W906" s="4" t="n">
        <v>352</v>
      </c>
      <c r="X906" s="3" t="inlineStr">
        <is>
          <t>일반철골구조</t>
        </is>
      </c>
      <c r="Y906" s="3" t="inlineStr">
        <is>
          <t>제2종근린생활시설</t>
        </is>
      </c>
      <c r="Z906" s="3" t="inlineStr">
        <is>
          <t>9.90m</t>
        </is>
      </c>
      <c r="AA906" s="3" t="inlineStr">
        <is>
          <t>2021-07-22</t>
        </is>
      </c>
    </row>
    <row r="907">
      <c r="A907" s="3" t="inlineStr">
        <is>
          <t>세종특별자치시 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세종시 층고 높은 제조업소임대 보증금3000만원 월260만원 부가세 별도</t>
        </is>
      </c>
      <c r="Q907" s="6">
        <f>HYPERLINK("https://fin.land.naver.com/articles/2647680181", "매물Link")</f>
        <v/>
      </c>
      <c r="R907" s="6">
        <f>HYPERLINK("https://map.naver.com/p/search/세종특별자치시 부강면 금호리 277-2", "지도Link")</f>
        <v/>
      </c>
      <c r="S907" s="6">
        <f>HYPERLINK("http://www.eum.go.kr/web/ar/lu/luLandDet.jsp?pnu=3611033028102770002&amp;isNoScr=script&amp;mode=search", "토지이음")</f>
        <v/>
      </c>
      <c r="T907" s="3" t="inlineStr">
        <is>
          <t>대박</t>
        </is>
      </c>
      <c r="U907" s="3" t="n">
        <v>1</v>
      </c>
      <c r="V907" s="3" t="inlineStr">
        <is>
          <t>주건물</t>
        </is>
      </c>
      <c r="W907" s="4" t="n">
        <v>352</v>
      </c>
      <c r="X907" s="3" t="inlineStr">
        <is>
          <t>일반철골구조</t>
        </is>
      </c>
      <c r="Y907" s="3" t="inlineStr">
        <is>
          <t>제2종근린생활시설</t>
        </is>
      </c>
      <c r="Z907" s="3" t="inlineStr">
        <is>
          <t>9.90m</t>
        </is>
      </c>
      <c r="AA907" s="3" t="inlineStr">
        <is>
          <t>2021-07-22</t>
        </is>
      </c>
    </row>
    <row r="908">
      <c r="A908" s="3" t="inlineStr">
        <is>
          <t>세종특별자치시 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HYPERLINK("https://map.naver.com/p/search/세종특별자치시 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5.65m</t>
        </is>
      </c>
      <c r="AA908" s="3" t="inlineStr">
        <is>
          <t>2020-06-09</t>
        </is>
      </c>
    </row>
    <row r="909">
      <c r="A909" s="3" t="inlineStr">
        <is>
          <t>세종특별자치시 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HYPERLINK("https://map.naver.com/p/search/세종특별자치시 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4.70m</t>
        </is>
      </c>
      <c r="AA909" s="3" t="inlineStr">
        <is>
          <t>2014-12-22</t>
        </is>
      </c>
    </row>
    <row r="910">
      <c r="A910" s="3" t="inlineStr">
        <is>
          <t>세종특별자치시 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HYPERLINK("https://map.naver.com/p/search/세종특별자치시 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10.00m</t>
        </is>
      </c>
      <c r="AA910" s="3" t="inlineStr">
        <is>
          <t>1997-09-11</t>
        </is>
      </c>
    </row>
    <row r="911">
      <c r="A911" s="3" t="inlineStr">
        <is>
          <t>세종특별자치시 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HYPERLINK("https://map.naver.com/p/search/세종특별자치시 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9.90m</t>
        </is>
      </c>
      <c r="AA911" s="3" t="inlineStr">
        <is>
          <t>2020-09-28</t>
        </is>
      </c>
    </row>
    <row r="912">
      <c r="A912" s="3" t="inlineStr">
        <is>
          <t>세종특별자치시 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HYPERLINK("https://map.naver.com/p/search/세종특별자치시 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9.90m</t>
        </is>
      </c>
      <c r="AA912" s="3" t="inlineStr">
        <is>
          <t>2020-09-28</t>
        </is>
      </c>
    </row>
    <row r="913">
      <c r="A913" s="3" t="inlineStr">
        <is>
          <t>세종특별자치시 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HYPERLINK("https://map.naver.com/p/search/세종특별자치시 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9.90m</t>
        </is>
      </c>
      <c r="AA913" s="3" t="inlineStr">
        <is>
          <t>2020-09-28</t>
        </is>
      </c>
    </row>
    <row r="914">
      <c r="A914" s="3" t="inlineStr">
        <is>
          <t>세종특별자치시 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HYPERLINK("https://map.naver.com/p/search/세종특별자치시 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8.10m</t>
        </is>
      </c>
      <c r="AA914" s="3" t="inlineStr">
        <is>
          <t>2001-06-29</t>
        </is>
      </c>
    </row>
    <row r="915">
      <c r="A915" s="3" t="inlineStr">
        <is>
          <t>세종특별자치시 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HYPERLINK("https://map.naver.com/p/search/세종특별자치시 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8.10m</t>
        </is>
      </c>
      <c r="AA915" s="3" t="inlineStr">
        <is>
          <t>2001-06-29</t>
        </is>
      </c>
    </row>
    <row r="916">
      <c r="A916" s="3" t="inlineStr">
        <is>
          <t>세종특별자치시 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2년전 리모델링완비, 전시판매장추천,1000여평 국유지임대가능</t>
        </is>
      </c>
      <c r="Q916" s="6">
        <f>HYPERLINK("https://fin.land.naver.com/articles/2644683566", "매물Link")</f>
        <v/>
      </c>
      <c r="R916" s="6">
        <f>HYPERLINK("https://map.naver.com/p/search/세종특별자치시 부강면 금호리 689", "지도Link")</f>
        <v/>
      </c>
      <c r="S916" s="6">
        <f>HYPERLINK("http://www.eum.go.kr/web/ar/lu/luLandDet.jsp?pnu=3611033028106890000&amp;isNoScr=script&amp;mode=search", "토지이음")</f>
        <v/>
      </c>
      <c r="T916" s="3" t="inlineStr">
        <is>
          <t>소소사무소</t>
        </is>
      </c>
      <c r="U916" s="3" t="n">
        <v>1</v>
      </c>
      <c r="V916" s="3" t="inlineStr">
        <is>
          <t>주건물</t>
        </is>
      </c>
      <c r="W916" s="4" t="n">
        <v>755</v>
      </c>
      <c r="X916" s="3" t="inlineStr">
        <is>
          <t>일반철골구조</t>
        </is>
      </c>
      <c r="Y916" s="3" t="inlineStr">
        <is>
          <t>공장</t>
        </is>
      </c>
      <c r="Z916" s="3" t="inlineStr">
        <is>
          <t>15.47m</t>
        </is>
      </c>
      <c r="AA916" s="3" t="inlineStr">
        <is>
          <t>2015-06-29</t>
        </is>
      </c>
    </row>
    <row r="917">
      <c r="A917" s="3" t="inlineStr">
        <is>
          <t>세종특별자치시 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2년전 리모델링 완료, 단독건물, 1층소매점,2층공장 겸 사무실</t>
        </is>
      </c>
      <c r="Q917" s="6">
        <f>HYPERLINK("https://fin.land.naver.com/articles/2645101765", "매물Link")</f>
        <v/>
      </c>
      <c r="R917" s="6">
        <f>HYPERLINK("https://map.naver.com/p/search/세종특별자치시 부강면 금호리 689", "지도Link")</f>
        <v/>
      </c>
      <c r="S917" s="6">
        <f>HYPERLINK("http://www.eum.go.kr/web/ar/lu/luLandDet.jsp?pnu=3611033028106890000&amp;isNoScr=script&amp;mode=search", "토지이음")</f>
        <v/>
      </c>
      <c r="T917" s="3" t="inlineStr">
        <is>
          <t>(주)미르</t>
        </is>
      </c>
      <c r="U917" s="3" t="n">
        <v>1</v>
      </c>
      <c r="V917" s="3" t="inlineStr">
        <is>
          <t>주건물</t>
        </is>
      </c>
      <c r="W917" s="4" t="n">
        <v>755</v>
      </c>
      <c r="X917" s="3" t="inlineStr">
        <is>
          <t>일반철골구조</t>
        </is>
      </c>
      <c r="Y917" s="3" t="inlineStr">
        <is>
          <t>공장</t>
        </is>
      </c>
      <c r="Z917" s="3" t="inlineStr">
        <is>
          <t>15.47m</t>
        </is>
      </c>
      <c r="AA917" s="3" t="inlineStr">
        <is>
          <t>2015-06-29</t>
        </is>
      </c>
    </row>
    <row r="918">
      <c r="A918" s="3" t="inlineStr">
        <is>
          <t>세종특별자치시 부강면 금호리 689</t>
        </is>
      </c>
      <c r="B918" s="3" t="inlineStr">
        <is>
          <t>생산관리지역</t>
        </is>
      </c>
      <c r="C918" s="3" t="inlineStr">
        <is>
          <t>공장용지</t>
        </is>
      </c>
      <c r="D918" s="3" t="inlineStr">
        <is>
          <t>공장</t>
        </is>
      </c>
      <c r="E918" s="3" t="inlineStr">
        <is>
          <t>매매</t>
        </is>
      </c>
      <c r="F918" s="4" t="n">
        <v>200000</v>
      </c>
      <c r="G918" s="4" t="n">
        <v>0</v>
      </c>
      <c r="H918" s="4" t="n">
        <v>2498</v>
      </c>
      <c r="I918" s="4" t="n">
        <v>756</v>
      </c>
      <c r="J918" s="5" t="n">
        <v>264.6</v>
      </c>
      <c r="K918" s="4" t="n">
        <v>755</v>
      </c>
      <c r="L918" s="4" t="n">
        <v>228</v>
      </c>
      <c r="M918" s="5" t="n">
        <v>877.2</v>
      </c>
      <c r="N918" s="3" t="inlineStr">
        <is>
          <t>2</t>
        </is>
      </c>
      <c r="O918" s="3" t="inlineStr">
        <is>
          <t>-</t>
        </is>
      </c>
      <c r="P918" s="3" t="inlineStr">
        <is>
          <t>부강일반산업단지 인근 리모델링완료된 단독 공장 매매</t>
        </is>
      </c>
      <c r="Q918" s="6">
        <f>HYPERLINK("https://fin.land.naver.com/articles/2646311764", "매물Link")</f>
        <v/>
      </c>
      <c r="R918" s="6">
        <f>HYPERLINK("https://map.naver.com/p/search/세종특별자치시 부강면 금호리 689", "지도Link")</f>
        <v/>
      </c>
      <c r="S918" s="6">
        <f>HYPERLINK("http://www.eum.go.kr/web/ar/lu/luLandDet.jsp?pnu=3611033028106890000&amp;isNoScr=script&amp;mode=search", "토지이음")</f>
        <v/>
      </c>
      <c r="T918" s="3" t="inlineStr">
        <is>
          <t>드림옥션사무소</t>
        </is>
      </c>
      <c r="U918" s="3" t="n">
        <v>1</v>
      </c>
      <c r="V918" s="3" t="inlineStr">
        <is>
          <t>주건물</t>
        </is>
      </c>
      <c r="W918" s="4" t="n">
        <v>755</v>
      </c>
      <c r="X918" s="3" t="inlineStr">
        <is>
          <t>일반철골구조</t>
        </is>
      </c>
      <c r="Y918" s="3" t="inlineStr">
        <is>
          <t>공장</t>
        </is>
      </c>
      <c r="Z918" s="3" t="inlineStr">
        <is>
          <t>15.47m</t>
        </is>
      </c>
      <c r="AA918" s="3" t="inlineStr">
        <is>
          <t>2015-06-29</t>
        </is>
      </c>
    </row>
    <row r="919">
      <c r="A919" s="3" t="inlineStr">
        <is>
          <t>세종특별자치시 부강면 금호리 689</t>
        </is>
      </c>
      <c r="B919" s="3" t="inlineStr">
        <is>
          <t>생산관리지역</t>
        </is>
      </c>
      <c r="C919" s="3" t="inlineStr">
        <is>
          <t>공장용지</t>
        </is>
      </c>
      <c r="D919" s="3" t="inlineStr">
        <is>
          <t>공장</t>
        </is>
      </c>
      <c r="E919" s="3" t="inlineStr">
        <is>
          <t>매매</t>
        </is>
      </c>
      <c r="F919" s="4" t="n">
        <v>210000</v>
      </c>
      <c r="G919" s="4" t="n">
        <v>0</v>
      </c>
      <c r="H919" s="4" t="n">
        <v>2498</v>
      </c>
      <c r="I919" s="4" t="n">
        <v>756</v>
      </c>
      <c r="J919" s="5" t="n">
        <v>277.8</v>
      </c>
      <c r="K919" s="4" t="n">
        <v>755</v>
      </c>
      <c r="L919" s="4" t="n">
        <v>228</v>
      </c>
      <c r="M919" s="5" t="n">
        <v>921.1</v>
      </c>
      <c r="N919" s="3" t="inlineStr">
        <is>
          <t>2</t>
        </is>
      </c>
      <c r="O919" s="3" t="inlineStr">
        <is>
          <t>-</t>
        </is>
      </c>
      <c r="P919" s="3" t="inlineStr">
        <is>
          <t>부강산업단지인근 도로옆 단독공장 2년전 리모델링완비</t>
        </is>
      </c>
      <c r="Q919" s="6">
        <f>HYPERLINK("https://fin.land.naver.com/articles/2644664007", "매물Link")</f>
        <v/>
      </c>
      <c r="R919" s="6">
        <f>HYPERLINK("https://map.naver.com/p/search/세종특별자치시 부강면 금호리 689", "지도Link")</f>
        <v/>
      </c>
      <c r="S919" s="6">
        <f>HYPERLINK("http://www.eum.go.kr/web/ar/lu/luLandDet.jsp?pnu=3611033028106890000&amp;isNoScr=script&amp;mode=search", "토지이음")</f>
        <v/>
      </c>
      <c r="T919" s="3" t="inlineStr">
        <is>
          <t>더원</t>
        </is>
      </c>
      <c r="U919" s="3" t="n">
        <v>1</v>
      </c>
      <c r="V919" s="3" t="inlineStr">
        <is>
          <t>주건물</t>
        </is>
      </c>
      <c r="W919" s="4" t="n">
        <v>755</v>
      </c>
      <c r="X919" s="3" t="inlineStr">
        <is>
          <t>일반철골구조</t>
        </is>
      </c>
      <c r="Y919" s="3" t="inlineStr">
        <is>
          <t>공장</t>
        </is>
      </c>
      <c r="Z919" s="3" t="inlineStr">
        <is>
          <t>15.47m</t>
        </is>
      </c>
      <c r="AA919" s="3" t="inlineStr">
        <is>
          <t>2015-06-29</t>
        </is>
      </c>
    </row>
    <row r="920">
      <c r="A920" s="3" t="inlineStr">
        <is>
          <t>세종특별자치시 부강면 노호리 155-1</t>
        </is>
      </c>
      <c r="B920" s="3" t="inlineStr">
        <is>
          <t>계획관리지역</t>
        </is>
      </c>
      <c r="C920" s="3" t="inlineStr">
        <is>
          <t>공장용지</t>
        </is>
      </c>
      <c r="D920" s="3" t="inlineStr">
        <is>
          <t>공장</t>
        </is>
      </c>
      <c r="E920" s="3" t="inlineStr">
        <is>
          <t>월세</t>
        </is>
      </c>
      <c r="F920" s="4" t="n">
        <v>15000</v>
      </c>
      <c r="G920" s="4" t="n">
        <v>0</v>
      </c>
      <c r="H920" s="4" t="n">
        <v>9566</v>
      </c>
      <c r="I920" s="4" t="n">
        <v>2894</v>
      </c>
      <c r="J920" s="5" t="n">
        <v>0</v>
      </c>
      <c r="K920" s="4" t="n">
        <v>1793</v>
      </c>
      <c r="L920" s="4" t="n">
        <v>542</v>
      </c>
      <c r="M920" s="5" t="n">
        <v>0</v>
      </c>
      <c r="N920" s="3" t="inlineStr">
        <is>
          <t>1</t>
        </is>
      </c>
      <c r="O920" s="3" t="inlineStr">
        <is>
          <t>-</t>
        </is>
      </c>
      <c r="P920" s="3" t="inlineStr">
        <is>
          <t>신탄진IC남청주IC와 중간위치, 대형차 진출입이 편리한곳,호이스트있음</t>
        </is>
      </c>
      <c r="Q920" s="6">
        <f>HYPERLINK("https://fin.land.naver.com/articles/2649085983", "매물Link")</f>
        <v/>
      </c>
      <c r="R920" s="6">
        <f>HYPERLINK("https://map.naver.com/p/search/세종특별자치시 부강면 노호리 155-1", "지도Link")</f>
        <v/>
      </c>
      <c r="S920" s="6">
        <f>HYPERLINK("http://www.eum.go.kr/web/ar/lu/luLandDet.jsp?pnu=3611033027101550001&amp;isNoScr=script&amp;mode=search", "토지이음")</f>
        <v/>
      </c>
      <c r="T920" s="3" t="inlineStr">
        <is>
          <t>(주)미르</t>
        </is>
      </c>
      <c r="U920" s="3" t="n">
        <v>1</v>
      </c>
      <c r="V920" s="3" t="inlineStr">
        <is>
          <t>주건물</t>
        </is>
      </c>
      <c r="W920" s="4" t="n">
        <v>1793</v>
      </c>
      <c r="X920" s="3" t="inlineStr">
        <is>
          <t>일반철골구조</t>
        </is>
      </c>
      <c r="Y920" s="3" t="inlineStr">
        <is>
          <t>공장</t>
        </is>
      </c>
      <c r="Z920" s="3" t="inlineStr">
        <is>
          <t>10.30m</t>
        </is>
      </c>
      <c r="AA920" s="3" t="inlineStr">
        <is>
          <t>2002-05-30</t>
        </is>
      </c>
    </row>
    <row r="921">
      <c r="A921" s="3" t="inlineStr">
        <is>
          <t>세종특별자치시 부강면 노호리 155-1</t>
        </is>
      </c>
      <c r="B921" s="3" t="inlineStr">
        <is>
          <t>계획관리지역</t>
        </is>
      </c>
      <c r="C921" s="3" t="inlineStr">
        <is>
          <t>공장용지</t>
        </is>
      </c>
      <c r="D921" s="3" t="inlineStr">
        <is>
          <t>공장</t>
        </is>
      </c>
      <c r="E921" s="3" t="inlineStr">
        <is>
          <t>월세</t>
        </is>
      </c>
      <c r="F921" s="4" t="n">
        <v>15000</v>
      </c>
      <c r="G921" s="4" t="n">
        <v>0</v>
      </c>
      <c r="H921" s="4" t="n">
        <v>8600</v>
      </c>
      <c r="I921" s="4" t="n">
        <v>2602</v>
      </c>
      <c r="J921" s="5" t="n">
        <v>0</v>
      </c>
      <c r="K921" s="4" t="n">
        <v>1793</v>
      </c>
      <c r="L921" s="4" t="n">
        <v>542</v>
      </c>
      <c r="M921" s="5" t="n">
        <v>0</v>
      </c>
      <c r="N921" s="3" t="inlineStr">
        <is>
          <t>2</t>
        </is>
      </c>
      <c r="O921" s="3" t="inlineStr">
        <is>
          <t>-</t>
        </is>
      </c>
      <c r="P921" s="3" t="inlineStr">
        <is>
          <t>계획관리지역 넓은 야드 층고 높은 공장임대 보1억5천 월1500 매매가능</t>
        </is>
      </c>
      <c r="Q921" s="6">
        <f>HYPERLINK("https://fin.land.naver.com/articles/2648078347", "매물Link")</f>
        <v/>
      </c>
      <c r="R921" s="6">
        <f>HYPERLINK("https://map.naver.com/p/search/세종특별자치시 부강면 노호리 155-1", "지도Link")</f>
        <v/>
      </c>
      <c r="S921" s="6">
        <f>HYPERLINK("http://www.eum.go.kr/web/ar/lu/luLandDet.jsp?pnu=3611033027101550001&amp;isNoScr=script&amp;mode=search", "토지이음")</f>
        <v/>
      </c>
      <c r="T921" s="3" t="inlineStr">
        <is>
          <t>불당대원</t>
        </is>
      </c>
      <c r="U921" s="3" t="n">
        <v>1</v>
      </c>
      <c r="V921" s="3" t="inlineStr">
        <is>
          <t>주건물</t>
        </is>
      </c>
      <c r="W921" s="4" t="n">
        <v>1793</v>
      </c>
      <c r="X921" s="3" t="inlineStr">
        <is>
          <t>일반철골구조</t>
        </is>
      </c>
      <c r="Y921" s="3" t="inlineStr">
        <is>
          <t>공장</t>
        </is>
      </c>
      <c r="Z921" s="3" t="inlineStr">
        <is>
          <t>10.30m</t>
        </is>
      </c>
      <c r="AA921" s="3" t="inlineStr">
        <is>
          <t>2002-05-30</t>
        </is>
      </c>
    </row>
    <row r="922">
      <c r="A922" s="3" t="inlineStr">
        <is>
          <t>세종특별자치시 부강면 노호리 155-1</t>
        </is>
      </c>
      <c r="B922" s="3" t="inlineStr">
        <is>
          <t>계획관리지역</t>
        </is>
      </c>
      <c r="C922" s="3" t="inlineStr">
        <is>
          <t>공장용지</t>
        </is>
      </c>
      <c r="D922" s="3" t="inlineStr">
        <is>
          <t>공장</t>
        </is>
      </c>
      <c r="E922" s="3" t="inlineStr">
        <is>
          <t>월세</t>
        </is>
      </c>
      <c r="F922" s="4" t="n">
        <v>15000</v>
      </c>
      <c r="G922" s="4" t="n">
        <v>0</v>
      </c>
      <c r="H922" s="4" t="n">
        <v>8600</v>
      </c>
      <c r="I922" s="4" t="n">
        <v>2602</v>
      </c>
      <c r="J922" s="5" t="n">
        <v>0</v>
      </c>
      <c r="K922" s="4" t="n">
        <v>1793</v>
      </c>
      <c r="L922" s="4" t="n">
        <v>542</v>
      </c>
      <c r="M922" s="5" t="n">
        <v>0</v>
      </c>
      <c r="N922" s="3" t="inlineStr">
        <is>
          <t>2</t>
        </is>
      </c>
      <c r="O922" s="3" t="inlineStr">
        <is>
          <t>-</t>
        </is>
      </c>
      <c r="P922" s="3" t="inlineStr">
        <is>
          <t>민원소지 없는 야드 넓은 공장임대</t>
        </is>
      </c>
      <c r="Q922" s="6">
        <f>HYPERLINK("https://fin.land.naver.com/articles/2646132601", "매물Link")</f>
        <v/>
      </c>
      <c r="R922" s="6">
        <f>HYPERLINK("https://map.naver.com/p/search/세종특별자치시 부강면 노호리 155-1", "지도Link")</f>
        <v/>
      </c>
      <c r="S922" s="6">
        <f>HYPERLINK("http://www.eum.go.kr/web/ar/lu/luLandDet.jsp?pnu=3611033027101550001&amp;isNoScr=script&amp;mode=search", "토지이음")</f>
        <v/>
      </c>
      <c r="T922" s="3" t="inlineStr">
        <is>
          <t>금화랜드</t>
        </is>
      </c>
      <c r="U922" s="3" t="n">
        <v>1</v>
      </c>
      <c r="V922" s="3" t="inlineStr">
        <is>
          <t>주건물</t>
        </is>
      </c>
      <c r="W922" s="4" t="n">
        <v>1793</v>
      </c>
      <c r="X922" s="3" t="inlineStr">
        <is>
          <t>일반철골구조</t>
        </is>
      </c>
      <c r="Y922" s="3" t="inlineStr">
        <is>
          <t>공장</t>
        </is>
      </c>
      <c r="Z922" s="3" t="inlineStr">
        <is>
          <t>10.30m</t>
        </is>
      </c>
      <c r="AA922" s="3" t="inlineStr">
        <is>
          <t>2002-05-30</t>
        </is>
      </c>
    </row>
    <row r="923">
      <c r="A923" s="3" t="inlineStr">
        <is>
          <t>세종특별자치시 부강면 노호리 155-1</t>
        </is>
      </c>
      <c r="B923" s="3" t="inlineStr">
        <is>
          <t>계획관리지역</t>
        </is>
      </c>
      <c r="C923" s="3" t="inlineStr">
        <is>
          <t>공장용지</t>
        </is>
      </c>
      <c r="D923" s="3" t="inlineStr">
        <is>
          <t>공장</t>
        </is>
      </c>
      <c r="E923" s="3" t="inlineStr">
        <is>
          <t>매매</t>
        </is>
      </c>
      <c r="F923" s="4" t="n">
        <v>570000</v>
      </c>
      <c r="G923" s="4" t="n">
        <v>0</v>
      </c>
      <c r="H923" s="4" t="n">
        <v>9585</v>
      </c>
      <c r="I923" s="4" t="n">
        <v>2899</v>
      </c>
      <c r="J923" s="5" t="n">
        <v>196.6</v>
      </c>
      <c r="K923" s="4" t="n">
        <v>1793</v>
      </c>
      <c r="L923" s="4" t="n">
        <v>542</v>
      </c>
      <c r="M923" s="5" t="n">
        <v>1051.7</v>
      </c>
      <c r="N923" s="3" t="inlineStr">
        <is>
          <t>2</t>
        </is>
      </c>
      <c r="O923" s="3" t="inlineStr">
        <is>
          <t>-</t>
        </is>
      </c>
      <c r="P923" s="3" t="inlineStr">
        <is>
          <t>사진有 공장 매매</t>
        </is>
      </c>
      <c r="Q923" s="6">
        <f>HYPERLINK("https://fin.land.naver.com/articles/2649597220", "매물Link")</f>
        <v/>
      </c>
      <c r="R923" s="6">
        <f>HYPERLINK("https://map.naver.com/p/search/세종특별자치시 부강면 노호리 155-1", "지도Link")</f>
        <v/>
      </c>
      <c r="S923" s="6">
        <f>HYPERLINK("http://www.eum.go.kr/web/ar/lu/luLandDet.jsp?pnu=3611033027101550001&amp;isNoScr=script&amp;mode=search", "토지이음")</f>
        <v/>
      </c>
      <c r="T923" s="3" t="inlineStr">
        <is>
          <t>월드</t>
        </is>
      </c>
      <c r="U923" s="3" t="n">
        <v>1</v>
      </c>
      <c r="V923" s="3" t="inlineStr">
        <is>
          <t>주건물</t>
        </is>
      </c>
      <c r="W923" s="4" t="n">
        <v>1793</v>
      </c>
      <c r="X923" s="3" t="inlineStr">
        <is>
          <t>일반철골구조</t>
        </is>
      </c>
      <c r="Y923" s="3" t="inlineStr">
        <is>
          <t>공장</t>
        </is>
      </c>
      <c r="Z923" s="3" t="inlineStr">
        <is>
          <t>10.30m</t>
        </is>
      </c>
      <c r="AA923" s="3" t="inlineStr">
        <is>
          <t>2002-05-30</t>
        </is>
      </c>
    </row>
    <row r="924">
      <c r="A924" s="3" t="inlineStr">
        <is>
          <t>세종특별자치시 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HYPERLINK("https://map.naver.com/p/search/세종특별자치시 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10.30m</t>
        </is>
      </c>
      <c r="AA924" s="3" t="inlineStr">
        <is>
          <t>2002-05-30</t>
        </is>
      </c>
    </row>
    <row r="925">
      <c r="A925" s="3" t="inlineStr">
        <is>
          <t>세종특별자치시 부강면 노호리 155-1</t>
        </is>
      </c>
      <c r="B925" s="3" t="inlineStr">
        <is>
          <t>계획관리지역</t>
        </is>
      </c>
      <c r="C925" s="3" t="inlineStr">
        <is>
          <t>공장용지</t>
        </is>
      </c>
      <c r="D925" s="3" t="inlineStr">
        <is>
          <t>공장</t>
        </is>
      </c>
      <c r="E925" s="3" t="inlineStr">
        <is>
          <t>매매</t>
        </is>
      </c>
      <c r="F925" s="4" t="n">
        <v>570000</v>
      </c>
      <c r="G925" s="4" t="n">
        <v>0</v>
      </c>
      <c r="H925" s="4" t="n">
        <v>8600</v>
      </c>
      <c r="I925" s="4" t="n">
        <v>2602</v>
      </c>
      <c r="J925" s="5" t="n">
        <v>219.1</v>
      </c>
      <c r="K925" s="4" t="n">
        <v>1793</v>
      </c>
      <c r="L925" s="4" t="n">
        <v>542</v>
      </c>
      <c r="M925" s="5" t="n">
        <v>1051.7</v>
      </c>
      <c r="N925" s="3" t="inlineStr">
        <is>
          <t>1</t>
        </is>
      </c>
      <c r="O925" s="3" t="inlineStr">
        <is>
          <t>-</t>
        </is>
      </c>
      <c r="P925" s="3" t="inlineStr">
        <is>
          <t>세종 노호리 부지 넓은 대형공장 매매</t>
        </is>
      </c>
      <c r="Q925" s="6">
        <f>HYPERLINK("https://fin.land.naver.com/articles/2646807808", "매물Link")</f>
        <v/>
      </c>
      <c r="R925" s="6">
        <f>HYPERLINK("https://map.naver.com/p/search/세종특별자치시 부강면 노호리 155-1", "지도Link")</f>
        <v/>
      </c>
      <c r="S925" s="6">
        <f>HYPERLINK("http://www.eum.go.kr/web/ar/lu/luLandDet.jsp?pnu=3611033027101550001&amp;isNoScr=script&amp;mode=search", "토지이음")</f>
        <v/>
      </c>
      <c r="T925" s="3" t="inlineStr">
        <is>
          <t>SK랜드</t>
        </is>
      </c>
      <c r="U925" s="3" t="n">
        <v>3</v>
      </c>
      <c r="V925" s="3" t="inlineStr">
        <is>
          <t>주건물</t>
        </is>
      </c>
      <c r="W925" s="4" t="n">
        <v>1793</v>
      </c>
      <c r="X925" s="3" t="inlineStr">
        <is>
          <t>일반철골구조</t>
        </is>
      </c>
      <c r="Y925" s="3" t="inlineStr">
        <is>
          <t>공장</t>
        </is>
      </c>
      <c r="Z925" s="3" t="inlineStr">
        <is>
          <t>10.30m</t>
        </is>
      </c>
      <c r="AA925" s="3" t="inlineStr">
        <is>
          <t>2002-05-30</t>
        </is>
      </c>
    </row>
    <row r="926">
      <c r="A926" s="3" t="inlineStr">
        <is>
          <t>세종특별자치시 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HYPERLINK("https://map.naver.com/p/search/세종특별자치시 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10.20m</t>
        </is>
      </c>
      <c r="AA926" s="3" t="inlineStr">
        <is>
          <t>2015-05-01</t>
        </is>
      </c>
    </row>
    <row r="927">
      <c r="A927" s="3" t="inlineStr">
        <is>
          <t>세종특별자치시 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HYPERLINK("https://map.naver.com/p/search/세종특별자치시 부강면 등곡리 350-9", "지도Link")</f>
        <v/>
      </c>
      <c r="S927" s="6">
        <f>HYPERLINK("http://www.eum.go.kr/web/ar/lu/luLandDet.jsp?pnu=3611033026103500009&amp;isNoScr=script&amp;mode=search", "토지이음")</f>
        <v/>
      </c>
      <c r="T927" s="3" t="inlineStr">
        <is>
          <t>우리래미안</t>
        </is>
      </c>
      <c r="U927" s="3" t="n">
        <v>1</v>
      </c>
      <c r="V927" s="3" t="inlineStr">
        <is>
          <t>2동</t>
        </is>
      </c>
      <c r="W927" s="4" t="n">
        <v>273</v>
      </c>
      <c r="X927" s="3" t="inlineStr">
        <is>
          <t>일반철골구조</t>
        </is>
      </c>
      <c r="Y927" s="3" t="inlineStr">
        <is>
          <t>위험물저장및처리시설</t>
        </is>
      </c>
      <c r="Z927" s="3" t="inlineStr">
        <is>
          <t>6.80m</t>
        </is>
      </c>
      <c r="AA927" s="3" t="inlineStr">
        <is>
          <t>2008-07-08</t>
        </is>
      </c>
    </row>
    <row r="928">
      <c r="A928" s="3" t="inlineStr">
        <is>
          <t>세종특별자치시 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HYPERLINK("https://map.naver.com/p/search/세종특별자치시 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세종특별자치시 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HYPERLINK("https://map.naver.com/p/search/세종특별자치시 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12.45m</t>
        </is>
      </c>
      <c r="AA929" s="3" t="inlineStr">
        <is>
          <t>2015-03-04</t>
        </is>
      </c>
    </row>
    <row r="930">
      <c r="A930" s="3" t="inlineStr">
        <is>
          <t>세종특별자치시 부강면 문곡리 140</t>
        </is>
      </c>
      <c r="B930" s="3" t="inlineStr">
        <is>
          <t>계획관리지역</t>
        </is>
      </c>
      <c r="C930" s="3" t="inlineStr">
        <is>
          <t>창고용지</t>
        </is>
      </c>
      <c r="D930" s="3" t="inlineStr">
        <is>
          <t>공장</t>
        </is>
      </c>
      <c r="E930" s="3" t="inlineStr">
        <is>
          <t>매매</t>
        </is>
      </c>
      <c r="F930" s="4" t="n">
        <v>750000</v>
      </c>
      <c r="G930" s="4" t="n">
        <v>0</v>
      </c>
      <c r="H930" s="4" t="n">
        <v>5679</v>
      </c>
      <c r="I930" s="4" t="n">
        <v>1718</v>
      </c>
      <c r="J930" s="5" t="n">
        <v>436.6</v>
      </c>
      <c r="K930" s="4" t="n">
        <v>2303</v>
      </c>
      <c r="L930" s="4" t="n">
        <v>697</v>
      </c>
      <c r="M930" s="5" t="n">
        <v>1076</v>
      </c>
      <c r="N930" s="3" t="inlineStr">
        <is>
          <t>2</t>
        </is>
      </c>
      <c r="O930" s="3" t="inlineStr">
        <is>
          <t>-</t>
        </is>
      </c>
      <c r="P930" s="3" t="inlineStr">
        <is>
          <t>o사진o 경부고속3km 처마10m 입지좋은 물류창고 매매</t>
        </is>
      </c>
      <c r="Q930" s="6">
        <f>HYPERLINK("https://fin.land.naver.com/articles/2649776333", "매물Link")</f>
        <v/>
      </c>
      <c r="R930" s="6">
        <f>HYPERLINK("https://map.naver.com/p/search/세종특별자치시 부강면 문곡리 140", "지도Link")</f>
        <v/>
      </c>
      <c r="S930" s="6">
        <f>HYPERLINK("http://www.eum.go.kr/web/ar/lu/luLandDet.jsp?pnu=3611033025101400000&amp;isNoScr=script&amp;mode=search", "토지이음")</f>
        <v/>
      </c>
      <c r="T930" s="3" t="inlineStr">
        <is>
          <t>서정</t>
        </is>
      </c>
      <c r="U930" s="3" t="n">
        <v>3</v>
      </c>
      <c r="V930" s="3" t="inlineStr">
        <is>
          <t>주건축물제1동</t>
        </is>
      </c>
      <c r="W930" s="4" t="n">
        <v>2303</v>
      </c>
      <c r="X930" s="3" t="inlineStr">
        <is>
          <t>일반철골구조</t>
        </is>
      </c>
      <c r="Y930" s="3" t="inlineStr">
        <is>
          <t>창고시설</t>
        </is>
      </c>
      <c r="Z930" s="3" t="inlineStr">
        <is>
          <t>12.45m</t>
        </is>
      </c>
      <c r="AA930" s="3" t="inlineStr">
        <is>
          <t>2015-03-04</t>
        </is>
      </c>
    </row>
    <row r="931">
      <c r="A931" s="3" t="inlineStr">
        <is>
          <t>세종특별자치시 부강면 문곡리 140</t>
        </is>
      </c>
      <c r="B931" s="3" t="inlineStr">
        <is>
          <t>계획관리지역</t>
        </is>
      </c>
      <c r="C931" s="3" t="inlineStr">
        <is>
          <t>창고용지</t>
        </is>
      </c>
      <c r="D931" s="3" t="inlineStr">
        <is>
          <t>창고</t>
        </is>
      </c>
      <c r="E931" s="3" t="inlineStr">
        <is>
          <t>매매</t>
        </is>
      </c>
      <c r="F931" s="4" t="n">
        <v>750000</v>
      </c>
      <c r="G931" s="4" t="n">
        <v>0</v>
      </c>
      <c r="H931" s="4" t="n">
        <v>6153</v>
      </c>
      <c r="I931" s="4" t="n">
        <v>1861</v>
      </c>
      <c r="J931" s="5" t="n">
        <v>403</v>
      </c>
      <c r="K931" s="4" t="n">
        <v>1408</v>
      </c>
      <c r="L931" s="4" t="n">
        <v>426</v>
      </c>
      <c r="M931" s="5" t="n">
        <v>1760.6</v>
      </c>
      <c r="N931" s="3" t="inlineStr">
        <is>
          <t>2</t>
        </is>
      </c>
      <c r="O931" s="3" t="inlineStr">
        <is>
          <t>-</t>
        </is>
      </c>
      <c r="P931" s="3" t="inlineStr">
        <is>
          <t>nan</t>
        </is>
      </c>
      <c r="Q931" s="6">
        <f>HYPERLINK("https://fin.land.naver.com/articles/2647508713", "매물Link")</f>
        <v/>
      </c>
      <c r="R931" s="6">
        <f>HYPERLINK("https://map.naver.com/p/search/세종특별자치시 부강면 문곡리 140", "지도Link")</f>
        <v/>
      </c>
      <c r="S931" s="6">
        <f>HYPERLINK("http://www.eum.go.kr/web/ar/lu/luLandDet.jsp?pnu=3611033025101400000&amp;isNoScr=script&amp;mode=search", "토지이음")</f>
        <v/>
      </c>
      <c r="T931" s="3" t="inlineStr">
        <is>
          <t>다온</t>
        </is>
      </c>
      <c r="U931" s="3" t="n">
        <v>1</v>
      </c>
      <c r="V931" s="3" t="inlineStr">
        <is>
          <t>주건축물제1동</t>
        </is>
      </c>
      <c r="W931" s="4" t="n">
        <v>1408</v>
      </c>
      <c r="X931" s="3" t="inlineStr">
        <is>
          <t>일반철골구조</t>
        </is>
      </c>
      <c r="Y931" s="3" t="inlineStr">
        <is>
          <t>창고시설</t>
        </is>
      </c>
      <c r="Z931" s="3" t="inlineStr">
        <is>
          <t>12.45m</t>
        </is>
      </c>
      <c r="AA931" s="3" t="inlineStr">
        <is>
          <t>2015-03-04</t>
        </is>
      </c>
    </row>
    <row r="932">
      <c r="A932" s="3" t="inlineStr">
        <is>
          <t>세종특별자치시 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HYPERLINK("https://map.naver.com/p/search/세종특별자치시 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11.90m</t>
        </is>
      </c>
      <c r="AA932" s="3" t="inlineStr">
        <is>
          <t>2016-08-09</t>
        </is>
      </c>
    </row>
    <row r="933">
      <c r="A933" s="3" t="inlineStr">
        <is>
          <t>세종특별자치시 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HYPERLINK("https://map.naver.com/p/search/세종특별자치시 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11.45m</t>
        </is>
      </c>
      <c r="AA933" s="3" t="inlineStr">
        <is>
          <t>2018-07-16</t>
        </is>
      </c>
    </row>
    <row r="934">
      <c r="A934" s="3" t="inlineStr">
        <is>
          <t>세종특별자치시 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HYPERLINK("https://map.naver.com/p/search/세종특별자치시 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11.45m</t>
        </is>
      </c>
      <c r="AA934" s="3" t="inlineStr">
        <is>
          <t>2018-07-16</t>
        </is>
      </c>
    </row>
    <row r="935">
      <c r="A935" s="3" t="inlineStr">
        <is>
          <t>세종특별자치시 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HYPERLINK("https://map.naver.com/p/search/세종특별자치시 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11.50m</t>
        </is>
      </c>
      <c r="AA935" s="3" t="inlineStr">
        <is>
          <t>2018-12-04</t>
        </is>
      </c>
    </row>
    <row r="936">
      <c r="A936" s="3" t="inlineStr">
        <is>
          <t>세종특별자치시 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 5분 거리이며 2차선도로 접한 대형물류창고 도크시설 완비</t>
        </is>
      </c>
      <c r="Q936" s="6">
        <f>HYPERLINK("https://fin.land.naver.com/articles/2648089946", "매물Link")</f>
        <v/>
      </c>
      <c r="R936" s="6">
        <f>HYPERLINK("https://map.naver.com/p/search/세종특별자치시 부강면 문곡리 680", "지도Link")</f>
        <v/>
      </c>
      <c r="S936" s="6">
        <f>HYPERLINK("http://www.eum.go.kr/web/ar/lu/luLandDet.jsp?pnu=3611033025106800000&amp;isNoScr=script&amp;mode=search", "토지이음")</f>
        <v/>
      </c>
      <c r="T936" s="3" t="inlineStr">
        <is>
          <t>더원</t>
        </is>
      </c>
      <c r="U936" s="3" t="n">
        <v>1</v>
      </c>
      <c r="V936" s="3" t="inlineStr">
        <is>
          <t>주건물</t>
        </is>
      </c>
      <c r="W936" s="4" t="n">
        <v>4986</v>
      </c>
      <c r="X936" s="3" t="inlineStr">
        <is>
          <t>일반철골구조</t>
        </is>
      </c>
      <c r="Y936" s="3" t="inlineStr">
        <is>
          <t>창고시설</t>
        </is>
      </c>
      <c r="Z936" s="3" t="inlineStr">
        <is>
          <t>10.80m</t>
        </is>
      </c>
      <c r="AA936" s="3" t="inlineStr">
        <is>
          <t>1999-10-06</t>
        </is>
      </c>
    </row>
    <row r="937">
      <c r="A937" s="3" t="inlineStr">
        <is>
          <t>세종특별자치시 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HYPERLINK("https://map.naver.com/p/search/세종특별자치시 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10.80m</t>
        </is>
      </c>
      <c r="AA937" s="3" t="inlineStr">
        <is>
          <t>1999-10-06</t>
        </is>
      </c>
    </row>
    <row r="938">
      <c r="A938" s="3" t="inlineStr">
        <is>
          <t>세종특별자치시 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남청주IC인근, 층고 높고 마당이 넓어 활용도 좋은 대형 물류창고</t>
        </is>
      </c>
      <c r="Q938" s="6">
        <f>HYPERLINK("https://fin.land.naver.com/articles/2650178094", "매물Link")</f>
        <v/>
      </c>
      <c r="R938" s="6">
        <f>HYPERLINK("https://map.naver.com/p/search/세종특별자치시 부강면 문곡리 680", "지도Link")</f>
        <v/>
      </c>
      <c r="S938" s="6">
        <f>HYPERLINK("http://www.eum.go.kr/web/ar/lu/luLandDet.jsp?pnu=3611033025106800000&amp;isNoScr=script&amp;mode=search", "토지이음")</f>
        <v/>
      </c>
      <c r="T938" s="3" t="inlineStr">
        <is>
          <t>(주)미르</t>
        </is>
      </c>
      <c r="U938" s="3" t="n">
        <v>1</v>
      </c>
      <c r="V938" s="3" t="inlineStr">
        <is>
          <t>주건물</t>
        </is>
      </c>
      <c r="W938" s="4" t="n">
        <v>4986</v>
      </c>
      <c r="X938" s="3" t="inlineStr">
        <is>
          <t>일반철골구조</t>
        </is>
      </c>
      <c r="Y938" s="3" t="inlineStr">
        <is>
          <t>창고시설</t>
        </is>
      </c>
      <c r="Z938" s="3" t="inlineStr">
        <is>
          <t>10.80m</t>
        </is>
      </c>
      <c r="AA938" s="3" t="inlineStr">
        <is>
          <t>1999-10-06</t>
        </is>
      </c>
    </row>
    <row r="939">
      <c r="A939" s="3" t="inlineStr">
        <is>
          <t>세종특별자치시 부강면 문곡리 729</t>
        </is>
      </c>
      <c r="B939" s="3" t="inlineStr">
        <is>
          <t>계획관리지역</t>
        </is>
      </c>
      <c r="C939" s="3" t="inlineStr">
        <is>
          <t>대</t>
        </is>
      </c>
      <c r="D939" s="3" t="inlineStr">
        <is>
          <t>창고</t>
        </is>
      </c>
      <c r="E939" s="3" t="inlineStr">
        <is>
          <t>월세</t>
        </is>
      </c>
      <c r="F939" s="4" t="n">
        <v>1500</v>
      </c>
      <c r="G939" s="4" t="n">
        <v>140</v>
      </c>
      <c r="H939" s="4" t="n">
        <v>330</v>
      </c>
      <c r="I939" s="4" t="n">
        <v>100</v>
      </c>
      <c r="J939" s="5" t="n">
        <v>1.4</v>
      </c>
      <c r="K939" s="4" t="n">
        <v>195</v>
      </c>
      <c r="L939" s="4" t="n">
        <v>59</v>
      </c>
      <c r="M939" s="5" t="n">
        <v>2.4</v>
      </c>
      <c r="N939" s="3" t="inlineStr">
        <is>
          <t>1</t>
        </is>
      </c>
      <c r="O939" s="3" t="inlineStr">
        <is>
          <t>-</t>
        </is>
      </c>
      <c r="P939" s="3" t="inlineStr">
        <is>
          <t>소형 창고 임대 대로변에 접하여 진출입 매우 용이 근생건물</t>
        </is>
      </c>
      <c r="Q939" s="6">
        <f>HYPERLINK("https://fin.land.naver.com/articles/2649200158", "매물Link")</f>
        <v/>
      </c>
      <c r="R939" s="6">
        <f>HYPERLINK("https://map.naver.com/p/search/세종특별자치시 부강면 문곡리 729", "지도Link")</f>
        <v/>
      </c>
      <c r="S939" s="6">
        <f>HYPERLINK("http://www.eum.go.kr/web/ar/lu/luLandDet.jsp?pnu=3611033025107290000&amp;isNoScr=script&amp;mode=search", "토지이음")</f>
        <v/>
      </c>
      <c r="T939" s="3" t="inlineStr">
        <is>
          <t>태광</t>
        </is>
      </c>
      <c r="U939" s="3" t="n">
        <v>1</v>
      </c>
      <c r="V939" s="3" t="inlineStr">
        <is>
          <t>주건축물제1동</t>
        </is>
      </c>
      <c r="W939" s="4" t="n">
        <v>195</v>
      </c>
      <c r="X939" s="3" t="inlineStr">
        <is>
          <t>일반철골구조</t>
        </is>
      </c>
      <c r="Y939" s="3" t="inlineStr">
        <is>
          <t>제1종근린생활시설</t>
        </is>
      </c>
      <c r="Z939" s="3" t="inlineStr">
        <is>
          <t>8.62m</t>
        </is>
      </c>
      <c r="AA939" s="3" t="inlineStr">
        <is>
          <t>2018-12-06</t>
        </is>
      </c>
    </row>
    <row r="940">
      <c r="A940" s="3" t="inlineStr">
        <is>
          <t>세종특별자치시 부강면 문곡리 729</t>
        </is>
      </c>
      <c r="B940" s="3" t="inlineStr">
        <is>
          <t>계획관리지역</t>
        </is>
      </c>
      <c r="C940" s="3" t="inlineStr">
        <is>
          <t>대</t>
        </is>
      </c>
      <c r="D940" s="3" t="inlineStr">
        <is>
          <t>창고</t>
        </is>
      </c>
      <c r="E940" s="3" t="inlineStr">
        <is>
          <t>월세</t>
        </is>
      </c>
      <c r="F940" s="4" t="n">
        <v>1500</v>
      </c>
      <c r="G940" s="4" t="n">
        <v>140</v>
      </c>
      <c r="H940" s="4" t="n">
        <v>2499</v>
      </c>
      <c r="I940" s="4" t="n">
        <v>756</v>
      </c>
      <c r="J940" s="5" t="n">
        <v>0.2</v>
      </c>
      <c r="K940" s="4" t="n">
        <v>195</v>
      </c>
      <c r="L940" s="4" t="n">
        <v>59</v>
      </c>
      <c r="M940" s="5" t="n">
        <v>2.4</v>
      </c>
      <c r="N940" s="3" t="inlineStr">
        <is>
          <t>1</t>
        </is>
      </c>
      <c r="O940" s="3" t="inlineStr">
        <is>
          <t>-</t>
        </is>
      </c>
      <c r="P940" s="3" t="inlineStr">
        <is>
          <t>사진0, 제조업 가능하고 대형차량 진입 자유로운 창고임대</t>
        </is>
      </c>
      <c r="Q940" s="6">
        <f>HYPERLINK("https://fin.land.naver.com/articles/2649726439", "매물Link")</f>
        <v/>
      </c>
      <c r="R940" s="6">
        <f>HYPERLINK("https://map.naver.com/p/search/세종특별자치시 부강면 문곡리 729", "지도Link")</f>
        <v/>
      </c>
      <c r="S940" s="6">
        <f>HYPERLINK("http://www.eum.go.kr/web/ar/lu/luLandDet.jsp?pnu=3611033025107290000&amp;isNoScr=script&amp;mode=search", "토지이음")</f>
        <v/>
      </c>
      <c r="T940" s="3" t="inlineStr">
        <is>
          <t>비전</t>
        </is>
      </c>
      <c r="U940" s="3" t="n">
        <v>1</v>
      </c>
      <c r="V940" s="3" t="inlineStr">
        <is>
          <t>주건축물제1동</t>
        </is>
      </c>
      <c r="W940" s="4" t="n">
        <v>195</v>
      </c>
      <c r="X940" s="3" t="inlineStr">
        <is>
          <t>일반철골구조</t>
        </is>
      </c>
      <c r="Y940" s="3" t="inlineStr">
        <is>
          <t>제1종근린생활시설</t>
        </is>
      </c>
      <c r="Z940" s="3" t="inlineStr">
        <is>
          <t>8.62m</t>
        </is>
      </c>
      <c r="AA940" s="3" t="inlineStr">
        <is>
          <t>2018-12-06</t>
        </is>
      </c>
    </row>
    <row r="941">
      <c r="A941" s="3" t="inlineStr">
        <is>
          <t>세종특별자치시 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진출입편리한 남청주인근 소형창고</t>
        </is>
      </c>
      <c r="Q941" s="6">
        <f>HYPERLINK("https://fin.land.naver.com/articles/2649562576", "매물Link")</f>
        <v/>
      </c>
      <c r="R941" s="6">
        <f>HYPERLINK("https://map.naver.com/p/search/세종특별자치시 부강면 문곡리 729", "지도Link")</f>
        <v/>
      </c>
      <c r="S941" s="6">
        <f>HYPERLINK("http://www.eum.go.kr/web/ar/lu/luLandDet.jsp?pnu=3611033025107290000&amp;isNoScr=script&amp;mode=search", "토지이음")</f>
        <v/>
      </c>
      <c r="T941" s="3" t="inlineStr">
        <is>
          <t>창고의여왕</t>
        </is>
      </c>
      <c r="U941" s="3" t="n">
        <v>1</v>
      </c>
      <c r="V941" s="3" t="inlineStr">
        <is>
          <t>주건축물제1동</t>
        </is>
      </c>
      <c r="W941" s="4" t="n">
        <v>195</v>
      </c>
      <c r="X941" s="3" t="inlineStr">
        <is>
          <t>일반철골구조</t>
        </is>
      </c>
      <c r="Y941" s="3" t="inlineStr">
        <is>
          <t>제1종근린생활시설</t>
        </is>
      </c>
      <c r="Z941" s="3" t="inlineStr">
        <is>
          <t>8.62m</t>
        </is>
      </c>
      <c r="AA941" s="3" t="inlineStr">
        <is>
          <t>2018-12-06</t>
        </is>
      </c>
    </row>
    <row r="942">
      <c r="A942" s="3" t="inlineStr">
        <is>
          <t>세종특별자치시 부강면 문곡리 729</t>
        </is>
      </c>
      <c r="B942" s="3" t="inlineStr">
        <is>
          <t>계획관리지역</t>
        </is>
      </c>
      <c r="C942" s="3" t="inlineStr">
        <is>
          <t>대</t>
        </is>
      </c>
      <c r="D942" s="3" t="inlineStr">
        <is>
          <t>창고</t>
        </is>
      </c>
      <c r="E942" s="3" t="inlineStr">
        <is>
          <t>월세</t>
        </is>
      </c>
      <c r="F942" s="4" t="n">
        <v>1500</v>
      </c>
      <c r="G942" s="4" t="n">
        <v>140</v>
      </c>
      <c r="H942" s="4" t="n">
        <v>195</v>
      </c>
      <c r="I942" s="4" t="n">
        <v>59</v>
      </c>
      <c r="J942" s="5" t="n">
        <v>2.4</v>
      </c>
      <c r="K942" s="4" t="n">
        <v>195</v>
      </c>
      <c r="L942" s="4" t="n">
        <v>59</v>
      </c>
      <c r="M942" s="5" t="n">
        <v>2.4</v>
      </c>
      <c r="N942" s="3" t="inlineStr">
        <is>
          <t>1</t>
        </is>
      </c>
      <c r="O942" s="3" t="inlineStr">
        <is>
          <t>B1</t>
        </is>
      </c>
      <c r="P942" s="3" t="inlineStr">
        <is>
          <t>10월중순 입주협의, 2개동까지 임대 가능, 연청로 근접</t>
        </is>
      </c>
      <c r="Q942" s="6">
        <f>HYPERLINK("https://fin.land.naver.com/articles/2649933957", "매물Link")</f>
        <v/>
      </c>
      <c r="R942" s="6">
        <f>HYPERLINK("https://map.naver.com/p/search/세종특별자치시 부강면 문곡리 729", "지도Link")</f>
        <v/>
      </c>
      <c r="S942" s="6">
        <f>HYPERLINK("http://www.eum.go.kr/web/ar/lu/luLandDet.jsp?pnu=3611033025107290000&amp;isNoScr=script&amp;mode=search", "토지이음")</f>
        <v/>
      </c>
      <c r="T942" s="3" t="inlineStr">
        <is>
          <t>세종잘하는</t>
        </is>
      </c>
      <c r="U942" s="3" t="n">
        <v>1</v>
      </c>
      <c r="V942" s="3" t="inlineStr">
        <is>
          <t>주건축물제1동</t>
        </is>
      </c>
      <c r="W942" s="4" t="n">
        <v>195</v>
      </c>
      <c r="X942" s="3" t="inlineStr">
        <is>
          <t>일반철골구조</t>
        </is>
      </c>
      <c r="Y942" s="3" t="inlineStr">
        <is>
          <t>제1종근린생활시설</t>
        </is>
      </c>
      <c r="Z942" s="3" t="inlineStr">
        <is>
          <t>8.62m</t>
        </is>
      </c>
      <c r="AA942" s="3" t="inlineStr">
        <is>
          <t>2018-12-06</t>
        </is>
      </c>
    </row>
    <row r="943">
      <c r="A943" s="3" t="inlineStr">
        <is>
          <t>세종특별자치시 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교통편리한 부강면 저렴한 소형창고 임대</t>
        </is>
      </c>
      <c r="Q943" s="6">
        <f>HYPERLINK("https://fin.land.naver.com/articles/2647101871", "매물Link")</f>
        <v/>
      </c>
      <c r="R943" s="6">
        <f>HYPERLINK("https://map.naver.com/p/search/세종특별자치시 부강면 문곡리 729", "지도Link")</f>
        <v/>
      </c>
      <c r="S943" s="6">
        <f>HYPERLINK("http://www.eum.go.kr/web/ar/lu/luLandDet.jsp?pnu=3611033025107290000&amp;isNoScr=script&amp;mode=search", "토지이음")</f>
        <v/>
      </c>
      <c r="T943" s="3" t="inlineStr">
        <is>
          <t>세종행복한</t>
        </is>
      </c>
      <c r="U943" s="3" t="n">
        <v>1</v>
      </c>
      <c r="V943" s="3" t="inlineStr">
        <is>
          <t>주건축물제1동</t>
        </is>
      </c>
      <c r="W943" s="4" t="n">
        <v>195</v>
      </c>
      <c r="X943" s="3" t="inlineStr">
        <is>
          <t>일반철골구조</t>
        </is>
      </c>
      <c r="Y943" s="3" t="inlineStr">
        <is>
          <t>제1종근린생활시설</t>
        </is>
      </c>
      <c r="Z943" s="3" t="inlineStr">
        <is>
          <t>8.62m</t>
        </is>
      </c>
      <c r="AA943" s="3" t="inlineStr">
        <is>
          <t>2018-12-06</t>
        </is>
      </c>
    </row>
    <row r="944">
      <c r="A944" s="3" t="inlineStr">
        <is>
          <t>세종특별자치시 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HYPERLINK("https://map.naver.com/p/search/세종특별자치시 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7.50m</t>
        </is>
      </c>
      <c r="AA944" s="3" t="inlineStr">
        <is>
          <t>2024-11-27</t>
        </is>
      </c>
    </row>
    <row r="945">
      <c r="A945" s="3" t="inlineStr">
        <is>
          <t>세종특별자치시 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HYPERLINK("https://map.naver.com/p/search/세종특별자치시 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8.50m</t>
        </is>
      </c>
      <c r="AA945" s="3" t="inlineStr">
        <is>
          <t>2007-07-04</t>
        </is>
      </c>
    </row>
    <row r="946">
      <c r="A946" s="3" t="inlineStr">
        <is>
          <t>세종특별자치시 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HYPERLINK("https://map.naver.com/p/search/세종특별자치시 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8.90m</t>
        </is>
      </c>
      <c r="AA946" s="3" t="inlineStr">
        <is>
          <t>2022-02-09</t>
        </is>
      </c>
    </row>
    <row r="947">
      <c r="A947" s="3" t="inlineStr">
        <is>
          <t>세종특별자치시 부강면 문곡리 904-4</t>
        </is>
      </c>
      <c r="B947" s="3" t="inlineStr">
        <is>
          <t>계획관리지역</t>
        </is>
      </c>
      <c r="C947" s="3" t="inlineStr">
        <is>
          <t>공장용지</t>
        </is>
      </c>
      <c r="D947" s="3" t="inlineStr">
        <is>
          <t>공장</t>
        </is>
      </c>
      <c r="E947" s="3" t="inlineStr">
        <is>
          <t>매매</t>
        </is>
      </c>
      <c r="F947" s="4" t="n">
        <v>240000</v>
      </c>
      <c r="G947" s="4" t="n">
        <v>0</v>
      </c>
      <c r="H947" s="4" t="n">
        <v>2874</v>
      </c>
      <c r="I947" s="4" t="n">
        <v>869</v>
      </c>
      <c r="J947" s="5" t="n">
        <v>276.2</v>
      </c>
      <c r="K947" s="4" t="n">
        <v>1375</v>
      </c>
      <c r="L947" s="4" t="n">
        <v>416</v>
      </c>
      <c r="M947" s="5" t="n">
        <v>576.9</v>
      </c>
      <c r="N947" s="3" t="inlineStr">
        <is>
          <t>1</t>
        </is>
      </c>
      <c r="O947" s="3" t="inlineStr">
        <is>
          <t>-</t>
        </is>
      </c>
      <c r="P947" s="3" t="inlineStr">
        <is>
          <t>민원없는 지역 공장 매매 건물2개동으로 분할매매 가능 남청주 IC 인접</t>
        </is>
      </c>
      <c r="Q947" s="6">
        <f>HYPERLINK("https://fin.land.naver.com/articles/2646378295", "매물Link")</f>
        <v/>
      </c>
      <c r="R947" s="6">
        <f>HYPERLINK("https://map.naver.com/p/search/세종특별자치시 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1375</v>
      </c>
      <c r="X947" s="3" t="inlineStr">
        <is>
          <t>일반철골구조</t>
        </is>
      </c>
      <c r="Y947" s="3" t="inlineStr">
        <is>
          <t>창고시설</t>
        </is>
      </c>
      <c r="Z947" s="3" t="inlineStr">
        <is>
          <t>10.50m</t>
        </is>
      </c>
      <c r="AA947" s="3" t="inlineStr">
        <is>
          <t>2012-06-14</t>
        </is>
      </c>
    </row>
    <row r="948">
      <c r="A948" s="3" t="inlineStr">
        <is>
          <t>세종특별자치시 부강면 문곡리 904-4</t>
        </is>
      </c>
      <c r="B948" s="3" t="inlineStr">
        <is>
          <t>계획관리지역</t>
        </is>
      </c>
      <c r="C948" s="3" t="inlineStr">
        <is>
          <t>공장용지</t>
        </is>
      </c>
      <c r="D948" s="3" t="inlineStr">
        <is>
          <t>공장</t>
        </is>
      </c>
      <c r="E948" s="3" t="inlineStr">
        <is>
          <t>월세</t>
        </is>
      </c>
      <c r="F948" s="4" t="n">
        <v>2000</v>
      </c>
      <c r="G948" s="4" t="n">
        <v>245</v>
      </c>
      <c r="H948" s="4" t="n">
        <v>1326</v>
      </c>
      <c r="I948" s="4" t="n">
        <v>401</v>
      </c>
      <c r="J948" s="5" t="n">
        <v>0.6</v>
      </c>
      <c r="K948" s="4" t="n">
        <v>929</v>
      </c>
      <c r="L948" s="4" t="n">
        <v>281</v>
      </c>
      <c r="M948" s="5" t="n">
        <v>0.9</v>
      </c>
      <c r="N948" s="3" t="inlineStr">
        <is>
          <t>2</t>
        </is>
      </c>
      <c r="O948" s="3" t="inlineStr">
        <is>
          <t>-</t>
        </is>
      </c>
      <c r="P948" s="3" t="inlineStr">
        <is>
          <t>1층 창고, 2층 제조업소 각 임대 가능</t>
        </is>
      </c>
      <c r="Q948" s="6">
        <f>HYPERLINK("https://fin.land.naver.com/articles/2648014664", "매물Link")</f>
        <v/>
      </c>
      <c r="R948" s="6">
        <f>HYPERLINK("https://map.naver.com/p/search/세종특별자치시 부강면 문곡리 904-4", "지도Link")</f>
        <v/>
      </c>
      <c r="S948" s="6">
        <f>HYPERLINK("http://www.eum.go.kr/web/ar/lu/luLandDet.jsp?pnu=3611033025109040004&amp;isNoScr=script&amp;mode=search", "토지이음")</f>
        <v/>
      </c>
      <c r="T948" s="3" t="inlineStr">
        <is>
          <t>어반나래</t>
        </is>
      </c>
      <c r="U948" s="3" t="n">
        <v>1</v>
      </c>
      <c r="V948" s="3" t="inlineStr">
        <is>
          <t>주1동</t>
        </is>
      </c>
      <c r="W948" s="4" t="n">
        <v>929</v>
      </c>
      <c r="X948" s="3" t="inlineStr">
        <is>
          <t>일반철골구조</t>
        </is>
      </c>
      <c r="Y948" s="3" t="inlineStr">
        <is>
          <t>창고시설</t>
        </is>
      </c>
      <c r="Z948" s="3" t="inlineStr">
        <is>
          <t>10.50m</t>
        </is>
      </c>
      <c r="AA948" s="3" t="inlineStr">
        <is>
          <t>2012-06-14</t>
        </is>
      </c>
    </row>
    <row r="949">
      <c r="A949" s="3" t="inlineStr">
        <is>
          <t>세종특별자치시 부강면 문곡리 904-4</t>
        </is>
      </c>
      <c r="B949" s="3" t="inlineStr">
        <is>
          <t>계획관리지역</t>
        </is>
      </c>
      <c r="C949" s="3" t="inlineStr">
        <is>
          <t>공장용지</t>
        </is>
      </c>
      <c r="D949" s="3" t="inlineStr">
        <is>
          <t>공장</t>
        </is>
      </c>
      <c r="E949" s="3" t="inlineStr">
        <is>
          <t>매매</t>
        </is>
      </c>
      <c r="F949" s="4" t="n">
        <v>130000</v>
      </c>
      <c r="G949" s="4" t="n">
        <v>0</v>
      </c>
      <c r="H949" s="4" t="n">
        <v>1705</v>
      </c>
      <c r="I949" s="4" t="n">
        <v>516</v>
      </c>
      <c r="J949" s="5" t="n">
        <v>251.9</v>
      </c>
      <c r="K949" s="4" t="n">
        <v>929</v>
      </c>
      <c r="L949" s="4" t="n">
        <v>281</v>
      </c>
      <c r="M949" s="5" t="n">
        <v>462.6</v>
      </c>
      <c r="N949" s="3" t="inlineStr">
        <is>
          <t>2</t>
        </is>
      </c>
      <c r="O949" s="3" t="inlineStr">
        <is>
          <t>-</t>
        </is>
      </c>
      <c r="P949" s="3" t="inlineStr">
        <is>
          <t>민원 없는  남 청주 IC인근 대형차 진 출입 편리한 공장, 창고</t>
        </is>
      </c>
      <c r="Q949" s="6">
        <f>HYPERLINK("https://fin.land.naver.com/articles/2646118668", "매물Link")</f>
        <v/>
      </c>
      <c r="R949" s="6">
        <f>HYPERLINK("https://map.naver.com/p/search/세종특별자치시 부강면 문곡리 904-4", "지도Link")</f>
        <v/>
      </c>
      <c r="S949" s="6">
        <f>HYPERLINK("http://www.eum.go.kr/web/ar/lu/luLandDet.jsp?pnu=3611033025109040004&amp;isNoScr=script&amp;mode=search", "토지이음")</f>
        <v/>
      </c>
      <c r="T949" s="3" t="inlineStr">
        <is>
          <t>대전토지로무소</t>
        </is>
      </c>
      <c r="U949" s="3" t="n">
        <v>1</v>
      </c>
      <c r="V949" s="3" t="inlineStr">
        <is>
          <t>주1동</t>
        </is>
      </c>
      <c r="W949" s="4" t="n">
        <v>929</v>
      </c>
      <c r="X949" s="3" t="inlineStr">
        <is>
          <t>일반철골구조</t>
        </is>
      </c>
      <c r="Y949" s="3" t="inlineStr">
        <is>
          <t>창고시설</t>
        </is>
      </c>
      <c r="Z949" s="3" t="inlineStr">
        <is>
          <t>10.50m</t>
        </is>
      </c>
      <c r="AA949" s="3" t="inlineStr">
        <is>
          <t>2012-06-14</t>
        </is>
      </c>
    </row>
    <row r="950">
      <c r="A950" s="3" t="inlineStr">
        <is>
          <t>세종특별자치시 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HYPERLINK("https://map.naver.com/p/search/세종특별자치시 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10.50m</t>
        </is>
      </c>
      <c r="AA950" s="3" t="inlineStr">
        <is>
          <t>2012-06-14</t>
        </is>
      </c>
    </row>
    <row r="951">
      <c r="A951" s="3" t="inlineStr">
        <is>
          <t>세종특별자치시 부강면 부강리 377-11</t>
        </is>
      </c>
      <c r="B951" s="3" t="inlineStr">
        <is>
          <t>제2종일반주거지역</t>
        </is>
      </c>
      <c r="C951" s="3" t="inlineStr">
        <is>
          <t>대</t>
        </is>
      </c>
      <c r="D951" s="3" t="inlineStr">
        <is>
          <t>공장</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남청주IC 7분,공장등록가능, 대기업 사업 아이템인수가능</t>
        </is>
      </c>
      <c r="Q951" s="6">
        <f>HYPERLINK("https://fin.land.naver.com/articles/2649486165", "매물Link")</f>
        <v/>
      </c>
      <c r="R951" s="6">
        <f>HYPERLINK("https://map.naver.com/p/search/세종특별자치시 부강면 부강리 377-11", "지도Link")</f>
        <v/>
      </c>
      <c r="S951" s="6">
        <f>HYPERLINK("http://www.eum.go.kr/web/ar/lu/luLandDet.jsp?pnu=3611033021103770011&amp;isNoScr=script&amp;mode=search", "토지이음")</f>
        <v/>
      </c>
      <c r="T951" s="3" t="inlineStr">
        <is>
          <t>대성오투그란데</t>
        </is>
      </c>
      <c r="U951" s="3" t="n">
        <v>1</v>
      </c>
      <c r="V951" s="3" t="inlineStr">
        <is>
          <t>주건축물제1동</t>
        </is>
      </c>
      <c r="W951" s="4" t="n">
        <v>244</v>
      </c>
      <c r="X951" s="3" t="inlineStr">
        <is>
          <t>경량철골구조</t>
        </is>
      </c>
      <c r="Y951" s="3" t="inlineStr">
        <is>
          <t>제2종근린생활시설</t>
        </is>
      </c>
      <c r="Z951" s="3" t="inlineStr">
        <is>
          <t>4.80m</t>
        </is>
      </c>
      <c r="AA951" s="3" t="inlineStr">
        <is>
          <t>2020-07-23</t>
        </is>
      </c>
    </row>
    <row r="952">
      <c r="A952" s="3" t="inlineStr">
        <is>
          <t>세종특별자치시 부강면 부강리 377-11</t>
        </is>
      </c>
      <c r="B952" s="3" t="inlineStr">
        <is>
          <t>제2종일반주거지역</t>
        </is>
      </c>
      <c r="C952" s="3" t="inlineStr">
        <is>
          <t>대</t>
        </is>
      </c>
      <c r="D952" s="3" t="inlineStr">
        <is>
          <t>창고</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사진ok, 제2종근린생활시설  제조업가능한  창고매매 .</t>
        </is>
      </c>
      <c r="Q952" s="6">
        <f>HYPERLINK("https://fin.land.naver.com/articles/2649470959", "매물Link")</f>
        <v/>
      </c>
      <c r="R952" s="6">
        <f>HYPERLINK("https://map.naver.com/p/search/세종특별자치시 부강면 부강리 377-11", "지도Link")</f>
        <v/>
      </c>
      <c r="S952" s="6">
        <f>HYPERLINK("http://www.eum.go.kr/web/ar/lu/luLandDet.jsp?pnu=3611033021103770011&amp;isNoScr=script&amp;mode=search", "토지이음")</f>
        <v/>
      </c>
      <c r="T952" s="3" t="inlineStr">
        <is>
          <t>비전</t>
        </is>
      </c>
      <c r="U952" s="3" t="n">
        <v>1</v>
      </c>
      <c r="V952" s="3" t="inlineStr">
        <is>
          <t>주건축물제1동</t>
        </is>
      </c>
      <c r="W952" s="4" t="n">
        <v>244</v>
      </c>
      <c r="X952" s="3" t="inlineStr">
        <is>
          <t>경량철골구조</t>
        </is>
      </c>
      <c r="Y952" s="3" t="inlineStr">
        <is>
          <t>제2종근린생활시설</t>
        </is>
      </c>
      <c r="Z952" s="3" t="inlineStr">
        <is>
          <t>4.80m</t>
        </is>
      </c>
      <c r="AA952" s="3" t="inlineStr">
        <is>
          <t>2020-07-23</t>
        </is>
      </c>
    </row>
    <row r="953">
      <c r="A953" s="3" t="inlineStr">
        <is>
          <t>세종특별자치시 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HYPERLINK("https://map.naver.com/p/search/세종특별자치시 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8.30m</t>
        </is>
      </c>
      <c r="AA953" s="3" t="inlineStr">
        <is>
          <t>2007-10-31</t>
        </is>
      </c>
    </row>
    <row r="954">
      <c r="A954" s="3" t="inlineStr">
        <is>
          <t>세종특별자치시 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HYPERLINK("https://map.naver.com/p/search/세종특별자치시 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경량철골구조</t>
        </is>
      </c>
      <c r="Y954" s="3" t="inlineStr">
        <is>
          <t>공장</t>
        </is>
      </c>
      <c r="Z954" s="3" t="inlineStr">
        <is>
          <t>4.70m</t>
        </is>
      </c>
      <c r="AA954" s="3" t="inlineStr">
        <is>
          <t>2009-07-30</t>
        </is>
      </c>
    </row>
    <row r="955">
      <c r="A955" s="3" t="inlineStr">
        <is>
          <t>세종특별자치시 부강면 산수리 105-3</t>
        </is>
      </c>
      <c r="B955" s="3" t="inlineStr">
        <is>
          <t>계획관리지역</t>
        </is>
      </c>
      <c r="C955" s="3" t="inlineStr">
        <is>
          <t>공장용지</t>
        </is>
      </c>
      <c r="D955" s="3" t="inlineStr">
        <is>
          <t>창고</t>
        </is>
      </c>
      <c r="E955" s="3" t="inlineStr">
        <is>
          <t>월세</t>
        </is>
      </c>
      <c r="F955" s="4" t="n">
        <v>10000</v>
      </c>
      <c r="G955" s="4" t="n">
        <v>850</v>
      </c>
      <c r="H955" s="4" t="n">
        <v>21410</v>
      </c>
      <c r="I955" s="4" t="n">
        <v>6477</v>
      </c>
      <c r="J955" s="5" t="n">
        <v>0.1</v>
      </c>
      <c r="K955" s="4" t="n">
        <v>760</v>
      </c>
      <c r="L955" s="4" t="n">
        <v>230</v>
      </c>
      <c r="M955" s="5" t="n">
        <v>3.7</v>
      </c>
      <c r="N955" s="3" t="inlineStr">
        <is>
          <t>1</t>
        </is>
      </c>
      <c r="O955" s="3" t="inlineStr">
        <is>
          <t>-</t>
        </is>
      </c>
      <c r="P955" s="3" t="inlineStr">
        <is>
          <t>귀한 냉동창고와 냉장저온작업실을 구비한 창고 사무실 공간 완비</t>
        </is>
      </c>
      <c r="Q955" s="6">
        <f>HYPERLINK("https://fin.land.naver.com/articles/2648959391", "매물Link")</f>
        <v/>
      </c>
      <c r="R955" s="6">
        <f>HYPERLINK("https://map.naver.com/p/search/세종특별자치시 부강면 산수리 105-3", "지도Link")</f>
        <v/>
      </c>
      <c r="S955" s="6">
        <f>HYPERLINK("http://www.eum.go.kr/web/ar/lu/luLandDet.jsp?pnu=3611033023101050003&amp;isNoScr=script&amp;mode=search", "토지이음")</f>
        <v/>
      </c>
      <c r="T955" s="3" t="inlineStr">
        <is>
          <t>태광</t>
        </is>
      </c>
      <c r="U955" s="3" t="n">
        <v>1</v>
      </c>
      <c r="V955" s="3" t="inlineStr">
        <is>
          <t>주건물</t>
        </is>
      </c>
      <c r="W955" s="4" t="n">
        <v>760</v>
      </c>
      <c r="X955" s="3" t="inlineStr">
        <is>
          <t>경량철골구조</t>
        </is>
      </c>
      <c r="Y955" s="3" t="inlineStr">
        <is>
          <t>공장</t>
        </is>
      </c>
      <c r="Z955" s="3" t="inlineStr">
        <is>
          <t>4.70m</t>
        </is>
      </c>
      <c r="AA955" s="3" t="inlineStr">
        <is>
          <t>2009-07-30</t>
        </is>
      </c>
    </row>
    <row r="956">
      <c r="A956" s="3" t="inlineStr">
        <is>
          <t>세종특별자치시 부강면 산수리 105-3</t>
        </is>
      </c>
      <c r="B956" s="3" t="inlineStr">
        <is>
          <t>계획관리지역</t>
        </is>
      </c>
      <c r="C956" s="3" t="inlineStr">
        <is>
          <t>공장용지</t>
        </is>
      </c>
      <c r="D956" s="3" t="inlineStr">
        <is>
          <t>공장</t>
        </is>
      </c>
      <c r="E956" s="3" t="inlineStr">
        <is>
          <t>월세</t>
        </is>
      </c>
      <c r="F956" s="4" t="n">
        <v>10000</v>
      </c>
      <c r="G956" s="4" t="n">
        <v>0</v>
      </c>
      <c r="H956" s="4" t="n">
        <v>21410</v>
      </c>
      <c r="I956" s="4" t="n">
        <v>6477</v>
      </c>
      <c r="J956" s="5" t="n">
        <v>0</v>
      </c>
      <c r="K956" s="4" t="n">
        <v>959</v>
      </c>
      <c r="L956" s="4" t="n">
        <v>290</v>
      </c>
      <c r="M956" s="5" t="n">
        <v>0</v>
      </c>
      <c r="N956" s="3" t="inlineStr">
        <is>
          <t>1</t>
        </is>
      </c>
      <c r="O956" s="3" t="inlineStr">
        <is>
          <t>-</t>
        </is>
      </c>
      <c r="P956" s="3" t="inlineStr">
        <is>
          <t>남청주ic 10분거리 냉동창고 전실 냉장작업장 사무실 부속창고있음</t>
        </is>
      </c>
      <c r="Q956" s="6">
        <f>HYPERLINK("https://fin.land.naver.com/articles/2646668462", "매물Link")</f>
        <v/>
      </c>
      <c r="R956" s="6">
        <f>HYPERLINK("https://map.naver.com/p/search/세종특별자치시 부강면 산수리 105-3", "지도Link")</f>
        <v/>
      </c>
      <c r="S956" s="6">
        <f>HYPERLINK("http://www.eum.go.kr/web/ar/lu/luLandDet.jsp?pnu=3611033023101050003&amp;isNoScr=script&amp;mode=search", "토지이음")</f>
        <v/>
      </c>
      <c r="T956" s="3" t="inlineStr">
        <is>
          <t>더원</t>
        </is>
      </c>
      <c r="U956" s="3" t="n">
        <v>1</v>
      </c>
      <c r="V956" s="3" t="inlineStr">
        <is>
          <t>주건물</t>
        </is>
      </c>
      <c r="W956" s="4" t="n">
        <v>959</v>
      </c>
      <c r="X956" s="3" t="inlineStr">
        <is>
          <t>경량철골구조</t>
        </is>
      </c>
      <c r="Y956" s="3" t="inlineStr">
        <is>
          <t>공장</t>
        </is>
      </c>
      <c r="Z956" s="3" t="inlineStr">
        <is>
          <t>4.70m</t>
        </is>
      </c>
      <c r="AA956" s="3" t="inlineStr">
        <is>
          <t>2009-07-30</t>
        </is>
      </c>
    </row>
    <row r="957">
      <c r="A957" s="3" t="inlineStr">
        <is>
          <t>세종특별자치시 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HYPERLINK("https://map.naver.com/p/search/세종특별자치시 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경량철골구조</t>
        </is>
      </c>
      <c r="Y957" s="3" t="inlineStr">
        <is>
          <t>공장</t>
        </is>
      </c>
      <c r="Z957" s="3" t="inlineStr">
        <is>
          <t>4.70m</t>
        </is>
      </c>
      <c r="AA957" s="3" t="inlineStr">
        <is>
          <t>2009-07-30</t>
        </is>
      </c>
    </row>
    <row r="958">
      <c r="A958" s="3" t="inlineStr">
        <is>
          <t>세종특별자치시 부강면 행산리 150-1</t>
        </is>
      </c>
      <c r="B958" s="3" t="inlineStr">
        <is>
          <t>계획관리지역</t>
        </is>
      </c>
      <c r="C958" s="3" t="inlineStr">
        <is>
          <t>공장용지</t>
        </is>
      </c>
      <c r="D958" s="3" t="inlineStr">
        <is>
          <t>공장</t>
        </is>
      </c>
      <c r="E958" s="3" t="inlineStr">
        <is>
          <t>월세</t>
        </is>
      </c>
      <c r="F958" s="4" t="n">
        <v>7000</v>
      </c>
      <c r="G958" s="4" t="n">
        <v>700</v>
      </c>
      <c r="H958" s="4" t="n">
        <v>6446</v>
      </c>
      <c r="I958" s="4" t="n">
        <v>1950</v>
      </c>
      <c r="J958" s="5" t="n">
        <v>0.4</v>
      </c>
      <c r="K958" s="4" t="n">
        <v>983</v>
      </c>
      <c r="L958" s="4" t="n">
        <v>297</v>
      </c>
      <c r="M958" s="5" t="n">
        <v>2.4</v>
      </c>
      <c r="N958" s="3" t="inlineStr">
        <is>
          <t>1</t>
        </is>
      </c>
      <c r="O958" s="3" t="inlineStr">
        <is>
          <t>-</t>
        </is>
      </c>
      <c r="P958" s="3" t="inlineStr">
        <is>
          <t>세종 청주 접근성 우수 2차선도로변 호이스트 3기 완비된 공장 임대</t>
        </is>
      </c>
      <c r="Q958" s="6">
        <f>HYPERLINK("https://fin.land.naver.com/articles/2649493657", "매물Link")</f>
        <v/>
      </c>
      <c r="R958" s="6">
        <f>HYPERLINK("https://map.naver.com/p/search/세종특별자치시 부강면 행산리 150-1", "지도Link")</f>
        <v/>
      </c>
      <c r="S958" s="6">
        <f>HYPERLINK("http://www.eum.go.kr/web/ar/lu/luLandDet.jsp?pnu=3611033022101500001&amp;isNoScr=script&amp;mode=search", "토지이음")</f>
        <v/>
      </c>
      <c r="T958" s="3" t="inlineStr">
        <is>
          <t>청담</t>
        </is>
      </c>
      <c r="U958" s="3" t="n">
        <v>1</v>
      </c>
      <c r="V958" s="3" t="inlineStr">
        <is>
          <t>주건축물제1동</t>
        </is>
      </c>
      <c r="W958" s="4" t="n">
        <v>983</v>
      </c>
      <c r="X958" s="3" t="inlineStr">
        <is>
          <t>일반철골구조</t>
        </is>
      </c>
      <c r="Y958" s="3" t="inlineStr">
        <is>
          <t>공장</t>
        </is>
      </c>
      <c r="Z958" s="3" t="inlineStr">
        <is>
          <t>11.54m</t>
        </is>
      </c>
      <c r="AA958" s="3" t="inlineStr">
        <is>
          <t>2019-04-19</t>
        </is>
      </c>
    </row>
    <row r="959">
      <c r="A959" s="3" t="inlineStr">
        <is>
          <t>세종특별자치시 부강면 행산리 150-1</t>
        </is>
      </c>
      <c r="B959" s="3" t="inlineStr">
        <is>
          <t>계획관리지역</t>
        </is>
      </c>
      <c r="C959" s="3" t="inlineStr">
        <is>
          <t>공장용지</t>
        </is>
      </c>
      <c r="D959" s="3" t="inlineStr">
        <is>
          <t>공장</t>
        </is>
      </c>
      <c r="E959" s="3" t="inlineStr">
        <is>
          <t>월세</t>
        </is>
      </c>
      <c r="F959" s="4" t="n">
        <v>7000</v>
      </c>
      <c r="G959" s="4" t="n">
        <v>700</v>
      </c>
      <c r="H959" s="4" t="n">
        <v>6404</v>
      </c>
      <c r="I959" s="4" t="n">
        <v>1937</v>
      </c>
      <c r="J959" s="5" t="n">
        <v>0.4</v>
      </c>
      <c r="K959" s="4" t="n">
        <v>983</v>
      </c>
      <c r="L959" s="4" t="n">
        <v>297</v>
      </c>
      <c r="M959" s="5" t="n">
        <v>2.4</v>
      </c>
      <c r="N959" s="3" t="inlineStr">
        <is>
          <t>1</t>
        </is>
      </c>
      <c r="O959" s="3" t="inlineStr">
        <is>
          <t>-</t>
        </is>
      </c>
      <c r="P959" s="3" t="inlineStr">
        <is>
          <t>민원 발생 소지 없음, 2차선 도로에 접함, 호이스트 5톤 2대, 계근대</t>
        </is>
      </c>
      <c r="Q959" s="6">
        <f>HYPERLINK("https://fin.land.naver.com/articles/2649581867", "매물Link")</f>
        <v/>
      </c>
      <c r="R959" s="6">
        <f>HYPERLINK("https://map.naver.com/p/search/세종특별자치시 부강면 행산리 150-1", "지도Link")</f>
        <v/>
      </c>
      <c r="S959" s="6">
        <f>HYPERLINK("http://www.eum.go.kr/web/ar/lu/luLandDet.jsp?pnu=3611033022101500001&amp;isNoScr=script&amp;mode=search", "토지이음")</f>
        <v/>
      </c>
      <c r="T959" s="3" t="inlineStr">
        <is>
          <t>제이</t>
        </is>
      </c>
      <c r="U959" s="3" t="n">
        <v>1</v>
      </c>
      <c r="V959" s="3" t="inlineStr">
        <is>
          <t>주건축물제1동</t>
        </is>
      </c>
      <c r="W959" s="4" t="n">
        <v>983</v>
      </c>
      <c r="X959" s="3" t="inlineStr">
        <is>
          <t>일반철골구조</t>
        </is>
      </c>
      <c r="Y959" s="3" t="inlineStr">
        <is>
          <t>공장</t>
        </is>
      </c>
      <c r="Z959" s="3" t="inlineStr">
        <is>
          <t>11.54m</t>
        </is>
      </c>
      <c r="AA959" s="3" t="inlineStr">
        <is>
          <t>2019-04-19</t>
        </is>
      </c>
    </row>
    <row r="960">
      <c r="A960" s="3" t="inlineStr">
        <is>
          <t>세종특별자치시 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HYPERLINK("https://map.naver.com/p/search/세종특별자치시 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8.10m</t>
        </is>
      </c>
      <c r="AA960" s="3" t="inlineStr">
        <is>
          <t>2022-07-19</t>
        </is>
      </c>
    </row>
    <row r="961">
      <c r="A961" s="3" t="inlineStr">
        <is>
          <t>세종특별자치시 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HYPERLINK("https://map.naver.com/p/search/세종특별자치시 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8.10m</t>
        </is>
      </c>
      <c r="AA961" s="3" t="inlineStr">
        <is>
          <t>2022-07-19</t>
        </is>
      </c>
    </row>
    <row r="962">
      <c r="A962" s="3" t="inlineStr">
        <is>
          <t>세종특별자치시 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HYPERLINK("https://map.naver.com/p/search/세종특별자치시 부강면 행산리 335-1", "지도Link")</f>
        <v/>
      </c>
      <c r="S962" s="6">
        <f>HYPERLINK("http://www.eum.go.kr/web/ar/lu/luLandDet.jsp?pnu=3611033022103350001&amp;isNoScr=script&amp;mode=search", "토지이음")</f>
        <v/>
      </c>
      <c r="T962" s="3" t="inlineStr">
        <is>
          <t>대박</t>
        </is>
      </c>
      <c r="U962" s="3" t="n">
        <v>2</v>
      </c>
      <c r="V962" s="3" t="inlineStr">
        <is>
          <t>4동</t>
        </is>
      </c>
      <c r="W962" s="4" t="n">
        <v>810</v>
      </c>
      <c r="X962" s="3" t="inlineStr">
        <is>
          <t>일반철골구조</t>
        </is>
      </c>
      <c r="Y962" s="3" t="inlineStr">
        <is>
          <t>공장</t>
        </is>
      </c>
      <c r="Z962" s="3" t="inlineStr">
        <is>
          <t>10.60m</t>
        </is>
      </c>
      <c r="AA962" s="3" t="inlineStr">
        <is>
          <t>2004-05-27</t>
        </is>
      </c>
    </row>
    <row r="963">
      <c r="A963" s="3" t="inlineStr">
        <is>
          <t>세종특별자치시 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360</v>
      </c>
      <c r="L963" s="4" t="n">
        <v>109</v>
      </c>
      <c r="M963" s="5" t="n">
        <v>1100.9</v>
      </c>
      <c r="N963" s="3" t="inlineStr">
        <is>
          <t>2</t>
        </is>
      </c>
      <c r="O963" s="3" t="inlineStr">
        <is>
          <t>-</t>
        </is>
      </c>
      <c r="P963" s="3" t="inlineStr">
        <is>
          <t>세종 다업종가능 식품제조 공장 급매매 2종근린생활시설 준신축급</t>
        </is>
      </c>
      <c r="Q963" s="6">
        <f>HYPERLINK("https://fin.land.naver.com/articles/2645162215", "매물Link")</f>
        <v/>
      </c>
      <c r="R963" s="6">
        <f>HYPERLINK("https://map.naver.com/p/search/세종특별자치시 부강면 행산리 371", "지도Link")</f>
        <v/>
      </c>
      <c r="S963" s="6">
        <f>HYPERLINK("http://www.eum.go.kr/web/ar/lu/luLandDet.jsp?pnu=3611033022103710000&amp;isNoScr=script&amp;mode=search", "토지이음")</f>
        <v/>
      </c>
      <c r="T963" s="3" t="inlineStr">
        <is>
          <t>공장네트웍스</t>
        </is>
      </c>
      <c r="U963" s="3" t="n">
        <v>2</v>
      </c>
      <c r="V963" s="3" t="inlineStr">
        <is>
          <t>주건축물제1동</t>
        </is>
      </c>
      <c r="W963" s="4" t="n">
        <v>360</v>
      </c>
      <c r="X963" s="3" t="inlineStr">
        <is>
          <t>일반철골구조</t>
        </is>
      </c>
      <c r="Y963" s="3" t="inlineStr">
        <is>
          <t>동물및식물관련시설</t>
        </is>
      </c>
      <c r="Z963" s="3" t="inlineStr">
        <is>
          <t>8.20m</t>
        </is>
      </c>
      <c r="AA963" s="3" t="inlineStr">
        <is>
          <t>2022-06-16</t>
        </is>
      </c>
    </row>
    <row r="964">
      <c r="A964" s="3" t="inlineStr">
        <is>
          <t>세종특별자치시 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436</v>
      </c>
      <c r="L964" s="4" t="n">
        <v>132</v>
      </c>
      <c r="M964" s="5" t="n">
        <v>909.1</v>
      </c>
      <c r="N964" s="3" t="inlineStr">
        <is>
          <t>2</t>
        </is>
      </c>
      <c r="O964" s="3" t="inlineStr">
        <is>
          <t>-</t>
        </is>
      </c>
      <c r="P964" s="3" t="inlineStr">
        <is>
          <t>성업중인공장.진입도로확장예정.매도후재임대가능.남청주IC인근.중부물류터미널</t>
        </is>
      </c>
      <c r="Q964" s="6">
        <f>HYPERLINK("https://fin.land.naver.com/articles/2643927321", "매물Link")</f>
        <v/>
      </c>
      <c r="R964" s="6">
        <f>HYPERLINK("https://map.naver.com/p/search/세종특별자치시 부강면 행산리 371", "지도Link")</f>
        <v/>
      </c>
      <c r="S964" s="6">
        <f>HYPERLINK("http://www.eum.go.kr/web/ar/lu/luLandDet.jsp?pnu=3611033022103710000&amp;isNoScr=script&amp;mode=search", "토지이음")</f>
        <v/>
      </c>
      <c r="T964" s="3" t="inlineStr">
        <is>
          <t>돈방석</t>
        </is>
      </c>
      <c r="U964" s="3" t="n">
        <v>2</v>
      </c>
      <c r="V964" s="3" t="inlineStr">
        <is>
          <t>주건축물제1동</t>
        </is>
      </c>
      <c r="W964" s="4" t="n">
        <v>436</v>
      </c>
      <c r="X964" s="3" t="inlineStr">
        <is>
          <t>일반철골구조</t>
        </is>
      </c>
      <c r="Y964" s="3" t="inlineStr">
        <is>
          <t>동물및식물관련시설</t>
        </is>
      </c>
      <c r="Z964" s="3" t="inlineStr">
        <is>
          <t>8.20m</t>
        </is>
      </c>
      <c r="AA964" s="3" t="inlineStr">
        <is>
          <t>2022-06-16</t>
        </is>
      </c>
    </row>
    <row r="965">
      <c r="A965" s="3" t="inlineStr">
        <is>
          <t>세종특별자치시 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B1</t>
        </is>
      </c>
      <c r="P965" s="3" t="inlineStr">
        <is>
          <t>2020년 준공2022년 크린룸 신설  최신 제조공장, 즉시 입주</t>
        </is>
      </c>
      <c r="Q965" s="6">
        <f>HYPERLINK("https://fin.land.naver.com/articles/2645890114", "매물Link")</f>
        <v/>
      </c>
      <c r="R965" s="6">
        <f>HYPERLINK("https://map.naver.com/p/search/세종특별자치시 소정면 고등리 686", "지도Link")</f>
        <v/>
      </c>
      <c r="S965" s="6">
        <f>HYPERLINK("http://www.eum.go.kr/web/ar/lu/luLandDet.jsp?pnu=3611039024106860000&amp;isNoScr=script&amp;mode=search", "토지이음")</f>
        <v/>
      </c>
      <c r="T965" s="3" t="inlineStr">
        <is>
          <t>진진</t>
        </is>
      </c>
      <c r="U965" s="3" t="n">
        <v>1</v>
      </c>
      <c r="V965" s="3" t="inlineStr">
        <is>
          <t>주건축물제1동</t>
        </is>
      </c>
      <c r="W965" s="4" t="n">
        <v>960</v>
      </c>
      <c r="X965" s="3" t="inlineStr">
        <is>
          <t>일반철골구조</t>
        </is>
      </c>
      <c r="Y965" s="3" t="inlineStr">
        <is>
          <t>공장</t>
        </is>
      </c>
      <c r="Z965" s="3" t="inlineStr">
        <is>
          <t>10.20m</t>
        </is>
      </c>
      <c r="AA965" s="3" t="inlineStr">
        <is>
          <t>2020-06-10</t>
        </is>
      </c>
    </row>
    <row r="966">
      <c r="A966" s="3" t="inlineStr">
        <is>
          <t>세종특별자치시 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t>
        </is>
      </c>
      <c r="P966" s="3" t="inlineStr">
        <is>
          <t>세종시 클린룸공장</t>
        </is>
      </c>
      <c r="Q966" s="6">
        <f>HYPERLINK("https://fin.land.naver.com/articles/2645610105", "매물Link")</f>
        <v/>
      </c>
      <c r="R966" s="6">
        <f>HYPERLINK("https://map.naver.com/p/search/세종특별자치시 소정면 고등리 686", "지도Link")</f>
        <v/>
      </c>
      <c r="S966" s="6">
        <f>HYPERLINK("http://www.eum.go.kr/web/ar/lu/luLandDet.jsp?pnu=3611039024106860000&amp;isNoScr=script&amp;mode=search", "토지이음")</f>
        <v/>
      </c>
      <c r="T966" s="3" t="inlineStr">
        <is>
          <t>북세종</t>
        </is>
      </c>
      <c r="U966" s="3" t="n">
        <v>1</v>
      </c>
      <c r="V966" s="3" t="inlineStr">
        <is>
          <t>주건축물제1동</t>
        </is>
      </c>
      <c r="W966" s="4" t="n">
        <v>960</v>
      </c>
      <c r="X966" s="3" t="inlineStr">
        <is>
          <t>일반철골구조</t>
        </is>
      </c>
      <c r="Y966" s="3" t="inlineStr">
        <is>
          <t>공장</t>
        </is>
      </c>
      <c r="Z966" s="3" t="inlineStr">
        <is>
          <t>10.20m</t>
        </is>
      </c>
      <c r="AA966" s="3" t="inlineStr">
        <is>
          <t>2020-06-10</t>
        </is>
      </c>
    </row>
    <row r="967">
      <c r="A967" s="3" t="inlineStr">
        <is>
          <t>세종특별자치시 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2248</v>
      </c>
      <c r="L967" s="4" t="n">
        <v>680</v>
      </c>
      <c r="M967" s="5" t="n">
        <v>0</v>
      </c>
      <c r="N967" s="3" t="inlineStr">
        <is>
          <t>1</t>
        </is>
      </c>
      <c r="O967" s="3" t="inlineStr">
        <is>
          <t>-</t>
        </is>
      </c>
      <c r="P967" s="3" t="inlineStr">
        <is>
          <t>소정면 남천안IC근접 호이스트 공장임대</t>
        </is>
      </c>
      <c r="Q967" s="6">
        <f>HYPERLINK("https://fin.land.naver.com/articles/2649039902", "매물Link")</f>
        <v/>
      </c>
      <c r="R967" s="6">
        <f>HYPERLINK("https://map.naver.com/p/search/세종특별자치시 소정면 고등리 695", "지도Link")</f>
        <v/>
      </c>
      <c r="S967" s="6">
        <f>HYPERLINK("http://www.eum.go.kr/web/ar/lu/luLandDet.jsp?pnu=3611039024106950000&amp;isNoScr=script&amp;mode=search", "토지이음")</f>
        <v/>
      </c>
      <c r="T967" s="3" t="inlineStr">
        <is>
          <t>한울</t>
        </is>
      </c>
      <c r="U967" s="3" t="n">
        <v>1</v>
      </c>
      <c r="V967" s="3" t="inlineStr">
        <is>
          <t>주1동</t>
        </is>
      </c>
      <c r="W967" s="4" t="n">
        <v>2248</v>
      </c>
      <c r="X967" s="3" t="inlineStr">
        <is>
          <t>일반철골구조</t>
        </is>
      </c>
      <c r="Y967" s="3" t="inlineStr">
        <is>
          <t>공장</t>
        </is>
      </c>
      <c r="Z967" s="3" t="inlineStr">
        <is>
          <t>12.20m</t>
        </is>
      </c>
      <c r="AA967" s="3" t="inlineStr">
        <is>
          <t>2016-09-01</t>
        </is>
      </c>
    </row>
    <row r="968">
      <c r="A968" s="3" t="inlineStr">
        <is>
          <t>세종특별자치시 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4251</v>
      </c>
      <c r="L968" s="4" t="n">
        <v>1286</v>
      </c>
      <c r="M968" s="5" t="n">
        <v>0</v>
      </c>
      <c r="N968" s="3" t="inlineStr">
        <is>
          <t>1</t>
        </is>
      </c>
      <c r="O968" s="3" t="inlineStr">
        <is>
          <t>-</t>
        </is>
      </c>
      <c r="P968" s="3" t="inlineStr">
        <is>
          <t>세종첨단산단 호이스트 C24 C25 C29 추천 대형공장 임대</t>
        </is>
      </c>
      <c r="Q968" s="6">
        <f>HYPERLINK("https://fin.land.naver.com/articles/2648622154", "매물Link")</f>
        <v/>
      </c>
      <c r="R968" s="6">
        <f>HYPERLINK("https://map.naver.com/p/search/세종특별자치시 소정면 고등리 695", "지도Link")</f>
        <v/>
      </c>
      <c r="S968" s="6">
        <f>HYPERLINK("http://www.eum.go.kr/web/ar/lu/luLandDet.jsp?pnu=3611039024106950000&amp;isNoScr=script&amp;mode=search", "토지이음")</f>
        <v/>
      </c>
      <c r="T968" s="3" t="inlineStr">
        <is>
          <t>불당대원</t>
        </is>
      </c>
      <c r="U968" s="3" t="n">
        <v>1</v>
      </c>
      <c r="V968" s="3" t="inlineStr">
        <is>
          <t>주1동</t>
        </is>
      </c>
      <c r="W968" s="4" t="n">
        <v>4251</v>
      </c>
      <c r="X968" s="3" t="inlineStr">
        <is>
          <t>일반철골구조</t>
        </is>
      </c>
      <c r="Y968" s="3" t="inlineStr">
        <is>
          <t>공장</t>
        </is>
      </c>
      <c r="Z968" s="3" t="inlineStr">
        <is>
          <t>12.20m</t>
        </is>
      </c>
      <c r="AA968" s="3" t="inlineStr">
        <is>
          <t>2016-09-01</t>
        </is>
      </c>
    </row>
    <row r="969">
      <c r="A969" s="3" t="inlineStr">
        <is>
          <t>세종특별자치시 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HYPERLINK("https://map.naver.com/p/search/세종특별자치시 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12.25m</t>
        </is>
      </c>
      <c r="AA969" s="3" t="inlineStr">
        <is>
          <t>2018-12-19</t>
        </is>
      </c>
    </row>
    <row r="970">
      <c r="A970" s="3" t="inlineStr">
        <is>
          <t>세종특별자치시 소정면 고등리 710-1</t>
        </is>
      </c>
      <c r="B970" s="3" t="inlineStr">
        <is>
          <t>일반공업지역</t>
        </is>
      </c>
      <c r="C970" s="3" t="inlineStr">
        <is>
          <t>공장용지</t>
        </is>
      </c>
      <c r="D970" s="3" t="inlineStr">
        <is>
          <t>공장</t>
        </is>
      </c>
      <c r="E970" s="3" t="inlineStr">
        <is>
          <t>매매</t>
        </is>
      </c>
      <c r="F970" s="4" t="n">
        <v>2300000</v>
      </c>
      <c r="G970" s="4" t="n">
        <v>0</v>
      </c>
      <c r="H970" s="4" t="n">
        <v>23575</v>
      </c>
      <c r="I970" s="4" t="n">
        <v>7131</v>
      </c>
      <c r="J970" s="5" t="n">
        <v>322.5</v>
      </c>
      <c r="K970" s="4" t="n">
        <v>5520</v>
      </c>
      <c r="L970" s="4" t="n">
        <v>1670</v>
      </c>
      <c r="M970" s="5" t="n">
        <v>1377.2</v>
      </c>
      <c r="N970" s="3" t="inlineStr">
        <is>
          <t>1</t>
        </is>
      </c>
      <c r="O970" s="3" t="inlineStr">
        <is>
          <t>-</t>
        </is>
      </c>
      <c r="P970" s="3" t="inlineStr">
        <is>
          <t>남천안IC 6분, 남풍세IC 9분 소요</t>
        </is>
      </c>
      <c r="Q970" s="6">
        <f>HYPERLINK("https://fin.land.naver.com/articles/2648919758", "매물Link")</f>
        <v/>
      </c>
      <c r="R970" s="6">
        <f>HYPERLINK("https://map.naver.com/p/search/세종특별자치시 소정면 고등리 710-1", "지도Link")</f>
        <v/>
      </c>
      <c r="S970" s="6">
        <f>HYPERLINK("http://www.eum.go.kr/web/ar/lu/luLandDet.jsp?pnu=3611039024107100001&amp;isNoScr=script&amp;mode=search", "토지이음")</f>
        <v/>
      </c>
      <c r="T970" s="3" t="inlineStr">
        <is>
          <t>미더스</t>
        </is>
      </c>
      <c r="U970" s="3" t="n">
        <v>3</v>
      </c>
      <c r="V970" s="3" t="inlineStr">
        <is>
          <t>주건축물제2동</t>
        </is>
      </c>
      <c r="W970" s="4" t="n">
        <v>5520</v>
      </c>
      <c r="X970" s="3" t="inlineStr">
        <is>
          <t>일반철골구조</t>
        </is>
      </c>
      <c r="Y970" s="3" t="inlineStr">
        <is>
          <t>공장</t>
        </is>
      </c>
      <c r="Z970" s="3" t="inlineStr">
        <is>
          <t>12.25m</t>
        </is>
      </c>
      <c r="AA970" s="3" t="inlineStr">
        <is>
          <t>2018-12-19</t>
        </is>
      </c>
    </row>
    <row r="971">
      <c r="A971" s="3" t="inlineStr">
        <is>
          <t>세종특별자치시 소정면 고등리 710-1</t>
        </is>
      </c>
      <c r="B971" s="3" t="inlineStr">
        <is>
          <t>일반공업지역</t>
        </is>
      </c>
      <c r="C971" s="3" t="inlineStr">
        <is>
          <t>공장용지</t>
        </is>
      </c>
      <c r="D971" s="3" t="inlineStr">
        <is>
          <t>공장</t>
        </is>
      </c>
      <c r="E971" s="3" t="inlineStr">
        <is>
          <t>월세</t>
        </is>
      </c>
      <c r="F971" s="4" t="n">
        <v>25000</v>
      </c>
      <c r="G971" s="4" t="n">
        <v>0</v>
      </c>
      <c r="H971" s="4" t="n">
        <v>23570</v>
      </c>
      <c r="I971" s="4" t="n">
        <v>7130</v>
      </c>
      <c r="J971" s="5" t="n">
        <v>0</v>
      </c>
      <c r="K971" s="4" t="n">
        <v>5515</v>
      </c>
      <c r="L971" s="4" t="n">
        <v>1668</v>
      </c>
      <c r="M971" s="5" t="n">
        <v>0</v>
      </c>
      <c r="N971" s="3" t="inlineStr">
        <is>
          <t>2</t>
        </is>
      </c>
      <c r="O971" s="3" t="inlineStr">
        <is>
          <t>-</t>
        </is>
      </c>
      <c r="P971" s="3" t="inlineStr">
        <is>
          <t>남천안IC 6분 세종첨단산업단지내 호이스트 넓은야드 C25 대형공장</t>
        </is>
      </c>
      <c r="Q971" s="6">
        <f>HYPERLINK("https://fin.land.naver.com/articles/2648078708", "매물Link")</f>
        <v/>
      </c>
      <c r="R971" s="6">
        <f>HYPERLINK("https://map.naver.com/p/search/세종특별자치시 소정면 고등리 710-1", "지도Link")</f>
        <v/>
      </c>
      <c r="S971" s="6">
        <f>HYPERLINK("http://www.eum.go.kr/web/ar/lu/luLandDet.jsp?pnu=3611039024107100001&amp;isNoScr=script&amp;mode=search", "토지이음")</f>
        <v/>
      </c>
      <c r="T971" s="3" t="inlineStr">
        <is>
          <t>불당대원</t>
        </is>
      </c>
      <c r="U971" s="3" t="n">
        <v>1</v>
      </c>
      <c r="V971" s="3" t="inlineStr">
        <is>
          <t>주건축물제2동</t>
        </is>
      </c>
      <c r="W971" s="4" t="n">
        <v>5515</v>
      </c>
      <c r="X971" s="3" t="inlineStr">
        <is>
          <t>일반철골구조</t>
        </is>
      </c>
      <c r="Y971" s="3" t="inlineStr">
        <is>
          <t>공장</t>
        </is>
      </c>
      <c r="Z971" s="3" t="inlineStr">
        <is>
          <t>12.25m</t>
        </is>
      </c>
      <c r="AA971" s="3" t="inlineStr">
        <is>
          <t>2018-12-19</t>
        </is>
      </c>
    </row>
    <row r="972">
      <c r="A972" s="3" t="inlineStr">
        <is>
          <t>세종특별자치시 소정면 고등리 710-1</t>
        </is>
      </c>
      <c r="B972" s="3" t="inlineStr">
        <is>
          <t>일반공업지역</t>
        </is>
      </c>
      <c r="C972" s="3" t="inlineStr">
        <is>
          <t>공장용지</t>
        </is>
      </c>
      <c r="D972" s="3" t="inlineStr">
        <is>
          <t>공장</t>
        </is>
      </c>
      <c r="E972" s="3" t="inlineStr">
        <is>
          <t>매매</t>
        </is>
      </c>
      <c r="F972" s="4" t="n">
        <v>2300000</v>
      </c>
      <c r="G972" s="4" t="n">
        <v>0</v>
      </c>
      <c r="H972" s="4" t="n">
        <v>23570</v>
      </c>
      <c r="I972" s="4" t="n">
        <v>7130</v>
      </c>
      <c r="J972" s="5" t="n">
        <v>322.6</v>
      </c>
      <c r="K972" s="4" t="n">
        <v>5515</v>
      </c>
      <c r="L972" s="4" t="n">
        <v>1668</v>
      </c>
      <c r="M972" s="5" t="n">
        <v>1378.9</v>
      </c>
      <c r="N972" s="3" t="inlineStr">
        <is>
          <t>1</t>
        </is>
      </c>
      <c r="O972" s="3" t="inlineStr">
        <is>
          <t>-</t>
        </is>
      </c>
      <c r="P972" s="3" t="inlineStr">
        <is>
          <t>세종첨담산업단지내 공장매매 전기990kw 층고12m 호이스트다수 C25</t>
        </is>
      </c>
      <c r="Q972" s="6">
        <f>HYPERLINK("https://fin.land.naver.com/articles/2645665400", "매물Link")</f>
        <v/>
      </c>
      <c r="R972" s="6">
        <f>HYPERLINK("https://map.naver.com/p/search/세종특별자치시 소정면 고등리 710-1", "지도Link")</f>
        <v/>
      </c>
      <c r="S972" s="6">
        <f>HYPERLINK("http://www.eum.go.kr/web/ar/lu/luLandDet.jsp?pnu=3611039024107100001&amp;isNoScr=script&amp;mode=search", "토지이음")</f>
        <v/>
      </c>
      <c r="T972" s="3" t="inlineStr">
        <is>
          <t>태양</t>
        </is>
      </c>
      <c r="U972" s="3" t="n">
        <v>1</v>
      </c>
      <c r="V972" s="3" t="inlineStr">
        <is>
          <t>주건축물제2동</t>
        </is>
      </c>
      <c r="W972" s="4" t="n">
        <v>5515</v>
      </c>
      <c r="X972" s="3" t="inlineStr">
        <is>
          <t>일반철골구조</t>
        </is>
      </c>
      <c r="Y972" s="3" t="inlineStr">
        <is>
          <t>공장</t>
        </is>
      </c>
      <c r="Z972" s="3" t="inlineStr">
        <is>
          <t>12.25m</t>
        </is>
      </c>
      <c r="AA972" s="3" t="inlineStr">
        <is>
          <t>2018-12-19</t>
        </is>
      </c>
    </row>
    <row r="973">
      <c r="A973" s="3" t="inlineStr">
        <is>
          <t>세종특별자치시 소정면 고등리 710-1</t>
        </is>
      </c>
      <c r="B973" s="3" t="inlineStr">
        <is>
          <t>일반공업지역</t>
        </is>
      </c>
      <c r="C973" s="3" t="inlineStr">
        <is>
          <t>공장용지</t>
        </is>
      </c>
      <c r="D973" s="3" t="inlineStr">
        <is>
          <t>공장</t>
        </is>
      </c>
      <c r="E973" s="3" t="inlineStr">
        <is>
          <t>매매</t>
        </is>
      </c>
      <c r="F973" s="4" t="n">
        <v>2300000</v>
      </c>
      <c r="G973" s="4" t="n">
        <v>0</v>
      </c>
      <c r="H973" s="4" t="n">
        <v>23570</v>
      </c>
      <c r="I973" s="4" t="n">
        <v>7130</v>
      </c>
      <c r="J973" s="5" t="n">
        <v>322.6</v>
      </c>
      <c r="K973" s="4" t="n">
        <v>5515</v>
      </c>
      <c r="L973" s="4" t="n">
        <v>1668</v>
      </c>
      <c r="M973" s="5" t="n">
        <v>1378.9</v>
      </c>
      <c r="N973" s="3" t="inlineStr">
        <is>
          <t>1</t>
        </is>
      </c>
      <c r="O973" s="3" t="inlineStr">
        <is>
          <t>-</t>
        </is>
      </c>
      <c r="P973" s="3" t="inlineStr">
        <is>
          <t>남천안IC 6분 세종첨단산업단지내 여유부지 넓은야드 C25 대형공장</t>
        </is>
      </c>
      <c r="Q973" s="6">
        <f>HYPERLINK("https://fin.land.naver.com/articles/2648078682", "매물Link")</f>
        <v/>
      </c>
      <c r="R973" s="6">
        <f>HYPERLINK("https://map.naver.com/p/search/세종특별자치시 소정면 고등리 710-1", "지도Link")</f>
        <v/>
      </c>
      <c r="S973" s="6">
        <f>HYPERLINK("http://www.eum.go.kr/web/ar/lu/luLandDet.jsp?pnu=3611039024107100001&amp;isNoScr=script&amp;mode=search", "토지이음")</f>
        <v/>
      </c>
      <c r="T973" s="3" t="inlineStr">
        <is>
          <t>불당대원</t>
        </is>
      </c>
      <c r="U973" s="3" t="n">
        <v>2</v>
      </c>
      <c r="V973" s="3" t="inlineStr">
        <is>
          <t>주건축물제2동</t>
        </is>
      </c>
      <c r="W973" s="4" t="n">
        <v>5515</v>
      </c>
      <c r="X973" s="3" t="inlineStr">
        <is>
          <t>일반철골구조</t>
        </is>
      </c>
      <c r="Y973" s="3" t="inlineStr">
        <is>
          <t>공장</t>
        </is>
      </c>
      <c r="Z973" s="3" t="inlineStr">
        <is>
          <t>12.25m</t>
        </is>
      </c>
      <c r="AA973" s="3" t="inlineStr">
        <is>
          <t>2018-12-19</t>
        </is>
      </c>
    </row>
    <row r="974">
      <c r="A974" s="3" t="inlineStr">
        <is>
          <t>세종특별자치시 소정면 고등리 712</t>
        </is>
      </c>
      <c r="B974" s="3" t="inlineStr">
        <is>
          <t>일반공업지역</t>
        </is>
      </c>
      <c r="C974" s="3" t="inlineStr">
        <is>
          <t>공장용지</t>
        </is>
      </c>
      <c r="D974" s="3" t="inlineStr">
        <is>
          <t>공장</t>
        </is>
      </c>
      <c r="E974" s="3" t="inlineStr">
        <is>
          <t>월세</t>
        </is>
      </c>
      <c r="F974" s="4" t="n">
        <v>20000</v>
      </c>
      <c r="G974" s="4" t="n">
        <v>0</v>
      </c>
      <c r="H974" s="4" t="n">
        <v>6611</v>
      </c>
      <c r="I974" s="4" t="n">
        <v>2000</v>
      </c>
      <c r="J974" s="5" t="n">
        <v>0</v>
      </c>
      <c r="K974" s="4" t="n">
        <v>4959</v>
      </c>
      <c r="L974" s="4" t="n">
        <v>1500</v>
      </c>
      <c r="M974" s="5" t="n">
        <v>0</v>
      </c>
      <c r="N974" s="3" t="inlineStr">
        <is>
          <t>2</t>
        </is>
      </c>
      <c r="O974" s="3" t="inlineStr">
        <is>
          <t>-</t>
        </is>
      </c>
      <c r="P974" s="3" t="inlineStr">
        <is>
          <t>남천안IC와 5분거리, 호이스트 3톤 2, 대형화물차 진입가능</t>
        </is>
      </c>
      <c r="Q974" s="6">
        <f>HYPERLINK("https://fin.land.naver.com/articles/2644760411", "매물Link")</f>
        <v/>
      </c>
      <c r="R974" s="6">
        <f>HYPERLINK("https://map.naver.com/p/search/세종특별자치시 소정면 고등리 712", "지도Link")</f>
        <v/>
      </c>
      <c r="S974" s="6">
        <f>HYPERLINK("http://www.eum.go.kr/web/ar/lu/luLandDet.jsp?pnu=3611039024107120000&amp;isNoScr=script&amp;mode=search", "토지이음")</f>
        <v/>
      </c>
      <c r="T974" s="3" t="inlineStr">
        <is>
          <t>불당114</t>
        </is>
      </c>
      <c r="U974" s="3" t="n">
        <v>2</v>
      </c>
      <c r="V974" s="3" t="inlineStr">
        <is>
          <t>주1동</t>
        </is>
      </c>
      <c r="W974" s="4" t="n">
        <v>4959</v>
      </c>
      <c r="X974" s="3" t="inlineStr">
        <is>
          <t>일반철골구조</t>
        </is>
      </c>
      <c r="Y974" s="3" t="inlineStr">
        <is>
          <t>공장</t>
        </is>
      </c>
      <c r="Z974" s="3" t="inlineStr">
        <is>
          <t>10.20m</t>
        </is>
      </c>
      <c r="AA974" s="3" t="inlineStr">
        <is>
          <t>2016-10-05</t>
        </is>
      </c>
    </row>
    <row r="975">
      <c r="A975" s="3" t="inlineStr">
        <is>
          <t>세종특별자치시 소정면 고등리 712</t>
        </is>
      </c>
      <c r="B975" s="3" t="inlineStr">
        <is>
          <t>일반공업지역</t>
        </is>
      </c>
      <c r="C975" s="3" t="inlineStr">
        <is>
          <t>공장용지</t>
        </is>
      </c>
      <c r="D975" s="3" t="inlineStr">
        <is>
          <t>공장</t>
        </is>
      </c>
      <c r="E975" s="3" t="inlineStr">
        <is>
          <t>월세</t>
        </is>
      </c>
      <c r="F975" s="4" t="n">
        <v>20000</v>
      </c>
      <c r="G975" s="4" t="n">
        <v>0</v>
      </c>
      <c r="H975" s="4" t="n">
        <v>6618</v>
      </c>
      <c r="I975" s="4" t="n">
        <v>2002</v>
      </c>
      <c r="J975" s="5" t="n">
        <v>0</v>
      </c>
      <c r="K975" s="4" t="n">
        <v>2002</v>
      </c>
      <c r="L975" s="4" t="n">
        <v>606</v>
      </c>
      <c r="M975" s="5" t="n">
        <v>0</v>
      </c>
      <c r="N975" s="3" t="inlineStr">
        <is>
          <t>2</t>
        </is>
      </c>
      <c r="O975" s="3" t="inlineStr">
        <is>
          <t>-</t>
        </is>
      </c>
      <c r="P975" s="3" t="inlineStr">
        <is>
          <t>세종시 소정면 남풍세IC 10분 사무실 갖춰진 대형 공장 임대</t>
        </is>
      </c>
      <c r="Q975" s="6">
        <f>HYPERLINK("https://fin.land.naver.com/articles/2645608941", "매물Link")</f>
        <v/>
      </c>
      <c r="R975" s="6">
        <f>HYPERLINK("https://map.naver.com/p/search/세종특별자치시 소정면 고등리 712", "지도Link")</f>
        <v/>
      </c>
      <c r="S975" s="6">
        <f>HYPERLINK("http://www.eum.go.kr/web/ar/lu/luLandDet.jsp?pnu=3611039024107120000&amp;isNoScr=script&amp;mode=search", "토지이음")</f>
        <v/>
      </c>
      <c r="T975" s="3" t="inlineStr">
        <is>
          <t>청담</t>
        </is>
      </c>
      <c r="U975" s="3" t="n">
        <v>1</v>
      </c>
      <c r="V975" s="3" t="inlineStr">
        <is>
          <t>주2동</t>
        </is>
      </c>
      <c r="W975" s="4" t="n">
        <v>2002</v>
      </c>
      <c r="X975" s="3" t="inlineStr">
        <is>
          <t>일반철골구조</t>
        </is>
      </c>
      <c r="Y975" s="3" t="inlineStr">
        <is>
          <t>공장</t>
        </is>
      </c>
      <c r="Z975" s="3" t="inlineStr">
        <is>
          <t>10.20m</t>
        </is>
      </c>
      <c r="AA975" s="3" t="inlineStr">
        <is>
          <t>2016-10-05</t>
        </is>
      </c>
    </row>
    <row r="976">
      <c r="A976" s="3" t="inlineStr">
        <is>
          <t>세종특별자치시 소정면 고등리 712</t>
        </is>
      </c>
      <c r="B976" s="3" t="inlineStr">
        <is>
          <t>일반공업지역</t>
        </is>
      </c>
      <c r="C976" s="3" t="inlineStr">
        <is>
          <t>공장용지</t>
        </is>
      </c>
      <c r="D976" s="3" t="inlineStr">
        <is>
          <t>공장</t>
        </is>
      </c>
      <c r="E976" s="3" t="inlineStr">
        <is>
          <t>월세</t>
        </is>
      </c>
      <c r="F976" s="4" t="n">
        <v>10000</v>
      </c>
      <c r="G976" s="4" t="n">
        <v>920</v>
      </c>
      <c r="H976" s="4" t="n">
        <v>6611</v>
      </c>
      <c r="I976" s="4" t="n">
        <v>2000</v>
      </c>
      <c r="J976" s="5" t="n">
        <v>0.5</v>
      </c>
      <c r="K976" s="4" t="n">
        <v>1312</v>
      </c>
      <c r="L976" s="4" t="n">
        <v>397</v>
      </c>
      <c r="M976" s="5" t="n">
        <v>2.3</v>
      </c>
      <c r="N976" s="3" t="inlineStr">
        <is>
          <t>2</t>
        </is>
      </c>
      <c r="O976" s="3" t="inlineStr">
        <is>
          <t>-</t>
        </is>
      </c>
      <c r="P976" s="3" t="inlineStr">
        <is>
          <t>남풍세ic 남천안ic 접근성 좋은 위치 호이스트 3톤2대 전력700kw</t>
        </is>
      </c>
      <c r="Q976" s="6">
        <f>HYPERLINK("https://fin.land.naver.com/articles/2649682312", "매물Link")</f>
        <v/>
      </c>
      <c r="R976" s="6">
        <f>HYPERLINK("https://map.naver.com/p/search/세종특별자치시 소정면 고등리 712", "지도Link")</f>
        <v/>
      </c>
      <c r="S976" s="6">
        <f>HYPERLINK("http://www.eum.go.kr/web/ar/lu/luLandDet.jsp?pnu=3611039024107120000&amp;isNoScr=script&amp;mode=search", "토지이음")</f>
        <v/>
      </c>
      <c r="T976" s="3" t="inlineStr">
        <is>
          <t>더원</t>
        </is>
      </c>
      <c r="U976" s="3" t="n">
        <v>1</v>
      </c>
      <c r="V976" s="3" t="inlineStr">
        <is>
          <t>주2동</t>
        </is>
      </c>
      <c r="W976" s="4" t="n">
        <v>1312</v>
      </c>
      <c r="X976" s="3" t="inlineStr">
        <is>
          <t>일반철골구조</t>
        </is>
      </c>
      <c r="Y976" s="3" t="inlineStr">
        <is>
          <t>공장</t>
        </is>
      </c>
      <c r="Z976" s="3" t="inlineStr">
        <is>
          <t>10.20m</t>
        </is>
      </c>
      <c r="AA976" s="3" t="inlineStr">
        <is>
          <t>2016-10-05</t>
        </is>
      </c>
    </row>
    <row r="977">
      <c r="A977" s="3" t="inlineStr">
        <is>
          <t>세종특별자치시 소정면 고등리 712</t>
        </is>
      </c>
      <c r="B977" s="3" t="inlineStr">
        <is>
          <t>일반공업지역</t>
        </is>
      </c>
      <c r="C977" s="3" t="inlineStr">
        <is>
          <t>공장용지</t>
        </is>
      </c>
      <c r="D977" s="3" t="inlineStr">
        <is>
          <t>공장</t>
        </is>
      </c>
      <c r="E977" s="3" t="inlineStr">
        <is>
          <t>월세</t>
        </is>
      </c>
      <c r="F977" s="4" t="n">
        <v>20000</v>
      </c>
      <c r="G977" s="4" t="n">
        <v>0</v>
      </c>
      <c r="H977" s="4" t="n">
        <v>6611</v>
      </c>
      <c r="I977" s="4" t="n">
        <v>2000</v>
      </c>
      <c r="J977" s="5" t="n">
        <v>0</v>
      </c>
      <c r="K977" s="4" t="n">
        <v>2399</v>
      </c>
      <c r="L977" s="4" t="n">
        <v>726</v>
      </c>
      <c r="M977" s="5" t="n">
        <v>0</v>
      </c>
      <c r="N977" s="3" t="inlineStr">
        <is>
          <t>2</t>
        </is>
      </c>
      <c r="O977" s="3" t="inlineStr">
        <is>
          <t>-</t>
        </is>
      </c>
      <c r="P977" s="3" t="inlineStr">
        <is>
          <t>남풍세ic 남천안ic  접근성 좋은 위치 호이스트3톤2대 전력 700kw</t>
        </is>
      </c>
      <c r="Q977" s="6">
        <f>HYPERLINK("https://fin.land.naver.com/articles/2649663236", "매물Link")</f>
        <v/>
      </c>
      <c r="R977" s="6">
        <f>HYPERLINK("https://map.naver.com/p/search/세종특별자치시 소정면 고등리 712", "지도Link")</f>
        <v/>
      </c>
      <c r="S977" s="6">
        <f>HYPERLINK("http://www.eum.go.kr/web/ar/lu/luLandDet.jsp?pnu=3611039024107120000&amp;isNoScr=script&amp;mode=search", "토지이음")</f>
        <v/>
      </c>
      <c r="T977" s="3" t="inlineStr">
        <is>
          <t>더원</t>
        </is>
      </c>
      <c r="U977" s="3" t="n">
        <v>2</v>
      </c>
      <c r="V977" s="3" t="inlineStr">
        <is>
          <t>주1동</t>
        </is>
      </c>
      <c r="W977" s="4" t="n">
        <v>2399</v>
      </c>
      <c r="X977" s="3" t="inlineStr">
        <is>
          <t>일반철골구조</t>
        </is>
      </c>
      <c r="Y977" s="3" t="inlineStr">
        <is>
          <t>공장</t>
        </is>
      </c>
      <c r="Z977" s="3" t="inlineStr">
        <is>
          <t>10.20m</t>
        </is>
      </c>
      <c r="AA977" s="3" t="inlineStr">
        <is>
          <t>2016-10-05</t>
        </is>
      </c>
    </row>
    <row r="978">
      <c r="A978" s="3" t="inlineStr">
        <is>
          <t>세종특별자치시 소정면 고등리 712</t>
        </is>
      </c>
      <c r="B978" s="3" t="inlineStr">
        <is>
          <t>일반공업지역</t>
        </is>
      </c>
      <c r="C978" s="3" t="inlineStr">
        <is>
          <t>공장용지</t>
        </is>
      </c>
      <c r="D978" s="3" t="inlineStr">
        <is>
          <t>공장</t>
        </is>
      </c>
      <c r="E978" s="3" t="inlineStr">
        <is>
          <t>월세</t>
        </is>
      </c>
      <c r="F978" s="4" t="n">
        <v>9000</v>
      </c>
      <c r="G978" s="4" t="n">
        <v>880</v>
      </c>
      <c r="H978" s="4" t="n">
        <v>6612</v>
      </c>
      <c r="I978" s="4" t="n">
        <v>2000</v>
      </c>
      <c r="J978" s="5" t="n">
        <v>0.4</v>
      </c>
      <c r="K978" s="4" t="n">
        <v>1322</v>
      </c>
      <c r="L978" s="4" t="n">
        <v>400</v>
      </c>
      <c r="M978" s="5" t="n">
        <v>2.2</v>
      </c>
      <c r="N978" s="3" t="inlineStr">
        <is>
          <t>1</t>
        </is>
      </c>
      <c r="O978" s="3" t="inlineStr">
        <is>
          <t>-</t>
        </is>
      </c>
      <c r="P978" s="3" t="inlineStr">
        <is>
          <t>소정면 세종첨단산업단지내 공장임대 전기700kw 층고10m 호이스트2대</t>
        </is>
      </c>
      <c r="Q978" s="6">
        <f>HYPERLINK("https://fin.land.naver.com/articles/2644534711", "매물Link")</f>
        <v/>
      </c>
      <c r="R978" s="6">
        <f>HYPERLINK("https://map.naver.com/p/search/세종특별자치시 소정면 고등리 712", "지도Link")</f>
        <v/>
      </c>
      <c r="S978" s="6">
        <f>HYPERLINK("http://www.eum.go.kr/web/ar/lu/luLandDet.jsp?pnu=3611039024107120000&amp;isNoScr=script&amp;mode=search", "토지이음")</f>
        <v/>
      </c>
      <c r="T978" s="3" t="inlineStr">
        <is>
          <t>태양</t>
        </is>
      </c>
      <c r="U978" s="3" t="n">
        <v>1</v>
      </c>
      <c r="V978" s="3" t="inlineStr">
        <is>
          <t>주2동</t>
        </is>
      </c>
      <c r="W978" s="4" t="n">
        <v>1322</v>
      </c>
      <c r="X978" s="3" t="inlineStr">
        <is>
          <t>일반철골구조</t>
        </is>
      </c>
      <c r="Y978" s="3" t="inlineStr">
        <is>
          <t>공장</t>
        </is>
      </c>
      <c r="Z978" s="3" t="inlineStr">
        <is>
          <t>10.20m</t>
        </is>
      </c>
      <c r="AA978" s="3" t="inlineStr">
        <is>
          <t>2016-10-05</t>
        </is>
      </c>
    </row>
    <row r="979">
      <c r="A979" s="3" t="inlineStr">
        <is>
          <t>세종특별자치시 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HYPERLINK("https://map.naver.com/p/search/세종특별자치시 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7.70m</t>
        </is>
      </c>
      <c r="AA979" s="3" t="inlineStr">
        <is>
          <t>2003-04-23</t>
        </is>
      </c>
    </row>
    <row r="980">
      <c r="A980" s="3" t="inlineStr">
        <is>
          <t>세종특별자치시 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HYPERLINK("https://map.naver.com/p/search/세종특별자치시 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7.70m</t>
        </is>
      </c>
      <c r="AA980" s="3" t="inlineStr">
        <is>
          <t>2003-04-23</t>
        </is>
      </c>
    </row>
    <row r="981">
      <c r="A981" s="3" t="inlineStr">
        <is>
          <t>세종특별자치시 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HYPERLINK("https://map.naver.com/p/search/세종특별자치시 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6.70m</t>
        </is>
      </c>
      <c r="AA981" s="3" t="inlineStr">
        <is>
          <t>2003-04-23</t>
        </is>
      </c>
    </row>
    <row r="982">
      <c r="A982" s="3" t="inlineStr">
        <is>
          <t>세종특별자치시 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HYPERLINK("https://map.naver.com/p/search/세종특별자치시 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6.70m</t>
        </is>
      </c>
      <c r="AA982" s="3" t="inlineStr">
        <is>
          <t>2003-04-23</t>
        </is>
      </c>
    </row>
    <row r="983">
      <c r="A983" s="3" t="inlineStr">
        <is>
          <t>세종특별자치시 소정면 대곡리 299-2</t>
        </is>
      </c>
      <c r="B983" s="3" t="inlineStr">
        <is>
          <t>계획관리지역</t>
        </is>
      </c>
      <c r="C983" s="3" t="inlineStr">
        <is>
          <t>창고용지</t>
        </is>
      </c>
      <c r="D983" s="3" t="inlineStr">
        <is>
          <t>창고</t>
        </is>
      </c>
      <c r="E983" s="3" t="inlineStr">
        <is>
          <t>매매</t>
        </is>
      </c>
      <c r="F983" s="4" t="n">
        <v>125000</v>
      </c>
      <c r="G983" s="4" t="n">
        <v>0</v>
      </c>
      <c r="H983" s="4" t="n">
        <v>3003</v>
      </c>
      <c r="I983" s="4" t="n">
        <v>908</v>
      </c>
      <c r="J983" s="5" t="n">
        <v>137.7</v>
      </c>
      <c r="K983" s="4" t="n">
        <v>1591</v>
      </c>
      <c r="L983" s="4" t="n">
        <v>481</v>
      </c>
      <c r="M983" s="5" t="n">
        <v>259.9</v>
      </c>
      <c r="N983" s="3" t="inlineStr">
        <is>
          <t>2</t>
        </is>
      </c>
      <c r="O983" s="3" t="inlineStr">
        <is>
          <t>-</t>
        </is>
      </c>
      <c r="P983" s="3" t="inlineStr">
        <is>
          <t>고속도로 근,바로사용가능.물류창고적지.급매</t>
        </is>
      </c>
      <c r="Q983" s="6">
        <f>HYPERLINK("https://fin.land.naver.com/articles/2647449183", "매물Link")</f>
        <v/>
      </c>
      <c r="R983" s="6">
        <f>HYPERLINK("https://map.naver.com/p/search/세종특별자치시 소정면 대곡리 299-2", "지도Link")</f>
        <v/>
      </c>
      <c r="S983" s="6">
        <f>HYPERLINK("http://www.eum.go.kr/web/ar/lu/luLandDet.jsp?pnu=3611039023102990002&amp;isNoScr=script&amp;mode=search", "토지이음")</f>
        <v/>
      </c>
      <c r="T983" s="3" t="inlineStr">
        <is>
          <t>명가.dnc</t>
        </is>
      </c>
      <c r="U983" s="3" t="n">
        <v>1</v>
      </c>
      <c r="V983" s="3" t="inlineStr">
        <is>
          <t>1동</t>
        </is>
      </c>
      <c r="W983" s="4" t="n">
        <v>1591</v>
      </c>
      <c r="X983" s="3" t="inlineStr">
        <is>
          <t>일반철골구조</t>
        </is>
      </c>
      <c r="Y983" s="3" t="inlineStr">
        <is>
          <t>제2종근린생활시설</t>
        </is>
      </c>
      <c r="Z983" s="3" t="inlineStr">
        <is>
          <t>6.82m</t>
        </is>
      </c>
      <c r="AA983" s="3" t="inlineStr">
        <is>
          <t>2000-12-29</t>
        </is>
      </c>
    </row>
    <row r="984">
      <c r="A984" s="3" t="inlineStr">
        <is>
          <t>세종특별자치시 소정면 대곡리 299-2</t>
        </is>
      </c>
      <c r="B984" s="3" t="inlineStr">
        <is>
          <t>계획관리지역</t>
        </is>
      </c>
      <c r="C984" s="3" t="inlineStr">
        <is>
          <t>창고용지</t>
        </is>
      </c>
      <c r="D984" s="3" t="inlineStr">
        <is>
          <t>창고</t>
        </is>
      </c>
      <c r="E984" s="3" t="inlineStr">
        <is>
          <t>매매</t>
        </is>
      </c>
      <c r="F984" s="4" t="n">
        <v>124000</v>
      </c>
      <c r="G984" s="4" t="n">
        <v>0</v>
      </c>
      <c r="H984" s="4" t="n">
        <v>3010</v>
      </c>
      <c r="I984" s="4" t="n">
        <v>911</v>
      </c>
      <c r="J984" s="5" t="n">
        <v>136.1</v>
      </c>
      <c r="K984" s="4" t="n">
        <v>1594</v>
      </c>
      <c r="L984" s="4" t="n">
        <v>482</v>
      </c>
      <c r="M984" s="5" t="n">
        <v>257.3</v>
      </c>
      <c r="N984" s="3" t="inlineStr">
        <is>
          <t>1</t>
        </is>
      </c>
      <c r="O984" s="3" t="inlineStr">
        <is>
          <t>-</t>
        </is>
      </c>
      <c r="P984" s="3" t="inlineStr">
        <is>
          <t>남천안IC  5분,   남풍세IC  7분 소요</t>
        </is>
      </c>
      <c r="Q984" s="6">
        <f>HYPERLINK("https://fin.land.naver.com/articles/2646775233", "매물Link")</f>
        <v/>
      </c>
      <c r="R984" s="6">
        <f>HYPERLINK("https://map.naver.com/p/search/세종특별자치시 소정면 대곡리 299-2", "지도Link")</f>
        <v/>
      </c>
      <c r="S984" s="6">
        <f>HYPERLINK("http://www.eum.go.kr/web/ar/lu/luLandDet.jsp?pnu=3611039023102990002&amp;isNoScr=script&amp;mode=search", "토지이음")</f>
        <v/>
      </c>
      <c r="T984" s="3" t="inlineStr">
        <is>
          <t>미더스</t>
        </is>
      </c>
      <c r="U984" s="3" t="n">
        <v>1</v>
      </c>
      <c r="V984" s="3" t="inlineStr">
        <is>
          <t>1동</t>
        </is>
      </c>
      <c r="W984" s="4" t="n">
        <v>1594</v>
      </c>
      <c r="X984" s="3" t="inlineStr">
        <is>
          <t>일반철골구조</t>
        </is>
      </c>
      <c r="Y984" s="3" t="inlineStr">
        <is>
          <t>제2종근린생활시설</t>
        </is>
      </c>
      <c r="Z984" s="3" t="inlineStr">
        <is>
          <t>6.82m</t>
        </is>
      </c>
      <c r="AA984" s="3" t="inlineStr">
        <is>
          <t>2000-12-29</t>
        </is>
      </c>
    </row>
    <row r="985">
      <c r="A985" s="3" t="inlineStr">
        <is>
          <t>세종특별자치시 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HYPERLINK("https://map.naver.com/p/search/세종특별자치시 소정면 대곡리 361-1", "지도Link")</f>
        <v/>
      </c>
      <c r="S985" s="6">
        <f>HYPERLINK("http://www.eum.go.kr/web/ar/lu/luLandDet.jsp?pnu=3611039023103610001&amp;isNoScr=script&amp;mode=search", "토지이음")</f>
        <v/>
      </c>
      <c r="T985" s="3" t="inlineStr">
        <is>
          <t>나라</t>
        </is>
      </c>
      <c r="U985" s="3" t="n">
        <v>1</v>
      </c>
      <c r="V985" s="3" t="inlineStr">
        <is>
          <t>1동</t>
        </is>
      </c>
      <c r="W985" s="4" t="n">
        <v>1275</v>
      </c>
      <c r="X985" s="3" t="inlineStr">
        <is>
          <t>강파이프구조</t>
        </is>
      </c>
      <c r="Y985" s="3" t="inlineStr">
        <is>
          <t>동물및식물관련시설</t>
        </is>
      </c>
      <c r="Z985" s="3" t="inlineStr">
        <is>
          <t>6.65m</t>
        </is>
      </c>
      <c r="AA985" s="3" t="inlineStr">
        <is>
          <t>1999-05-28</t>
        </is>
      </c>
    </row>
    <row r="986">
      <c r="A986" s="3" t="inlineStr">
        <is>
          <t>세종특별자치시 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HYPERLINK("https://map.naver.com/p/search/세종특별자치시 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10.10m</t>
        </is>
      </c>
      <c r="AA986" s="3" t="inlineStr">
        <is>
          <t>2007-01-04</t>
        </is>
      </c>
    </row>
    <row r="987">
      <c r="A987" s="3" t="inlineStr">
        <is>
          <t>세종특별자치시 연동면 내판리 167-3</t>
        </is>
      </c>
      <c r="B987" s="3" t="inlineStr">
        <is>
          <t>계획관리지역</t>
        </is>
      </c>
      <c r="C987" s="3" t="inlineStr">
        <is>
          <t>공장용지</t>
        </is>
      </c>
      <c r="D987" s="3" t="inlineStr">
        <is>
          <t>공장</t>
        </is>
      </c>
      <c r="E987" s="3" t="inlineStr">
        <is>
          <t>월세</t>
        </is>
      </c>
      <c r="F987" s="4" t="n">
        <v>25000</v>
      </c>
      <c r="G987" s="4" t="n">
        <v>0</v>
      </c>
      <c r="H987" s="4" t="n">
        <v>9768</v>
      </c>
      <c r="I987" s="4" t="n">
        <v>2955</v>
      </c>
      <c r="J987" s="5" t="n">
        <v>0</v>
      </c>
      <c r="K987" s="4" t="n">
        <v>4329</v>
      </c>
      <c r="L987" s="4" t="n">
        <v>1310</v>
      </c>
      <c r="M987" s="5" t="n">
        <v>0</v>
      </c>
      <c r="N987" s="3" t="inlineStr">
        <is>
          <t>2</t>
        </is>
      </c>
      <c r="O987" s="3" t="inlineStr">
        <is>
          <t>-</t>
        </is>
      </c>
      <c r="P987" s="3" t="inlineStr">
        <is>
          <t>천평 임대,층고5m 깔끔한 공장,현재 공실로 즉시입주 가능</t>
        </is>
      </c>
      <c r="Q987" s="6">
        <f>HYPERLINK("https://fin.land.naver.com/articles/2644615200", "매물Link")</f>
        <v/>
      </c>
      <c r="R987" s="6">
        <f>HYPERLINK("https://map.naver.com/p/search/세종특별자치시 연동면 내판리 167-3", "지도Link")</f>
        <v/>
      </c>
      <c r="S987" s="6">
        <f>HYPERLINK("http://www.eum.go.kr/web/ar/lu/luLandDet.jsp?pnu=3611032021101670003&amp;isNoScr=script&amp;mode=search", "토지이음")</f>
        <v/>
      </c>
      <c r="T987" s="3" t="inlineStr">
        <is>
          <t>금화랜드</t>
        </is>
      </c>
      <c r="U987" s="3" t="n">
        <v>1</v>
      </c>
      <c r="V987" s="3" t="inlineStr">
        <is>
          <t>주건물</t>
        </is>
      </c>
      <c r="W987" s="4" t="n">
        <v>4329</v>
      </c>
      <c r="X987" s="3" t="inlineStr">
        <is>
          <t>철근콘크리트구조</t>
        </is>
      </c>
      <c r="Y987" s="3" t="inlineStr">
        <is>
          <t>공장</t>
        </is>
      </c>
      <c r="Z987" s="3" t="inlineStr">
        <is>
          <t>-m</t>
        </is>
      </c>
      <c r="AA987" s="3" t="inlineStr">
        <is>
          <t>1992</t>
        </is>
      </c>
    </row>
    <row r="988">
      <c r="A988" s="3" t="inlineStr">
        <is>
          <t>세종특별자치시 연동면 내판리 167-3</t>
        </is>
      </c>
      <c r="B988" s="3" t="inlineStr">
        <is>
          <t>계획관리지역</t>
        </is>
      </c>
      <c r="C988" s="3" t="inlineStr">
        <is>
          <t>공장용지</t>
        </is>
      </c>
      <c r="D988" s="3" t="inlineStr">
        <is>
          <t>공장</t>
        </is>
      </c>
      <c r="E988" s="3" t="inlineStr">
        <is>
          <t>매매</t>
        </is>
      </c>
      <c r="F988" s="4" t="n">
        <v>1050000</v>
      </c>
      <c r="G988" s="4" t="n">
        <v>0</v>
      </c>
      <c r="H988" s="4" t="n">
        <v>9768</v>
      </c>
      <c r="I988" s="4" t="n">
        <v>2955</v>
      </c>
      <c r="J988" s="5" t="n">
        <v>355.3</v>
      </c>
      <c r="K988" s="4" t="n">
        <v>4329</v>
      </c>
      <c r="L988" s="4" t="n">
        <v>1310</v>
      </c>
      <c r="M988" s="5" t="n">
        <v>801.5</v>
      </c>
      <c r="N988" s="3" t="inlineStr">
        <is>
          <t>2</t>
        </is>
      </c>
      <c r="O988" s="3" t="inlineStr">
        <is>
          <t>-</t>
        </is>
      </c>
      <c r="P988" s="3" t="inlineStr">
        <is>
          <t>남청주IC 10분,세종시청 20분거리,빠른 입주 가능</t>
        </is>
      </c>
      <c r="Q988" s="6">
        <f>HYPERLINK("https://fin.land.naver.com/articles/2649056345", "매물Link")</f>
        <v/>
      </c>
      <c r="R988" s="6">
        <f>HYPERLINK("https://map.naver.com/p/search/세종특별자치시 연동면 내판리 167-3", "지도Link")</f>
        <v/>
      </c>
      <c r="S988" s="6">
        <f>HYPERLINK("http://www.eum.go.kr/web/ar/lu/luLandDet.jsp?pnu=3611032021101670003&amp;isNoScr=script&amp;mode=search", "토지이음")</f>
        <v/>
      </c>
      <c r="T988" s="3" t="inlineStr">
        <is>
          <t>금화랜드</t>
        </is>
      </c>
      <c r="U988" s="3" t="n">
        <v>2</v>
      </c>
      <c r="V988" s="3" t="inlineStr">
        <is>
          <t>주건물</t>
        </is>
      </c>
      <c r="W988" s="4" t="n">
        <v>4329</v>
      </c>
      <c r="X988" s="3" t="inlineStr">
        <is>
          <t>철근콘크리트구조</t>
        </is>
      </c>
      <c r="Y988" s="3" t="inlineStr">
        <is>
          <t>공장</t>
        </is>
      </c>
      <c r="Z988" s="3" t="inlineStr">
        <is>
          <t>-m</t>
        </is>
      </c>
      <c r="AA988" s="3" t="inlineStr">
        <is>
          <t>1992</t>
        </is>
      </c>
    </row>
    <row r="989">
      <c r="A989" s="3" t="inlineStr">
        <is>
          <t>세종특별자치시 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HYPERLINK("https://map.naver.com/p/search/세종특별자치시 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8.20m</t>
        </is>
      </c>
      <c r="AA989" s="3" t="inlineStr">
        <is>
          <t>2002-12-11</t>
        </is>
      </c>
    </row>
    <row r="990">
      <c r="A990" s="3" t="inlineStr">
        <is>
          <t>세종특별자치시 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HYPERLINK("https://map.naver.com/p/search/세종특별자치시 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9.50m</t>
        </is>
      </c>
      <c r="AA990" s="3" t="inlineStr">
        <is>
          <t>2017-12-27</t>
        </is>
      </c>
    </row>
    <row r="991">
      <c r="A991" s="3" t="inlineStr">
        <is>
          <t>세종특별자치시 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HYPERLINK("https://map.naver.com/p/search/세종특별자치시 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5.15m</t>
        </is>
      </c>
      <c r="AA991" s="3" t="inlineStr">
        <is>
          <t>2020-12-01</t>
        </is>
      </c>
    </row>
    <row r="992">
      <c r="A992" s="3" t="inlineStr">
        <is>
          <t>세종특별자치시 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HYPERLINK("https://map.naver.com/p/search/세종특별자치시 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14.20m</t>
        </is>
      </c>
      <c r="AA992" s="3" t="inlineStr">
        <is>
          <t>2017-06-19</t>
        </is>
      </c>
    </row>
    <row r="993">
      <c r="A993" s="3" t="inlineStr">
        <is>
          <t>세종특별자치시 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HYPERLINK("https://map.naver.com/p/search/세종특별자치시 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14.20m</t>
        </is>
      </c>
      <c r="AA993" s="3" t="inlineStr">
        <is>
          <t>2017-06-19</t>
        </is>
      </c>
    </row>
    <row r="994">
      <c r="A994" s="3" t="inlineStr">
        <is>
          <t>세종특별자치시 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HYPERLINK("https://map.naver.com/p/search/세종특별자치시 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13.45m</t>
        </is>
      </c>
      <c r="AA994" s="3" t="inlineStr">
        <is>
          <t>2018-02-02</t>
        </is>
      </c>
    </row>
    <row r="995">
      <c r="A995" s="3" t="inlineStr">
        <is>
          <t>세종특별자치시 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HYPERLINK("https://map.naver.com/p/search/세종특별자치시 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13.45m</t>
        </is>
      </c>
      <c r="AA995" s="3" t="inlineStr">
        <is>
          <t>2018-02-02</t>
        </is>
      </c>
    </row>
    <row r="996">
      <c r="A996" s="3" t="inlineStr">
        <is>
          <t>세종특별자치시 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행복도시 도심1분 최인접 명학산업단지 건너편 6차선도로 바로옆</t>
        </is>
      </c>
      <c r="Q996" s="6">
        <f>HYPERLINK("https://fin.land.naver.com/articles/2644483737", "매물Link")</f>
        <v/>
      </c>
      <c r="R996" s="6">
        <f>HYPERLINK("https://map.naver.com/p/search/세종특별자치시 연동면 응암리 561-1", "지도Link")</f>
        <v/>
      </c>
      <c r="S996" s="6">
        <f>HYPERLINK("http://www.eum.go.kr/web/ar/lu/luLandDet.jsp?pnu=3611032024105610001&amp;isNoScr=script&amp;mode=search", "토지이음")</f>
        <v/>
      </c>
      <c r="T996" s="3" t="inlineStr">
        <is>
          <t>세종스타</t>
        </is>
      </c>
      <c r="U996" s="3" t="n">
        <v>2</v>
      </c>
      <c r="V996" s="3" t="inlineStr">
        <is>
          <t>주건축물제1동</t>
        </is>
      </c>
      <c r="W996" s="4" t="n">
        <v>1150</v>
      </c>
      <c r="X996" s="3" t="inlineStr">
        <is>
          <t>일반철골구조</t>
        </is>
      </c>
      <c r="Y996" s="3" t="inlineStr">
        <is>
          <t>공장</t>
        </is>
      </c>
      <c r="Z996" s="3" t="inlineStr">
        <is>
          <t>9.30m</t>
        </is>
      </c>
      <c r="AA996" s="3" t="inlineStr">
        <is>
          <t>2011-10-06</t>
        </is>
      </c>
    </row>
    <row r="997">
      <c r="A997" s="3" t="inlineStr">
        <is>
          <t>세종특별자치시 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사진有 공장 매매</t>
        </is>
      </c>
      <c r="Q997" s="6">
        <f>HYPERLINK("https://fin.land.naver.com/articles/2649601039", "매물Link")</f>
        <v/>
      </c>
      <c r="R997" s="6">
        <f>HYPERLINK("https://map.naver.com/p/search/세종특별자치시 연동면 응암리 561-1", "지도Link")</f>
        <v/>
      </c>
      <c r="S997" s="6">
        <f>HYPERLINK("http://www.eum.go.kr/web/ar/lu/luLandDet.jsp?pnu=3611032024105610001&amp;isNoScr=script&amp;mode=search", "토지이음")</f>
        <v/>
      </c>
      <c r="T997" s="3" t="inlineStr">
        <is>
          <t>월드</t>
        </is>
      </c>
      <c r="U997" s="3" t="n">
        <v>1</v>
      </c>
      <c r="V997" s="3" t="inlineStr">
        <is>
          <t>주건축물제1동</t>
        </is>
      </c>
      <c r="W997" s="4" t="n">
        <v>1150</v>
      </c>
      <c r="X997" s="3" t="inlineStr">
        <is>
          <t>일반철골구조</t>
        </is>
      </c>
      <c r="Y997" s="3" t="inlineStr">
        <is>
          <t>공장</t>
        </is>
      </c>
      <c r="Z997" s="3" t="inlineStr">
        <is>
          <t>9.30m</t>
        </is>
      </c>
      <c r="AA997" s="3" t="inlineStr">
        <is>
          <t>2011-10-06</t>
        </is>
      </c>
    </row>
    <row r="998">
      <c r="A998" s="3" t="inlineStr">
        <is>
          <t>세종특별자치시 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HYPERLINK("https://map.naver.com/p/search/세종특별자치시 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9.30m</t>
        </is>
      </c>
      <c r="AA998" s="3" t="inlineStr">
        <is>
          <t>2011-10-06</t>
        </is>
      </c>
    </row>
    <row r="999">
      <c r="A999" s="3" t="inlineStr">
        <is>
          <t>세종특별자치시 연동면 응암리 666-1</t>
        </is>
      </c>
      <c r="B999" s="3" t="inlineStr">
        <is>
          <t>계획관리지역</t>
        </is>
      </c>
      <c r="C999" s="3" t="inlineStr">
        <is>
          <t>공장용지</t>
        </is>
      </c>
      <c r="D999" s="3" t="inlineStr">
        <is>
          <t>공장</t>
        </is>
      </c>
      <c r="E999" s="3" t="inlineStr">
        <is>
          <t>월세</t>
        </is>
      </c>
      <c r="F999" s="4" t="n">
        <v>4000</v>
      </c>
      <c r="G999" s="4" t="n">
        <v>360</v>
      </c>
      <c r="H999" s="4" t="n">
        <v>7015</v>
      </c>
      <c r="I999" s="4" t="n">
        <v>2122</v>
      </c>
      <c r="J999" s="5" t="n">
        <v>0.2</v>
      </c>
      <c r="K999" s="4" t="n">
        <v>3266</v>
      </c>
      <c r="L999" s="4" t="n">
        <v>988</v>
      </c>
      <c r="M999" s="5" t="n">
        <v>0.4</v>
      </c>
      <c r="N999" s="3" t="inlineStr">
        <is>
          <t>2</t>
        </is>
      </c>
      <c r="O999" s="3" t="inlineStr">
        <is>
          <t>B1</t>
        </is>
      </c>
      <c r="P999" s="3" t="inlineStr">
        <is>
          <t>사통팔달세종시 창고 및 공장 임대</t>
        </is>
      </c>
      <c r="Q999" s="6">
        <f>HYPERLINK("https://fin.land.naver.com/articles/2646473361", "매물Link")</f>
        <v/>
      </c>
      <c r="R999" s="6">
        <f>HYPERLINK("https://map.naver.com/p/search/세종특별자치시 연동면 응암리 666-1", "지도Link")</f>
        <v/>
      </c>
      <c r="S999" s="6">
        <f>HYPERLINK("http://www.eum.go.kr/web/ar/lu/luLandDet.jsp?pnu=3611032024106660001&amp;isNoScr=script&amp;mode=search", "토지이음")</f>
        <v/>
      </c>
      <c r="T999" s="3" t="inlineStr">
        <is>
          <t>주식회사 써밋</t>
        </is>
      </c>
      <c r="U999" s="3" t="n">
        <v>1</v>
      </c>
      <c r="V999" s="3" t="inlineStr">
        <is>
          <t>1동</t>
        </is>
      </c>
      <c r="W999" s="4" t="n">
        <v>3266</v>
      </c>
      <c r="X999" s="3" t="inlineStr">
        <is>
          <t>철근콘크리트구조</t>
        </is>
      </c>
      <c r="Y999" s="3" t="inlineStr">
        <is>
          <t>공장</t>
        </is>
      </c>
      <c r="Z999" s="3" t="inlineStr">
        <is>
          <t>-m</t>
        </is>
      </c>
      <c r="AA999" s="3" t="inlineStr">
        <is>
          <t>1990</t>
        </is>
      </c>
    </row>
    <row r="1000">
      <c r="A1000" s="3" t="inlineStr">
        <is>
          <t>세종특별자치시 연동면 응암리 666-1</t>
        </is>
      </c>
      <c r="B1000" s="3" t="inlineStr">
        <is>
          <t>계획관리지역</t>
        </is>
      </c>
      <c r="C1000" s="3" t="inlineStr">
        <is>
          <t>공장용지</t>
        </is>
      </c>
      <c r="D1000" s="3" t="inlineStr">
        <is>
          <t>공장</t>
        </is>
      </c>
      <c r="E1000" s="3" t="inlineStr">
        <is>
          <t>월세</t>
        </is>
      </c>
      <c r="F1000" s="4" t="n">
        <v>4000</v>
      </c>
      <c r="G1000" s="4" t="n">
        <v>396</v>
      </c>
      <c r="H1000" s="4" t="n">
        <v>7015</v>
      </c>
      <c r="I1000" s="4" t="n">
        <v>2122</v>
      </c>
      <c r="J1000" s="5" t="n">
        <v>0.2</v>
      </c>
      <c r="K1000" s="4" t="n">
        <v>594</v>
      </c>
      <c r="L1000" s="4" t="n">
        <v>180</v>
      </c>
      <c r="M1000" s="5" t="n">
        <v>2.2</v>
      </c>
      <c r="N1000" s="3" t="inlineStr">
        <is>
          <t>1</t>
        </is>
      </c>
      <c r="O1000" s="3" t="inlineStr">
        <is>
          <t>-</t>
        </is>
      </c>
      <c r="P1000" s="3" t="inlineStr">
        <is>
          <t>nan</t>
        </is>
      </c>
      <c r="Q1000" s="6">
        <f>HYPERLINK("https://fin.land.naver.com/articles/2644445678", "매물Link")</f>
        <v/>
      </c>
      <c r="R1000" s="6">
        <f>HYPERLINK("https://map.naver.com/p/search/세종특별자치시 연동면 응암리 666-1", "지도Link")</f>
        <v/>
      </c>
      <c r="S1000" s="6">
        <f>HYPERLINK("http://www.eum.go.kr/web/ar/lu/luLandDet.jsp?pnu=3611032024106660001&amp;isNoScr=script&amp;mode=search", "토지이음")</f>
        <v/>
      </c>
      <c r="T1000" s="3" t="inlineStr">
        <is>
          <t>e플러스</t>
        </is>
      </c>
      <c r="U1000" s="3" t="n">
        <v>1</v>
      </c>
      <c r="V1000" s="3" t="inlineStr">
        <is>
          <t>2동</t>
        </is>
      </c>
      <c r="W1000" s="4" t="n">
        <v>594</v>
      </c>
      <c r="X1000" s="3" t="inlineStr">
        <is>
          <t>일반철골구조</t>
        </is>
      </c>
      <c r="Y1000" s="3" t="inlineStr">
        <is>
          <t>공장</t>
        </is>
      </c>
      <c r="Z1000" s="3" t="inlineStr">
        <is>
          <t>6.70m</t>
        </is>
      </c>
      <c r="AA1000" s="3" t="inlineStr">
        <is>
          <t>1999-11-23</t>
        </is>
      </c>
    </row>
    <row r="1001">
      <c r="A1001" s="3" t="inlineStr">
        <is>
          <t>세종특별자치시 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HYPERLINK("https://map.naver.com/p/search/세종특별자치시 연동면 응암리 666-1", "지도Link")</f>
        <v/>
      </c>
      <c r="S1001" s="6">
        <f>HYPERLINK("http://www.eum.go.kr/web/ar/lu/luLandDet.jsp?pnu=3611032024106660001&amp;isNoScr=script&amp;mode=search", "토지이음")</f>
        <v/>
      </c>
      <c r="T1001" s="3" t="inlineStr">
        <is>
          <t>주식회사 대기</t>
        </is>
      </c>
      <c r="U1001" s="3" t="n">
        <v>1</v>
      </c>
      <c r="V1001" s="3" t="inlineStr">
        <is>
          <t>1동</t>
        </is>
      </c>
      <c r="W1001" s="4" t="n">
        <v>4117</v>
      </c>
      <c r="X1001" s="3" t="inlineStr">
        <is>
          <t>철근콘크리트구조</t>
        </is>
      </c>
      <c r="Y1001" s="3" t="inlineStr">
        <is>
          <t>공장</t>
        </is>
      </c>
      <c r="Z1001" s="3" t="inlineStr">
        <is>
          <t>-m</t>
        </is>
      </c>
      <c r="AA1001" s="3" t="inlineStr">
        <is>
          <t>1990</t>
        </is>
      </c>
    </row>
    <row r="1002">
      <c r="A1002" s="3" t="inlineStr">
        <is>
          <t>세종특별자치시 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HYPERLINK("https://map.naver.com/p/search/세종특별자치시 연동면 응암리 666-1", "지도Link")</f>
        <v/>
      </c>
      <c r="S1002" s="6">
        <f>HYPERLINK("http://www.eum.go.kr/web/ar/lu/luLandDet.jsp?pnu=3611032024106660001&amp;isNoScr=script&amp;mode=search", "토지이음")</f>
        <v/>
      </c>
      <c r="T1002" s="3" t="inlineStr">
        <is>
          <t>주식회사 대기</t>
        </is>
      </c>
      <c r="U1002" s="3" t="n">
        <v>1</v>
      </c>
      <c r="V1002" s="3" t="inlineStr">
        <is>
          <t>1동</t>
        </is>
      </c>
      <c r="W1002" s="4" t="n">
        <v>4117</v>
      </c>
      <c r="X1002" s="3" t="inlineStr">
        <is>
          <t>철근콘크리트구조</t>
        </is>
      </c>
      <c r="Y1002" s="3" t="inlineStr">
        <is>
          <t>공장</t>
        </is>
      </c>
      <c r="Z1002" s="3" t="inlineStr">
        <is>
          <t>-m</t>
        </is>
      </c>
      <c r="AA1002" s="3" t="inlineStr">
        <is>
          <t>1990</t>
        </is>
      </c>
    </row>
    <row r="1003">
      <c r="A1003" s="3" t="inlineStr">
        <is>
          <t>세종특별자치시 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HYPERLINK("https://map.naver.com/p/search/세종특별자치시 연동면 응암리 666-6", "지도Link")</f>
        <v/>
      </c>
      <c r="S1003" s="6">
        <f>HYPERLINK("http://www.eum.go.kr/web/ar/lu/luLandDet.jsp?pnu=3611032024106660006&amp;isNoScr=script&amp;mode=search", "토지이음")</f>
        <v/>
      </c>
      <c r="T1003" s="3" t="inlineStr">
        <is>
          <t>월드</t>
        </is>
      </c>
      <c r="U1003" s="3" t="n">
        <v>1</v>
      </c>
      <c r="V1003" s="3" t="inlineStr">
        <is>
          <t>1동</t>
        </is>
      </c>
      <c r="W1003" s="4" t="n">
        <v>5677</v>
      </c>
      <c r="X1003" s="3" t="inlineStr">
        <is>
          <t>철근콘크리트구조</t>
        </is>
      </c>
      <c r="Y1003" s="3" t="inlineStr">
        <is>
          <t>공장</t>
        </is>
      </c>
      <c r="Z1003" s="3" t="inlineStr">
        <is>
          <t>-m</t>
        </is>
      </c>
      <c r="AA1003" s="3" t="inlineStr">
        <is>
          <t>None</t>
        </is>
      </c>
    </row>
    <row r="1004">
      <c r="A1004" s="3" t="inlineStr">
        <is>
          <t>세종특별자치시 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HYPERLINK("https://map.naver.com/p/search/세종특별자치시 연동면 응암리 666-6", "지도Link")</f>
        <v/>
      </c>
      <c r="S1004" s="6">
        <f>HYPERLINK("http://www.eum.go.kr/web/ar/lu/luLandDet.jsp?pnu=3611032024106660006&amp;isNoScr=script&amp;mode=search", "토지이음")</f>
        <v/>
      </c>
      <c r="T1004" s="3" t="inlineStr">
        <is>
          <t>복댕이</t>
        </is>
      </c>
      <c r="U1004" s="3" t="n">
        <v>3</v>
      </c>
      <c r="V1004" s="3" t="inlineStr">
        <is>
          <t>1동</t>
        </is>
      </c>
      <c r="W1004" s="4" t="n">
        <v>5677</v>
      </c>
      <c r="X1004" s="3" t="inlineStr">
        <is>
          <t>철근콘크리트구조</t>
        </is>
      </c>
      <c r="Y1004" s="3" t="inlineStr">
        <is>
          <t>공장</t>
        </is>
      </c>
      <c r="Z1004" s="3" t="inlineStr">
        <is>
          <t>-m</t>
        </is>
      </c>
      <c r="AA1004" s="3" t="inlineStr">
        <is>
          <t>None</t>
        </is>
      </c>
    </row>
    <row r="1005">
      <c r="A1005" s="3" t="inlineStr">
        <is>
          <t>세종특별자치시 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HYPERLINK("https://map.naver.com/p/search/세종특별자치시 연동면 응암리 676-12", "지도Link")</f>
        <v/>
      </c>
      <c r="S1005" s="6">
        <f>HYPERLINK("http://www.eum.go.kr/web/ar/lu/luLandDet.jsp?pnu=3611032024106760012&amp;isNoScr=script&amp;mode=search", "토지이음")</f>
        <v/>
      </c>
      <c r="T1005" s="3" t="inlineStr">
        <is>
          <t>청담</t>
        </is>
      </c>
      <c r="U1005" s="3" t="n">
        <v>1</v>
      </c>
      <c r="V1005" s="3" t="inlineStr">
        <is>
          <t>2동</t>
        </is>
      </c>
      <c r="W1005" s="4" t="n">
        <v>1096</v>
      </c>
      <c r="X1005" s="3" t="inlineStr">
        <is>
          <t>일반철골구조</t>
        </is>
      </c>
      <c r="Y1005" s="3" t="inlineStr">
        <is>
          <t>공장</t>
        </is>
      </c>
      <c r="Z1005" s="3" t="inlineStr">
        <is>
          <t>10.25m</t>
        </is>
      </c>
      <c r="AA1005" s="3" t="inlineStr">
        <is>
          <t>2015-03-26</t>
        </is>
      </c>
    </row>
    <row r="1006">
      <c r="A1006" s="3" t="inlineStr">
        <is>
          <t>세종특별자치시 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HYPERLINK("https://map.naver.com/p/search/세종특별자치시 연서면 국촌리 169", "지도Link")</f>
        <v/>
      </c>
      <c r="S1006" s="6">
        <f>HYPERLINK("http://www.eum.go.kr/web/ar/lu/luLandDet.jsp?pnu=3611036030101690000&amp;isNoScr=script&amp;mode=search", "토지이음")</f>
        <v/>
      </c>
      <c r="T1006" s="3" t="inlineStr">
        <is>
          <t>지성</t>
        </is>
      </c>
      <c r="U1006" s="3" t="n">
        <v>1</v>
      </c>
      <c r="V1006" s="3" t="inlineStr">
        <is>
          <t>1동</t>
        </is>
      </c>
      <c r="W1006" s="4" t="n">
        <v>492</v>
      </c>
      <c r="X1006" s="3" t="inlineStr">
        <is>
          <t>일반철골구조</t>
        </is>
      </c>
      <c r="Y1006" s="3" t="inlineStr">
        <is>
          <t>공장</t>
        </is>
      </c>
      <c r="Z1006" s="3" t="inlineStr">
        <is>
          <t>10.15m</t>
        </is>
      </c>
      <c r="AA1006" s="3" t="inlineStr">
        <is>
          <t>2015-03-30</t>
        </is>
      </c>
    </row>
    <row r="1007">
      <c r="A1007" s="3" t="inlineStr">
        <is>
          <t>세종특별자치시 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HYPERLINK("https://map.naver.com/p/search/세종특별자치시 연서면 국촌리 7", "지도Link")</f>
        <v/>
      </c>
      <c r="S1007" s="6">
        <f>HYPERLINK("http://www.eum.go.kr/web/ar/lu/luLandDet.jsp?pnu=3611036030100070000&amp;isNoScr=script&amp;mode=search", "토지이음")</f>
        <v/>
      </c>
      <c r="T1007" s="3" t="inlineStr">
        <is>
          <t>푸른들</t>
        </is>
      </c>
      <c r="U1007" s="3" t="n">
        <v>1</v>
      </c>
      <c r="V1007" s="3" t="inlineStr">
        <is>
          <t>1동</t>
        </is>
      </c>
      <c r="W1007" s="4" t="n">
        <v>1217</v>
      </c>
      <c r="X1007" s="3" t="inlineStr">
        <is>
          <t>일반철골구조</t>
        </is>
      </c>
      <c r="Y1007" s="3" t="inlineStr">
        <is>
          <t>공장</t>
        </is>
      </c>
      <c r="Z1007" s="3" t="inlineStr">
        <is>
          <t>8.70m</t>
        </is>
      </c>
      <c r="AA1007" s="3" t="inlineStr">
        <is>
          <t>2002-07-12</t>
        </is>
      </c>
    </row>
    <row r="1008">
      <c r="A1008" s="3" t="inlineStr">
        <is>
          <t>세종특별자치시 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HYPERLINK("https://map.naver.com/p/search/세종특별자치시 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6.00m</t>
        </is>
      </c>
      <c r="AA1008" s="3" t="inlineStr">
        <is>
          <t>2007-04-03</t>
        </is>
      </c>
    </row>
    <row r="1009">
      <c r="A1009" s="3" t="inlineStr">
        <is>
          <t>세종특별자치시 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세종산업단지의  호이스트 증축 가능한 대형공장,청주IC,서세종IC인근</t>
        </is>
      </c>
      <c r="Q1009" s="6">
        <f>HYPERLINK("https://fin.land.naver.com/articles/2647861792", "매물Link")</f>
        <v/>
      </c>
      <c r="R1009" s="6">
        <f>HYPERLINK("https://map.naver.com/p/search/세종특별자치시 연서면 부동리 148", "지도Link")</f>
        <v/>
      </c>
      <c r="S1009" s="6">
        <f>HYPERLINK("http://www.eum.go.kr/web/ar/lu/luLandDet.jsp?pnu=3611036032101480000&amp;isNoScr=script&amp;mode=search", "토지이음")</f>
        <v/>
      </c>
      <c r="T1009" s="3" t="inlineStr">
        <is>
          <t>(주)미르</t>
        </is>
      </c>
      <c r="U1009" s="3" t="n">
        <v>3</v>
      </c>
      <c r="V1009" s="3" t="inlineStr">
        <is>
          <t>1동</t>
        </is>
      </c>
      <c r="W1009" s="4" t="n">
        <v>10430</v>
      </c>
      <c r="X1009" s="3" t="inlineStr">
        <is>
          <t>일반철골구조</t>
        </is>
      </c>
      <c r="Y1009" s="3" t="inlineStr">
        <is>
          <t>공장</t>
        </is>
      </c>
      <c r="Z1009" s="3" t="inlineStr">
        <is>
          <t>17.10m</t>
        </is>
      </c>
      <c r="AA1009" s="3" t="inlineStr">
        <is>
          <t>1993-12-29</t>
        </is>
      </c>
    </row>
    <row r="1010">
      <c r="A1010" s="3" t="inlineStr">
        <is>
          <t>세종특별자치시 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HYPERLINK("https://map.naver.com/p/search/세종특별자치시 연서면 부동리 148", "지도Link")</f>
        <v/>
      </c>
      <c r="S1010" s="6">
        <f>HYPERLINK("http://www.eum.go.kr/web/ar/lu/luLandDet.jsp?pnu=3611036032101480000&amp;isNoScr=script&amp;mode=search", "토지이음")</f>
        <v/>
      </c>
      <c r="T1010" s="3" t="inlineStr">
        <is>
          <t>더원</t>
        </is>
      </c>
      <c r="U1010" s="3" t="n">
        <v>1</v>
      </c>
      <c r="V1010" s="3" t="inlineStr">
        <is>
          <t>1동</t>
        </is>
      </c>
      <c r="W1010" s="4" t="n">
        <v>10430</v>
      </c>
      <c r="X1010" s="3" t="inlineStr">
        <is>
          <t>일반철골구조</t>
        </is>
      </c>
      <c r="Y1010" s="3" t="inlineStr">
        <is>
          <t>공장</t>
        </is>
      </c>
      <c r="Z1010" s="3" t="inlineStr">
        <is>
          <t>17.10m</t>
        </is>
      </c>
      <c r="AA1010" s="3" t="inlineStr">
        <is>
          <t>1993-12-29</t>
        </is>
      </c>
    </row>
    <row r="1011">
      <c r="A1011" s="3" t="inlineStr">
        <is>
          <t>세종특별자치시 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7동구조로 된 대형공장 컨디션 최상 고전력 다양한 유틸리티</t>
        </is>
      </c>
      <c r="Q1011" s="6">
        <f>HYPERLINK("https://fin.land.naver.com/articles/2645789196", "매물Link")</f>
        <v/>
      </c>
      <c r="R1011" s="6">
        <f>HYPERLINK("https://map.naver.com/p/search/세종특별자치시 연서면 부동리 148", "지도Link")</f>
        <v/>
      </c>
      <c r="S1011" s="6">
        <f>HYPERLINK("http://www.eum.go.kr/web/ar/lu/luLandDet.jsp?pnu=3611036032101480000&amp;isNoScr=script&amp;mode=search", "토지이음")</f>
        <v/>
      </c>
      <c r="T1011" s="3" t="inlineStr">
        <is>
          <t>공장플러스</t>
        </is>
      </c>
      <c r="U1011" s="3" t="n">
        <v>1</v>
      </c>
      <c r="V1011" s="3" t="inlineStr">
        <is>
          <t>1동</t>
        </is>
      </c>
      <c r="W1011" s="4" t="n">
        <v>10430</v>
      </c>
      <c r="X1011" s="3" t="inlineStr">
        <is>
          <t>일반철골구조</t>
        </is>
      </c>
      <c r="Y1011" s="3" t="inlineStr">
        <is>
          <t>공장</t>
        </is>
      </c>
      <c r="Z1011" s="3" t="inlineStr">
        <is>
          <t>17.10m</t>
        </is>
      </c>
      <c r="AA1011" s="3" t="inlineStr">
        <is>
          <t>1993-12-29</t>
        </is>
      </c>
    </row>
    <row r="1012">
      <c r="A1012" s="3" t="inlineStr">
        <is>
          <t>세종특별자치시 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사진有 공장 매매</t>
        </is>
      </c>
      <c r="Q1012" s="6">
        <f>HYPERLINK("https://fin.land.naver.com/articles/2649602344", "매물Link")</f>
        <v/>
      </c>
      <c r="R1012" s="6">
        <f>HYPERLINK("https://map.naver.com/p/search/세종특별자치시 연서면 부동리 148", "지도Link")</f>
        <v/>
      </c>
      <c r="S1012" s="6">
        <f>HYPERLINK("http://www.eum.go.kr/web/ar/lu/luLandDet.jsp?pnu=3611036032101480000&amp;isNoScr=script&amp;mode=search", "토지이음")</f>
        <v/>
      </c>
      <c r="T1012" s="3" t="inlineStr">
        <is>
          <t>월드</t>
        </is>
      </c>
      <c r="U1012" s="3" t="n">
        <v>2</v>
      </c>
      <c r="V1012" s="3" t="inlineStr">
        <is>
          <t>1동</t>
        </is>
      </c>
      <c r="W1012" s="4" t="n">
        <v>10430</v>
      </c>
      <c r="X1012" s="3" t="inlineStr">
        <is>
          <t>일반철골구조</t>
        </is>
      </c>
      <c r="Y1012" s="3" t="inlineStr">
        <is>
          <t>공장</t>
        </is>
      </c>
      <c r="Z1012" s="3" t="inlineStr">
        <is>
          <t>17.10m</t>
        </is>
      </c>
      <c r="AA1012" s="3" t="inlineStr">
        <is>
          <t>1993-12-29</t>
        </is>
      </c>
    </row>
    <row r="1013">
      <c r="A1013" s="3" t="inlineStr">
        <is>
          <t>세종특별자치시 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조치원 일반산업단지내 위치 대형공장 23년 리모데링 완비 상세설명참조</t>
        </is>
      </c>
      <c r="Q1013" s="6">
        <f>HYPERLINK("https://fin.land.naver.com/articles/2647124215", "매물Link")</f>
        <v/>
      </c>
      <c r="R1013" s="6">
        <f>HYPERLINK("https://map.naver.com/p/search/세종특별자치시 연서면 부동리 148", "지도Link")</f>
        <v/>
      </c>
      <c r="S1013" s="6">
        <f>HYPERLINK("http://www.eum.go.kr/web/ar/lu/luLandDet.jsp?pnu=3611036032101480000&amp;isNoScr=script&amp;mode=search", "토지이음")</f>
        <v/>
      </c>
      <c r="T1013" s="3" t="inlineStr">
        <is>
          <t>자이원</t>
        </is>
      </c>
      <c r="U1013" s="3" t="n">
        <v>1</v>
      </c>
      <c r="V1013" s="3" t="inlineStr">
        <is>
          <t>1동</t>
        </is>
      </c>
      <c r="W1013" s="4" t="n">
        <v>10430</v>
      </c>
      <c r="X1013" s="3" t="inlineStr">
        <is>
          <t>일반철골구조</t>
        </is>
      </c>
      <c r="Y1013" s="3" t="inlineStr">
        <is>
          <t>공장</t>
        </is>
      </c>
      <c r="Z1013" s="3" t="inlineStr">
        <is>
          <t>17.10m</t>
        </is>
      </c>
      <c r="AA1013" s="3" t="inlineStr">
        <is>
          <t>1993-12-29</t>
        </is>
      </c>
    </row>
    <row r="1014">
      <c r="A1014" s="3" t="inlineStr">
        <is>
          <t>세종특별자치시 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조치원 일반산업단지 대형공장매매, 최근 리모델링으로 시설 굿</t>
        </is>
      </c>
      <c r="Q1014" s="6">
        <f>HYPERLINK("https://fin.land.naver.com/articles/2648903978", "매물Link")</f>
        <v/>
      </c>
      <c r="R1014" s="6">
        <f>HYPERLINK("https://map.naver.com/p/search/세종특별자치시 연서면 부동리 148", "지도Link")</f>
        <v/>
      </c>
      <c r="S1014" s="6">
        <f>HYPERLINK("http://www.eum.go.kr/web/ar/lu/luLandDet.jsp?pnu=3611036032101480000&amp;isNoScr=script&amp;mode=search", "토지이음")</f>
        <v/>
      </c>
      <c r="T1014" s="3" t="inlineStr">
        <is>
          <t>명진</t>
        </is>
      </c>
      <c r="U1014" s="3" t="n">
        <v>1</v>
      </c>
      <c r="V1014" s="3" t="inlineStr">
        <is>
          <t>1동</t>
        </is>
      </c>
      <c r="W1014" s="4" t="n">
        <v>10430</v>
      </c>
      <c r="X1014" s="3" t="inlineStr">
        <is>
          <t>일반철골구조</t>
        </is>
      </c>
      <c r="Y1014" s="3" t="inlineStr">
        <is>
          <t>공장</t>
        </is>
      </c>
      <c r="Z1014" s="3" t="inlineStr">
        <is>
          <t>17.10m</t>
        </is>
      </c>
      <c r="AA1014" s="3" t="inlineStr">
        <is>
          <t>1993-12-29</t>
        </is>
      </c>
    </row>
    <row r="1015">
      <c r="A1015" s="3" t="inlineStr">
        <is>
          <t>세종특별자치시 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HYPERLINK("https://map.naver.com/p/search/세종특별자치시 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-m</t>
        </is>
      </c>
      <c r="AA1015" s="3" t="inlineStr">
        <is>
          <t>1988-05-17</t>
        </is>
      </c>
    </row>
    <row r="1016">
      <c r="A1016" s="3" t="inlineStr">
        <is>
          <t>세종특별자치시 연서면 성제리 405-1</t>
        </is>
      </c>
      <c r="B1016" s="3" t="inlineStr">
        <is>
          <t>계획관리지역</t>
        </is>
      </c>
      <c r="C1016" s="3" t="inlineStr">
        <is>
          <t>공장용지</t>
        </is>
      </c>
      <c r="D1016" s="3" t="inlineStr">
        <is>
          <t>공장</t>
        </is>
      </c>
      <c r="E1016" s="3" t="inlineStr">
        <is>
          <t>매매</t>
        </is>
      </c>
      <c r="F1016" s="4" t="n">
        <v>260000</v>
      </c>
      <c r="G1016" s="4" t="n">
        <v>0</v>
      </c>
      <c r="H1016" s="4" t="n">
        <v>1616</v>
      </c>
      <c r="I1016" s="4" t="n">
        <v>489</v>
      </c>
      <c r="J1016" s="5" t="n">
        <v>531.7</v>
      </c>
      <c r="K1016" s="4" t="n">
        <v>1254</v>
      </c>
      <c r="L1016" s="4" t="n">
        <v>379</v>
      </c>
      <c r="M1016" s="5" t="n">
        <v>686</v>
      </c>
      <c r="N1016" s="3" t="inlineStr">
        <is>
          <t>2</t>
        </is>
      </c>
      <c r="O1016" s="3" t="inlineStr">
        <is>
          <t>-</t>
        </is>
      </c>
      <c r="P1016" s="3" t="inlineStr">
        <is>
          <t>공장 매매</t>
        </is>
      </c>
      <c r="Q1016" s="6">
        <f>HYPERLINK("https://fin.land.naver.com/articles/2647433840", "매물Link")</f>
        <v/>
      </c>
      <c r="R1016" s="6">
        <f>HYPERLINK("https://map.naver.com/p/search/세종특별자치시 연서면 성제리 405-1", "지도Link")</f>
        <v/>
      </c>
      <c r="S1016" s="6">
        <f>HYPERLINK("http://www.eum.go.kr/web/ar/lu/luLandDet.jsp?pnu=3611036023104050001&amp;isNoScr=script&amp;mode=search", "토지이음")</f>
        <v/>
      </c>
      <c r="T1016" s="3" t="inlineStr">
        <is>
          <t>마니</t>
        </is>
      </c>
      <c r="U1016" s="3" t="n">
        <v>1</v>
      </c>
      <c r="V1016" s="3" t="inlineStr">
        <is>
          <t>주건물</t>
        </is>
      </c>
      <c r="W1016" s="4" t="n">
        <v>1254</v>
      </c>
      <c r="X1016" s="3" t="inlineStr">
        <is>
          <t>철근콘크리트구조</t>
        </is>
      </c>
      <c r="Y1016" s="3" t="inlineStr">
        <is>
          <t>공장</t>
        </is>
      </c>
      <c r="Z1016" s="3" t="inlineStr">
        <is>
          <t>-m</t>
        </is>
      </c>
      <c r="AA1016" s="3" t="inlineStr">
        <is>
          <t>1988-05-17</t>
        </is>
      </c>
    </row>
    <row r="1017">
      <c r="A1017" s="3" t="inlineStr">
        <is>
          <t>세종특별자치시 연서면 성제리 405-1</t>
        </is>
      </c>
      <c r="B1017" s="3" t="inlineStr">
        <is>
          <t>계획관리지역</t>
        </is>
      </c>
      <c r="C1017" s="3" t="inlineStr">
        <is>
          <t>공장용지</t>
        </is>
      </c>
      <c r="D1017" s="3" t="inlineStr">
        <is>
          <t>공장</t>
        </is>
      </c>
      <c r="E1017" s="3" t="inlineStr">
        <is>
          <t>매매</t>
        </is>
      </c>
      <c r="F1017" s="4" t="n">
        <v>310000</v>
      </c>
      <c r="G1017" s="4" t="n">
        <v>0</v>
      </c>
      <c r="H1017" s="4" t="n">
        <v>1857</v>
      </c>
      <c r="I1017" s="4" t="n">
        <v>562</v>
      </c>
      <c r="J1017" s="5" t="n">
        <v>551.6</v>
      </c>
      <c r="K1017" s="4" t="n">
        <v>1254</v>
      </c>
      <c r="L1017" s="4" t="n">
        <v>379</v>
      </c>
      <c r="M1017" s="5" t="n">
        <v>817.9</v>
      </c>
      <c r="N1017" s="3" t="inlineStr">
        <is>
          <t>2</t>
        </is>
      </c>
      <c r="O1017" s="3" t="inlineStr">
        <is>
          <t>-</t>
        </is>
      </c>
      <c r="P1017" s="3" t="inlineStr">
        <is>
          <t>월하천 뷰의 전망이 좋고 투자가치 탁월한 공장,창고 매매</t>
        </is>
      </c>
      <c r="Q1017" s="6">
        <f>HYPERLINK("https://fin.land.naver.com/articles/2645084397", "매물Link")</f>
        <v/>
      </c>
      <c r="R1017" s="6">
        <f>HYPERLINK("https://map.naver.com/p/search/세종특별자치시 연서면 성제리 405-1", "지도Link")</f>
        <v/>
      </c>
      <c r="S1017" s="6">
        <f>HYPERLINK("http://www.eum.go.kr/web/ar/lu/luLandDet.jsp?pnu=3611036023104050001&amp;isNoScr=script&amp;mode=search", "토지이음")</f>
        <v/>
      </c>
      <c r="T1017" s="3" t="inlineStr">
        <is>
          <t>비타민무소</t>
        </is>
      </c>
      <c r="U1017" s="3" t="n">
        <v>1</v>
      </c>
      <c r="V1017" s="3" t="inlineStr">
        <is>
          <t>주건물</t>
        </is>
      </c>
      <c r="W1017" s="4" t="n">
        <v>1254</v>
      </c>
      <c r="X1017" s="3" t="inlineStr">
        <is>
          <t>철근콘크리트구조</t>
        </is>
      </c>
      <c r="Y1017" s="3" t="inlineStr">
        <is>
          <t>공장</t>
        </is>
      </c>
      <c r="Z1017" s="3" t="inlineStr">
        <is>
          <t>-m</t>
        </is>
      </c>
      <c r="AA1017" s="3" t="inlineStr">
        <is>
          <t>1988-05-17</t>
        </is>
      </c>
    </row>
    <row r="1018">
      <c r="A1018" s="3" t="inlineStr">
        <is>
          <t>세종특별자치시 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HYPERLINK("https://map.naver.com/p/search/세종특별자치시 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-m</t>
        </is>
      </c>
      <c r="AA1018" s="3" t="inlineStr">
        <is>
          <t>1988-05-17</t>
        </is>
      </c>
    </row>
    <row r="1019">
      <c r="A1019" s="3" t="inlineStr">
        <is>
          <t>세종특별자치시 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HYPERLINK("https://map.naver.com/p/search/세종특별자치시 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-m</t>
        </is>
      </c>
      <c r="AA1019" s="3" t="inlineStr">
        <is>
          <t>1988-05-17</t>
        </is>
      </c>
    </row>
    <row r="1020">
      <c r="A1020" s="3" t="inlineStr">
        <is>
          <t>세종특별자치시 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HYPERLINK("https://map.naver.com/p/search/세종특별자치시 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9.70m</t>
        </is>
      </c>
      <c r="AA1020" s="3" t="inlineStr">
        <is>
          <t>2014-01-27</t>
        </is>
      </c>
    </row>
    <row r="1021">
      <c r="A1021" s="3" t="inlineStr">
        <is>
          <t>세종특별자치시 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HYPERLINK("https://map.naver.com/p/search/세종특별자치시 연서면 신대리 459-3", "지도Link")</f>
        <v/>
      </c>
      <c r="S1021" s="6">
        <f>HYPERLINK("http://www.eum.go.kr/web/ar/lu/luLandDet.jsp?pnu=3611036029104590003&amp;isNoScr=script&amp;mode=search", "토지이음")</f>
        <v/>
      </c>
      <c r="T1021" s="3" t="inlineStr">
        <is>
          <t>뉴스카이</t>
        </is>
      </c>
      <c r="U1021" s="3" t="n">
        <v>1</v>
      </c>
      <c r="V1021" s="3" t="inlineStr">
        <is>
          <t>1동</t>
        </is>
      </c>
      <c r="W1021" s="4" t="n">
        <v>2697</v>
      </c>
      <c r="X1021" s="3" t="inlineStr">
        <is>
          <t>일반철골구조</t>
        </is>
      </c>
      <c r="Y1021" s="3" t="inlineStr">
        <is>
          <t>위험물저장및처리시설</t>
        </is>
      </c>
      <c r="Z1021" s="3" t="inlineStr">
        <is>
          <t>6.85m</t>
        </is>
      </c>
      <c r="AA1021" s="3" t="inlineStr">
        <is>
          <t>2002-12-09</t>
        </is>
      </c>
    </row>
    <row r="1022">
      <c r="A1022" s="3" t="inlineStr">
        <is>
          <t>세종특별자치시 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HYPERLINK("https://map.naver.com/p/search/세종특별자치시 연서면 신대리 459-3", "지도Link")</f>
        <v/>
      </c>
      <c r="S1022" s="6">
        <f>HYPERLINK("http://www.eum.go.kr/web/ar/lu/luLandDet.jsp?pnu=3611036029104590003&amp;isNoScr=script&amp;mode=search", "토지이음")</f>
        <v/>
      </c>
      <c r="T1022" s="3" t="inlineStr">
        <is>
          <t>청담</t>
        </is>
      </c>
      <c r="U1022" s="3" t="n">
        <v>1</v>
      </c>
      <c r="V1022" s="3" t="inlineStr">
        <is>
          <t>1동</t>
        </is>
      </c>
      <c r="W1022" s="4" t="n">
        <v>2697</v>
      </c>
      <c r="X1022" s="3" t="inlineStr">
        <is>
          <t>일반철골구조</t>
        </is>
      </c>
      <c r="Y1022" s="3" t="inlineStr">
        <is>
          <t>위험물저장및처리시설</t>
        </is>
      </c>
      <c r="Z1022" s="3" t="inlineStr">
        <is>
          <t>6.85m</t>
        </is>
      </c>
      <c r="AA1022" s="3" t="inlineStr">
        <is>
          <t>2002-12-09</t>
        </is>
      </c>
    </row>
    <row r="1023">
      <c r="A1023" s="3" t="inlineStr">
        <is>
          <t>세종특별자치시 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HYPERLINK("https://map.naver.com/p/search/세종특별자치시 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5.40m</t>
        </is>
      </c>
      <c r="AA1023" s="3" t="inlineStr">
        <is>
          <t>2003-02-25</t>
        </is>
      </c>
    </row>
    <row r="1024">
      <c r="A1024" s="3" t="inlineStr">
        <is>
          <t>세종특별자치시 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HYPERLINK("https://map.naver.com/p/search/세종특별자치시 연서면 쌍류리 332-3", "지도Link")</f>
        <v/>
      </c>
      <c r="S1024" s="6">
        <f>HYPERLINK("http://www.eum.go.kr/web/ar/lu/luLandDet.jsp?pnu=3611036026103320003&amp;isNoScr=script&amp;mode=search", "토지이음")</f>
        <v/>
      </c>
      <c r="T1024" s="3" t="inlineStr">
        <is>
          <t>세종대박</t>
        </is>
      </c>
      <c r="U1024" s="3" t="n">
        <v>1</v>
      </c>
      <c r="V1024" s="3" t="inlineStr">
        <is>
          <t>2동</t>
        </is>
      </c>
      <c r="W1024" s="4" t="n">
        <v>199</v>
      </c>
      <c r="X1024" s="3" t="inlineStr">
        <is>
          <t>경량철골구조</t>
        </is>
      </c>
      <c r="Y1024" s="3" t="inlineStr">
        <is>
          <t>제1종근린생활시설</t>
        </is>
      </c>
      <c r="Z1024" s="3" t="inlineStr">
        <is>
          <t>4.70m</t>
        </is>
      </c>
      <c r="AA1024" s="3" t="inlineStr">
        <is>
          <t>2011-12-09</t>
        </is>
      </c>
    </row>
    <row r="1025">
      <c r="A1025" s="3" t="inlineStr">
        <is>
          <t>세종특별자치시 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HYPERLINK("https://map.naver.com/p/search/세종특별자치시 연서면 와촌리 1119", "지도Link")</f>
        <v/>
      </c>
      <c r="S1025" s="6">
        <f>HYPERLINK("http://www.eum.go.kr/web/ar/lu/luLandDet.jsp?pnu=3611036031111190000&amp;isNoScr=script&amp;mode=search", "토지이음")</f>
        <v/>
      </c>
      <c r="T1025" s="3" t="inlineStr">
        <is>
          <t>미스터홈즈강남지사</t>
        </is>
      </c>
      <c r="U1025" s="3" t="n">
        <v>1</v>
      </c>
      <c r="V1025" s="3" t="inlineStr">
        <is>
          <t>A동</t>
        </is>
      </c>
      <c r="W1025" s="4" t="n">
        <v>2654</v>
      </c>
      <c r="X1025" s="3" t="inlineStr">
        <is>
          <t>일반철골구조</t>
        </is>
      </c>
      <c r="Y1025" s="3" t="inlineStr">
        <is>
          <t>공장</t>
        </is>
      </c>
      <c r="Z1025" s="3" t="inlineStr">
        <is>
          <t>8.90m</t>
        </is>
      </c>
      <c r="AA1025" s="3" t="inlineStr">
        <is>
          <t>1996-12-31</t>
        </is>
      </c>
    </row>
    <row r="1026">
      <c r="A1026" s="3" t="inlineStr">
        <is>
          <t>세종특별자치시 연서면 와촌리 1119-2</t>
        </is>
      </c>
      <c r="B1026" s="3" t="inlineStr">
        <is>
          <t>계획관리지역</t>
        </is>
      </c>
      <c r="C1026" s="3" t="inlineStr">
        <is>
          <t>공장용지</t>
        </is>
      </c>
      <c r="D1026" s="3" t="inlineStr">
        <is>
          <t>공장</t>
        </is>
      </c>
      <c r="E1026" s="3" t="inlineStr">
        <is>
          <t>매매</t>
        </is>
      </c>
      <c r="F1026" s="4" t="n">
        <v>350000</v>
      </c>
      <c r="G1026" s="4" t="n">
        <v>0</v>
      </c>
      <c r="H1026" s="4" t="n">
        <v>3250</v>
      </c>
      <c r="I1026" s="4" t="n">
        <v>983</v>
      </c>
      <c r="J1026" s="5" t="n">
        <v>356.1</v>
      </c>
      <c r="K1026" s="4" t="n">
        <v>1552</v>
      </c>
      <c r="L1026" s="4" t="n">
        <v>469</v>
      </c>
      <c r="M1026" s="5" t="n">
        <v>746.3</v>
      </c>
      <c r="N1026" s="3" t="inlineStr">
        <is>
          <t>2</t>
        </is>
      </c>
      <c r="O1026" s="3" t="inlineStr">
        <is>
          <t>-</t>
        </is>
      </c>
      <c r="P1026" s="3" t="inlineStr">
        <is>
          <t>사진有 공장 매매</t>
        </is>
      </c>
      <c r="Q1026" s="6">
        <f>HYPERLINK("https://fin.land.naver.com/articles/2649602994", "매물Link")</f>
        <v/>
      </c>
      <c r="R1026" s="6">
        <f>HYPERLINK("https://map.naver.com/p/search/세종특별자치시 연서면 와촌리 1119-2", "지도Link")</f>
        <v/>
      </c>
      <c r="S1026" s="6">
        <f>HYPERLINK("http://www.eum.go.kr/web/ar/lu/luLandDet.jsp?pnu=3611036031111190002&amp;isNoScr=script&amp;mode=search", "토지이음")</f>
        <v/>
      </c>
      <c r="T1026" s="3" t="inlineStr">
        <is>
          <t>월드</t>
        </is>
      </c>
      <c r="U1026" s="3" t="n">
        <v>1</v>
      </c>
      <c r="V1026" s="3" t="inlineStr">
        <is>
          <t>C동</t>
        </is>
      </c>
      <c r="W1026" s="4" t="n">
        <v>1552</v>
      </c>
      <c r="X1026" s="3" t="inlineStr">
        <is>
          <t>일반철골구조</t>
        </is>
      </c>
      <c r="Y1026" s="3" t="inlineStr">
        <is>
          <t>공장</t>
        </is>
      </c>
      <c r="Z1026" s="3" t="inlineStr">
        <is>
          <t>-m</t>
        </is>
      </c>
      <c r="AA1026" s="3" t="inlineStr">
        <is>
          <t>1996-12-31</t>
        </is>
      </c>
    </row>
    <row r="1027">
      <c r="A1027" s="3" t="inlineStr">
        <is>
          <t>세종특별자치시 연서면 와촌리 1119-2</t>
        </is>
      </c>
      <c r="B1027" s="3" t="inlineStr">
        <is>
          <t>계획관리지역</t>
        </is>
      </c>
      <c r="C1027" s="3" t="inlineStr">
        <is>
          <t>공장용지</t>
        </is>
      </c>
      <c r="D1027" s="3" t="inlineStr">
        <is>
          <t>공장</t>
        </is>
      </c>
      <c r="E1027" s="3" t="inlineStr">
        <is>
          <t>월세</t>
        </is>
      </c>
      <c r="F1027" s="4" t="n">
        <v>5000</v>
      </c>
      <c r="G1027" s="4" t="n">
        <v>600</v>
      </c>
      <c r="H1027" s="4" t="n">
        <v>3250</v>
      </c>
      <c r="I1027" s="4" t="n">
        <v>983</v>
      </c>
      <c r="J1027" s="5" t="n">
        <v>0.6</v>
      </c>
      <c r="K1027" s="4" t="n">
        <v>1552</v>
      </c>
      <c r="L1027" s="4" t="n">
        <v>469</v>
      </c>
      <c r="M1027" s="5" t="n">
        <v>1.3</v>
      </c>
      <c r="N1027" s="3" t="inlineStr">
        <is>
          <t>2</t>
        </is>
      </c>
      <c r="O1027" s="3" t="inlineStr">
        <is>
          <t>-</t>
        </is>
      </c>
      <c r="P1027" s="3" t="inlineStr">
        <is>
          <t>세종시 저렴한 공장 임대</t>
        </is>
      </c>
      <c r="Q1027" s="6">
        <f>HYPERLINK("https://fin.land.naver.com/articles/2645610097", "매물Link")</f>
        <v/>
      </c>
      <c r="R1027" s="6">
        <f>HYPERLINK("https://map.naver.com/p/search/세종특별자치시 연서면 와촌리 1119-2", "지도Link")</f>
        <v/>
      </c>
      <c r="S1027" s="6">
        <f>HYPERLINK("http://www.eum.go.kr/web/ar/lu/luLandDet.jsp?pnu=3611036031111190002&amp;isNoScr=script&amp;mode=search", "토지이음")</f>
        <v/>
      </c>
      <c r="T1027" s="3" t="inlineStr">
        <is>
          <t>북세종</t>
        </is>
      </c>
      <c r="U1027" s="3" t="n">
        <v>1</v>
      </c>
      <c r="V1027" s="3" t="inlineStr">
        <is>
          <t>C동</t>
        </is>
      </c>
      <c r="W1027" s="4" t="n">
        <v>1552</v>
      </c>
      <c r="X1027" s="3" t="inlineStr">
        <is>
          <t>일반철골구조</t>
        </is>
      </c>
      <c r="Y1027" s="3" t="inlineStr">
        <is>
          <t>공장</t>
        </is>
      </c>
      <c r="Z1027" s="3" t="inlineStr">
        <is>
          <t>-m</t>
        </is>
      </c>
      <c r="AA1027" s="3" t="inlineStr">
        <is>
          <t>1996-12-31</t>
        </is>
      </c>
    </row>
    <row r="1028">
      <c r="A1028" s="3" t="inlineStr">
        <is>
          <t>세종특별자치시 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HYPERLINK("https://map.naver.com/p/search/세종특별자치시 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-m</t>
        </is>
      </c>
      <c r="AA1028" s="3" t="inlineStr">
        <is>
          <t>1996-12-31</t>
        </is>
      </c>
    </row>
    <row r="1029">
      <c r="A1029" s="3" t="inlineStr">
        <is>
          <t>세종특별자치시 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HYPERLINK("https://map.naver.com/p/search/세종특별자치시 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6.15m</t>
        </is>
      </c>
      <c r="AA1029" s="3" t="inlineStr">
        <is>
          <t>1997-05-09</t>
        </is>
      </c>
    </row>
    <row r="1030">
      <c r="A1030" s="3" t="inlineStr">
        <is>
          <t>세종특별자치시 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HYPERLINK("https://map.naver.com/p/search/세종특별자치시 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6.15m</t>
        </is>
      </c>
      <c r="AA1030" s="3" t="inlineStr">
        <is>
          <t>1997-05-09</t>
        </is>
      </c>
    </row>
    <row r="1031">
      <c r="A1031" s="3" t="inlineStr">
        <is>
          <t>세종특별자치시 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HYPERLINK("https://map.naver.com/p/search/세종특별자치시 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6.15m</t>
        </is>
      </c>
      <c r="AA1031" s="3" t="inlineStr">
        <is>
          <t>1997-05-09</t>
        </is>
      </c>
    </row>
    <row r="1032">
      <c r="A1032" s="3" t="inlineStr">
        <is>
          <t>세종특별자치시 연서면 월하리 902</t>
        </is>
      </c>
      <c r="B1032" s="3" t="inlineStr">
        <is>
          <t>자연녹지지역</t>
        </is>
      </c>
      <c r="C1032" s="3" t="inlineStr">
        <is>
          <t>대</t>
        </is>
      </c>
      <c r="D1032" s="3" t="inlineStr">
        <is>
          <t>창고</t>
        </is>
      </c>
      <c r="E1032" s="3" t="inlineStr">
        <is>
          <t>월세</t>
        </is>
      </c>
      <c r="F1032" s="4" t="n">
        <v>12000</v>
      </c>
      <c r="G1032" s="4" t="n">
        <v>500</v>
      </c>
      <c r="H1032" s="4" t="n">
        <v>3224</v>
      </c>
      <c r="I1032" s="4" t="n">
        <v>975</v>
      </c>
      <c r="J1032" s="5" t="n">
        <v>0.5</v>
      </c>
      <c r="K1032" s="4" t="n">
        <v>594</v>
      </c>
      <c r="L1032" s="4" t="n">
        <v>180</v>
      </c>
      <c r="M1032" s="5" t="n">
        <v>2.8</v>
      </c>
      <c r="N1032" s="3" t="inlineStr">
        <is>
          <t>1</t>
        </is>
      </c>
      <c r="O1032" s="3" t="inlineStr">
        <is>
          <t>-</t>
        </is>
      </c>
      <c r="P1032" s="3" t="inlineStr">
        <is>
          <t>세종신도심, 조치원, 오송 접근성 좋은 2차선도로변 준신축 창고임대</t>
        </is>
      </c>
      <c r="Q1032" s="6">
        <f>HYPERLINK("https://fin.land.naver.com/articles/2646264277", "매물Link")</f>
        <v/>
      </c>
      <c r="R1032" s="6">
        <f>HYPERLINK("https://map.naver.com/p/search/세종특별자치시 연서면 월하리 902", "지도Link")</f>
        <v/>
      </c>
      <c r="S1032" s="6">
        <f>HYPERLINK("http://www.eum.go.kr/web/ar/lu/luLandDet.jsp?pnu=3611036021109020000&amp;isNoScr=script&amp;mode=search", "토지이음")</f>
        <v/>
      </c>
      <c r="T1032" s="3" t="inlineStr">
        <is>
          <t>청담</t>
        </is>
      </c>
      <c r="U1032" s="3" t="n">
        <v>1</v>
      </c>
      <c r="V1032" s="3" t="inlineStr">
        <is>
          <t>주건축물제2동</t>
        </is>
      </c>
      <c r="W1032" s="4" t="n">
        <v>594</v>
      </c>
      <c r="X1032" s="3" t="inlineStr">
        <is>
          <t>일반철골구조</t>
        </is>
      </c>
      <c r="Y1032" s="3" t="inlineStr">
        <is>
          <t>제2종근린생활시설</t>
        </is>
      </c>
      <c r="Z1032" s="3" t="inlineStr">
        <is>
          <t>7.00m</t>
        </is>
      </c>
      <c r="AA1032" s="3" t="inlineStr">
        <is>
          <t>2022-04-28</t>
        </is>
      </c>
    </row>
    <row r="1033">
      <c r="A1033" s="3" t="inlineStr">
        <is>
          <t>세종특별자치시 연서면 월하리 902</t>
        </is>
      </c>
      <c r="B1033" s="3" t="inlineStr">
        <is>
          <t>자연녹지지역</t>
        </is>
      </c>
      <c r="C1033" s="3" t="inlineStr">
        <is>
          <t>대</t>
        </is>
      </c>
      <c r="D1033" s="3" t="inlineStr">
        <is>
          <t>창고</t>
        </is>
      </c>
      <c r="E1033" s="3" t="inlineStr">
        <is>
          <t>월세</t>
        </is>
      </c>
      <c r="F1033" s="4" t="n">
        <v>4000</v>
      </c>
      <c r="G1033" s="4" t="n">
        <v>180</v>
      </c>
      <c r="H1033" s="4" t="n">
        <v>3244</v>
      </c>
      <c r="I1033" s="4" t="n">
        <v>981</v>
      </c>
      <c r="J1033" s="5" t="n">
        <v>0.2</v>
      </c>
      <c r="K1033" s="4" t="n">
        <v>53</v>
      </c>
      <c r="L1033" s="4" t="n">
        <v>16</v>
      </c>
      <c r="M1033" s="5" t="n">
        <v>11.2</v>
      </c>
      <c r="N1033" s="3" t="inlineStr">
        <is>
          <t>1</t>
        </is>
      </c>
      <c r="O1033" s="3" t="inlineStr">
        <is>
          <t>-</t>
        </is>
      </c>
      <c r="P1033" s="3" t="inlineStr">
        <is>
          <t>즉시입주 신축 2종근생  활용도 높은 건물임대</t>
        </is>
      </c>
      <c r="Q1033" s="6">
        <f>HYPERLINK("https://fin.land.naver.com/articles/2647898557", "매물Link")</f>
        <v/>
      </c>
      <c r="R1033" s="6">
        <f>HYPERLINK("https://map.naver.com/p/search/세종특별자치시 연서면 월하리 902", "지도Link")</f>
        <v/>
      </c>
      <c r="S1033" s="6">
        <f>HYPERLINK("http://www.eum.go.kr/web/ar/lu/luLandDet.jsp?pnu=3611036021109020000&amp;isNoScr=script&amp;mode=search", "토지이음")</f>
        <v/>
      </c>
      <c r="T1033" s="3" t="inlineStr">
        <is>
          <t>THE행복</t>
        </is>
      </c>
      <c r="U1033" s="3" t="n">
        <v>1</v>
      </c>
      <c r="V1033" s="3" t="inlineStr">
        <is>
          <t>주건축물제1동</t>
        </is>
      </c>
      <c r="W1033" s="4" t="n">
        <v>53</v>
      </c>
      <c r="X1033" s="3" t="inlineStr">
        <is>
          <t>일반철골구조</t>
        </is>
      </c>
      <c r="Y1033" s="3" t="inlineStr">
        <is>
          <t>단독주택</t>
        </is>
      </c>
      <c r="Z1033" s="3" t="inlineStr">
        <is>
          <t>4.57m</t>
        </is>
      </c>
      <c r="AA1033" s="3" t="inlineStr">
        <is>
          <t>2022-04-28</t>
        </is>
      </c>
    </row>
    <row r="1034">
      <c r="A1034" s="3" t="inlineStr">
        <is>
          <t>세종특별자치시 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HYPERLINK("https://map.naver.com/p/search/세종특별자치시 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8.94m</t>
        </is>
      </c>
      <c r="AA1034" s="3" t="inlineStr">
        <is>
          <t>2003-05-23</t>
        </is>
      </c>
    </row>
    <row r="1035">
      <c r="A1035" s="3" t="inlineStr">
        <is>
          <t>세종특별자치시 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HYPERLINK("https://map.naver.com/p/search/세종특별자치시 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세종특별자치시 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HYPERLINK("https://map.naver.com/p/search/세종특별자치시 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7.60m</t>
        </is>
      </c>
      <c r="AA1036" s="3" t="inlineStr">
        <is>
          <t>2013-04-01</t>
        </is>
      </c>
    </row>
    <row r="1037">
      <c r="A1037" s="3" t="inlineStr">
        <is>
          <t>세종특별자치시 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HYPERLINK("https://map.naver.com/p/search/세종특별자치시 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7.60m</t>
        </is>
      </c>
      <c r="AA1037" s="3" t="inlineStr">
        <is>
          <t>2013-04-01</t>
        </is>
      </c>
    </row>
    <row r="1038">
      <c r="A1038" s="3" t="inlineStr">
        <is>
          <t>세종특별자치시 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HYPERLINK("https://map.naver.com/p/search/세종특별자치시 장군면 송문리 249", "지도Link")</f>
        <v/>
      </c>
      <c r="S1038" s="6">
        <f>HYPERLINK("http://www.eum.go.kr/web/ar/lu/luLandDet.jsp?pnu=3611035029102490000&amp;isNoScr=script&amp;mode=search", "토지이음")</f>
        <v/>
      </c>
      <c r="T1038" s="3" t="inlineStr">
        <is>
          <t>명진</t>
        </is>
      </c>
      <c r="U1038" s="3" t="n">
        <v>1</v>
      </c>
      <c r="V1038" s="3" t="inlineStr">
        <is>
          <t>2동</t>
        </is>
      </c>
      <c r="W1038" s="4" t="n">
        <v>648</v>
      </c>
      <c r="X1038" s="3" t="inlineStr">
        <is>
          <t>일반철골구조</t>
        </is>
      </c>
      <c r="Y1038" s="3" t="inlineStr">
        <is>
          <t>공장</t>
        </is>
      </c>
      <c r="Z1038" s="3" t="inlineStr">
        <is>
          <t>7.94m</t>
        </is>
      </c>
      <c r="AA1038" s="3" t="inlineStr">
        <is>
          <t>2014-12-10</t>
        </is>
      </c>
    </row>
    <row r="1039">
      <c r="A1039" s="3" t="inlineStr">
        <is>
          <t>세종특별자치시 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HYPERLINK("https://map.naver.com/p/search/세종특별자치시 장군면 송문리 249", "지도Link")</f>
        <v/>
      </c>
      <c r="S1039" s="6">
        <f>HYPERLINK("http://www.eum.go.kr/web/ar/lu/luLandDet.jsp?pnu=3611035029102490000&amp;isNoScr=script&amp;mode=search", "토지이음")</f>
        <v/>
      </c>
      <c r="T1039" s="3" t="inlineStr">
        <is>
          <t>세종지평</t>
        </is>
      </c>
      <c r="U1039" s="3" t="n">
        <v>2</v>
      </c>
      <c r="V1039" s="3" t="inlineStr">
        <is>
          <t>2동</t>
        </is>
      </c>
      <c r="W1039" s="4" t="n">
        <v>648</v>
      </c>
      <c r="X1039" s="3" t="inlineStr">
        <is>
          <t>일반철골구조</t>
        </is>
      </c>
      <c r="Y1039" s="3" t="inlineStr">
        <is>
          <t>공장</t>
        </is>
      </c>
      <c r="Z1039" s="3" t="inlineStr">
        <is>
          <t>7.94m</t>
        </is>
      </c>
      <c r="AA1039" s="3" t="inlineStr">
        <is>
          <t>2014-12-10</t>
        </is>
      </c>
    </row>
    <row r="1040">
      <c r="A1040" s="3" t="inlineStr">
        <is>
          <t>세종특별자치시 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HYPERLINK("https://map.naver.com/p/search/세종특별자치시 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10.10m</t>
        </is>
      </c>
      <c r="AA1040" s="3" t="inlineStr">
        <is>
          <t>2001-05-16</t>
        </is>
      </c>
    </row>
    <row r="1041">
      <c r="A1041" s="3" t="inlineStr">
        <is>
          <t>세종특별자치시 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HYPERLINK("https://map.naver.com/p/search/세종특별자치시 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8.50m</t>
        </is>
      </c>
      <c r="AA1041" s="3" t="inlineStr">
        <is>
          <t>2007-11-21</t>
        </is>
      </c>
    </row>
    <row r="1042">
      <c r="A1042" s="3" t="inlineStr">
        <is>
          <t>세종특별자치시 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HYPERLINK("https://map.naver.com/p/search/세종특별자치시 장군면 평기리 173", "지도Link")</f>
        <v/>
      </c>
      <c r="S1042" s="6">
        <f>HYPERLINK("http://www.eum.go.kr/web/ar/lu/luLandDet.jsp?pnu=3611035022101730000&amp;isNoScr=script&amp;mode=search", "토지이음")</f>
        <v/>
      </c>
      <c r="T1042" s="3" t="inlineStr">
        <is>
          <t>KS</t>
        </is>
      </c>
      <c r="U1042" s="3" t="n">
        <v>1</v>
      </c>
      <c r="V1042" s="3" t="inlineStr">
        <is>
          <t>제2동</t>
        </is>
      </c>
      <c r="W1042" s="4" t="n">
        <v>50</v>
      </c>
      <c r="X1042" s="3" t="inlineStr">
        <is>
          <t>일반철골구조</t>
        </is>
      </c>
      <c r="Y1042" s="3" t="inlineStr">
        <is>
          <t>제1종근린생활시설</t>
        </is>
      </c>
      <c r="Z1042" s="3" t="inlineStr">
        <is>
          <t>8.50m</t>
        </is>
      </c>
      <c r="AA1042" s="3" t="inlineStr">
        <is>
          <t>2019-12-18</t>
        </is>
      </c>
    </row>
    <row r="1043">
      <c r="A1043" s="3" t="inlineStr">
        <is>
          <t>세종특별자치시 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HYPERLINK("https://map.naver.com/p/search/세종특별자치시 장군면 평기리 173", "지도Link")</f>
        <v/>
      </c>
      <c r="S1043" s="6">
        <f>HYPERLINK("http://www.eum.go.kr/web/ar/lu/luLandDet.jsp?pnu=3611035022101730000&amp;isNoScr=script&amp;mode=search", "토지이음")</f>
        <v/>
      </c>
      <c r="T1043" s="3" t="inlineStr">
        <is>
          <t>세종공주원탑</t>
        </is>
      </c>
      <c r="U1043" s="3" t="n">
        <v>1</v>
      </c>
      <c r="V1043" s="3" t="inlineStr">
        <is>
          <t>제2동</t>
        </is>
      </c>
      <c r="W1043" s="4" t="n">
        <v>50</v>
      </c>
      <c r="X1043" s="3" t="inlineStr">
        <is>
          <t>일반철골구조</t>
        </is>
      </c>
      <c r="Y1043" s="3" t="inlineStr">
        <is>
          <t>제1종근린생활시설</t>
        </is>
      </c>
      <c r="Z1043" s="3" t="inlineStr">
        <is>
          <t>8.50m</t>
        </is>
      </c>
      <c r="AA1043" s="3" t="inlineStr">
        <is>
          <t>2019-12-18</t>
        </is>
      </c>
    </row>
    <row r="1044">
      <c r="A1044" s="3" t="inlineStr">
        <is>
          <t>세종특별자치시 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HYPERLINK("https://map.naver.com/p/search/세종특별자치시 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4.00m</t>
        </is>
      </c>
      <c r="AA1044" s="3" t="inlineStr">
        <is>
          <t>2018-05-15</t>
        </is>
      </c>
    </row>
    <row r="1045">
      <c r="A1045" s="3" t="inlineStr">
        <is>
          <t>세종특별자치시 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HYPERLINK("https://map.naver.com/p/search/세종특별자치시 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세종특별자치시 장군면 평기리 288-4</t>
        </is>
      </c>
      <c r="B1046" s="3" t="inlineStr">
        <is>
          <t>계획관리지역</t>
        </is>
      </c>
      <c r="C1046" s="3" t="inlineStr">
        <is>
          <t>창고용지</t>
        </is>
      </c>
      <c r="D1046" s="3" t="inlineStr">
        <is>
          <t>창고</t>
        </is>
      </c>
      <c r="E1046" s="3" t="inlineStr">
        <is>
          <t>월세</t>
        </is>
      </c>
      <c r="F1046" s="4" t="n">
        <v>2000</v>
      </c>
      <c r="G1046" s="4" t="n">
        <v>160</v>
      </c>
      <c r="H1046" s="4" t="n">
        <v>828</v>
      </c>
      <c r="I1046" s="4" t="n">
        <v>250</v>
      </c>
      <c r="J1046" s="5" t="n">
        <v>0.6</v>
      </c>
      <c r="K1046" s="4" t="n">
        <v>199</v>
      </c>
      <c r="L1046" s="4" t="n">
        <v>60</v>
      </c>
      <c r="M1046" s="5" t="n">
        <v>2.7</v>
      </c>
      <c r="N1046" s="3" t="inlineStr">
        <is>
          <t>1</t>
        </is>
      </c>
      <c r="O1046" s="3" t="inlineStr">
        <is>
          <t>-</t>
        </is>
      </c>
      <c r="P1046" s="3" t="inlineStr">
        <is>
          <t>2차선 도로와 연접 서세종IC 이용편리 사무실및 화장실 12월1일 입주</t>
        </is>
      </c>
      <c r="Q1046" s="6">
        <f>HYPERLINK("https://fin.land.naver.com/articles/2646986458", "매물Link")</f>
        <v/>
      </c>
      <c r="R1046" s="6">
        <f>HYPERLINK("https://map.naver.com/p/search/세종특별자치시 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주건축물제1동</t>
        </is>
      </c>
      <c r="W1046" s="4" t="n">
        <v>199</v>
      </c>
      <c r="X1046" s="3" t="inlineStr">
        <is>
          <t>일반철골구조</t>
        </is>
      </c>
      <c r="Y1046" s="3" t="inlineStr">
        <is>
          <t>창고시설</t>
        </is>
      </c>
      <c r="Z1046" s="3" t="inlineStr">
        <is>
          <t>7.80m</t>
        </is>
      </c>
      <c r="AA1046" s="3" t="inlineStr">
        <is>
          <t>2014-10-06</t>
        </is>
      </c>
    </row>
    <row r="1047">
      <c r="A1047" s="3" t="inlineStr">
        <is>
          <t>세종특별자치시 장군면 평기리 288-4</t>
        </is>
      </c>
      <c r="B1047" s="3" t="inlineStr">
        <is>
          <t>계획관리지역</t>
        </is>
      </c>
      <c r="C1047" s="3" t="inlineStr">
        <is>
          <t>창고용지</t>
        </is>
      </c>
      <c r="D1047" s="3" t="inlineStr">
        <is>
          <t>창고</t>
        </is>
      </c>
      <c r="E1047" s="3" t="inlineStr">
        <is>
          <t>월세</t>
        </is>
      </c>
      <c r="F1047" s="4" t="n">
        <v>1500</v>
      </c>
      <c r="G1047" s="4" t="n">
        <v>110</v>
      </c>
      <c r="H1047" s="4" t="n">
        <v>727</v>
      </c>
      <c r="I1047" s="4" t="n">
        <v>220</v>
      </c>
      <c r="J1047" s="5" t="n">
        <v>0.5</v>
      </c>
      <c r="K1047" s="4" t="n">
        <v>150</v>
      </c>
      <c r="L1047" s="4" t="n">
        <v>45</v>
      </c>
      <c r="M1047" s="5" t="n">
        <v>2.4</v>
      </c>
      <c r="N1047" s="3" t="inlineStr">
        <is>
          <t>1</t>
        </is>
      </c>
      <c r="O1047" s="3" t="inlineStr">
        <is>
          <t>-</t>
        </is>
      </c>
      <c r="P1047" s="3" t="inlineStr">
        <is>
          <t>2차선 도로와 연접 2층 구조 일정 면적 사무 공간으로 설치됨</t>
        </is>
      </c>
      <c r="Q1047" s="6">
        <f>HYPERLINK("https://fin.land.naver.com/articles/2649340443", "매물Link")</f>
        <v/>
      </c>
      <c r="R1047" s="6">
        <f>HYPERLINK("https://map.naver.com/p/search/세종특별자치시 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주건축물제3동</t>
        </is>
      </c>
      <c r="W1047" s="4" t="n">
        <v>150</v>
      </c>
      <c r="X1047" s="3" t="inlineStr">
        <is>
          <t>일반철골구조</t>
        </is>
      </c>
      <c r="Y1047" s="3" t="inlineStr">
        <is>
          <t>창고시설</t>
        </is>
      </c>
      <c r="Z1047" s="3" t="inlineStr">
        <is>
          <t>7.80m</t>
        </is>
      </c>
      <c r="AA1047" s="3" t="inlineStr">
        <is>
          <t>2014-10-06</t>
        </is>
      </c>
    </row>
    <row r="1048">
      <c r="A1048" s="3" t="inlineStr">
        <is>
          <t>세종특별자치시 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HYPERLINK("https://map.naver.com/p/search/세종특별자치시 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11.35m</t>
        </is>
      </c>
      <c r="AA1048" s="3" t="inlineStr">
        <is>
          <t>2011-04-27</t>
        </is>
      </c>
    </row>
    <row r="1049">
      <c r="A1049" s="3" t="inlineStr">
        <is>
          <t>세종특별자치시 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HYPERLINK("https://map.naver.com/p/search/세종특별자치시 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11.35m</t>
        </is>
      </c>
      <c r="AA1049" s="3" t="inlineStr">
        <is>
          <t>2011-04-27</t>
        </is>
      </c>
    </row>
    <row r="1050">
      <c r="A1050" s="3" t="inlineStr">
        <is>
          <t>세종특별자치시 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HYPERLINK("https://map.naver.com/p/search/세종특별자치시 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11.35m</t>
        </is>
      </c>
      <c r="AA1050" s="3" t="inlineStr">
        <is>
          <t>2011-04-27</t>
        </is>
      </c>
    </row>
    <row r="1051">
      <c r="A1051" s="3" t="inlineStr">
        <is>
          <t>세종특별자치시 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HYPERLINK("https://map.naver.com/p/search/세종특별자치시 전동면 노장리 327", "지도Link")</f>
        <v/>
      </c>
      <c r="S1051" s="6">
        <f>HYPERLINK("http://www.eum.go.kr/web/ar/lu/luLandDet.jsp?pnu=3611038021103270000&amp;isNoScr=script&amp;mode=search", "토지이음")</f>
        <v/>
      </c>
      <c r="T1051" s="3" t="inlineStr">
        <is>
          <t>OK수</t>
        </is>
      </c>
      <c r="U1051" s="3" t="n">
        <v>1</v>
      </c>
      <c r="V1051" s="3" t="inlineStr">
        <is>
          <t>1동</t>
        </is>
      </c>
      <c r="W1051" s="4" t="n">
        <v>708</v>
      </c>
      <c r="X1051" s="3" t="inlineStr">
        <is>
          <t>일반철골구조</t>
        </is>
      </c>
      <c r="Y1051" s="3" t="inlineStr">
        <is>
          <t>창고시설</t>
        </is>
      </c>
      <c r="Z1051" s="3" t="inlineStr">
        <is>
          <t>6.00m</t>
        </is>
      </c>
      <c r="AA1051" s="3" t="inlineStr">
        <is>
          <t>2002-08-08</t>
        </is>
      </c>
    </row>
    <row r="1052">
      <c r="A1052" s="3" t="inlineStr">
        <is>
          <t>세종특별자치시 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HYPERLINK("https://map.naver.com/p/search/세종특별자치시 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-m</t>
        </is>
      </c>
      <c r="AA1052" s="3" t="inlineStr">
        <is>
          <t>1989</t>
        </is>
      </c>
    </row>
    <row r="1053">
      <c r="A1053" s="3" t="inlineStr">
        <is>
          <t>세종특별자치시 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HYPERLINK("https://map.naver.com/p/search/세종특별자치시 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8.30m</t>
        </is>
      </c>
      <c r="AA1053" s="3" t="inlineStr">
        <is>
          <t>2001-07-28</t>
        </is>
      </c>
    </row>
    <row r="1054">
      <c r="A1054" s="3" t="inlineStr">
        <is>
          <t>세종특별자치시 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HYPERLINK("https://map.naver.com/p/search/세종특별자치시 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10.00m</t>
        </is>
      </c>
      <c r="AA1054" s="3" t="inlineStr">
        <is>
          <t>2002-04-12</t>
        </is>
      </c>
    </row>
    <row r="1055">
      <c r="A1055" s="3" t="inlineStr">
        <is>
          <t>세종특별자치시 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HYPERLINK("https://map.naver.com/p/search/세종특별자치시 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-m</t>
        </is>
      </c>
      <c r="AA1055" s="3" t="inlineStr">
        <is>
          <t>1991-03-02</t>
        </is>
      </c>
    </row>
    <row r="1056">
      <c r="A1056" s="3" t="inlineStr">
        <is>
          <t>세종특별자치시 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HYPERLINK("https://map.naver.com/p/search/세종특별자치시 전동면 석곡리 352-66", "지도Link")</f>
        <v/>
      </c>
      <c r="S1056" s="6">
        <f>HYPERLINK("http://www.eum.go.kr/web/ar/lu/luLandDet.jsp?pnu=3611038024103520066&amp;isNoScr=script&amp;mode=search", "토지이음")</f>
        <v/>
      </c>
      <c r="T1056" s="3" t="inlineStr">
        <is>
          <t>이음 사무소</t>
        </is>
      </c>
      <c r="U1056" s="3" t="n">
        <v>3</v>
      </c>
      <c r="V1056" s="3" t="inlineStr">
        <is>
          <t>1동</t>
        </is>
      </c>
      <c r="W1056" s="4" t="n">
        <v>889</v>
      </c>
      <c r="X1056" s="3" t="inlineStr">
        <is>
          <t>일반철골구조</t>
        </is>
      </c>
      <c r="Y1056" s="3" t="inlineStr">
        <is>
          <t>공장</t>
        </is>
      </c>
      <c r="Z1056" s="3" t="inlineStr">
        <is>
          <t>8.80m</t>
        </is>
      </c>
      <c r="AA1056" s="3" t="inlineStr">
        <is>
          <t>1999-12-27</t>
        </is>
      </c>
    </row>
    <row r="1057">
      <c r="A1057" s="3" t="inlineStr">
        <is>
          <t>세종특별자치시 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HYPERLINK("https://map.naver.com/p/search/세종특별자치시 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8.20m</t>
        </is>
      </c>
      <c r="AA1057" s="3" t="inlineStr">
        <is>
          <t>2014-03-04</t>
        </is>
      </c>
    </row>
    <row r="1058">
      <c r="A1058" s="3" t="inlineStr">
        <is>
          <t>세종특별자치시 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HYPERLINK("https://map.naver.com/p/search/세종특별자치시 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-m</t>
        </is>
      </c>
      <c r="AA1058" s="3" t="inlineStr">
        <is>
          <t>1992-12-05</t>
        </is>
      </c>
    </row>
    <row r="1059">
      <c r="A1059" s="3" t="inlineStr">
        <is>
          <t>세종특별자치시 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HYPERLINK("https://map.naver.com/p/search/세종특별자치시 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7.40m</t>
        </is>
      </c>
      <c r="AA1059" s="3" t="inlineStr">
        <is>
          <t>2002-12-16</t>
        </is>
      </c>
    </row>
    <row r="1060">
      <c r="A1060" s="3" t="inlineStr">
        <is>
          <t>세종특별자치시 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HYPERLINK("https://map.naver.com/p/search/세종특별자치시 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7.40m</t>
        </is>
      </c>
      <c r="AA1060" s="3" t="inlineStr">
        <is>
          <t>2002-12-16</t>
        </is>
      </c>
    </row>
    <row r="1061">
      <c r="A1061" s="3" t="inlineStr">
        <is>
          <t>세종특별자치시 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HYPERLINK("https://map.naver.com/p/search/세종특별자치시 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8.90m</t>
        </is>
      </c>
      <c r="AA1061" s="3" t="inlineStr">
        <is>
          <t>2005-12-20</t>
        </is>
      </c>
    </row>
    <row r="1062">
      <c r="A1062" s="3" t="inlineStr">
        <is>
          <t>세종특별자치시 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HYPERLINK("https://map.naver.com/p/search/세종특별자치시 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7.70m</t>
        </is>
      </c>
      <c r="AA1062" s="3" t="inlineStr">
        <is>
          <t>2006-09-07</t>
        </is>
      </c>
    </row>
    <row r="1063">
      <c r="A1063" s="3" t="inlineStr">
        <is>
          <t>세종특별자치시 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전의면 신정리 자연순환시설 공장 매매, 재활용시설 및 설비</t>
        </is>
      </c>
      <c r="Q1063" s="6">
        <f>HYPERLINK("https://fin.land.naver.com/articles/2649500340", "매물Link")</f>
        <v/>
      </c>
      <c r="R1063" s="6">
        <f>HYPERLINK("https://map.naver.com/p/search/세종특별자치시 전의면 신정리 476-12", "지도Link")</f>
        <v/>
      </c>
      <c r="S1063" s="6">
        <f>HYPERLINK("http://www.eum.go.kr/web/ar/lu/luLandDet.jsp?pnu=3611037028104760012&amp;isNoScr=script&amp;mode=search", "토지이음")</f>
        <v/>
      </c>
      <c r="T1063" s="3" t="inlineStr">
        <is>
          <t>스카이</t>
        </is>
      </c>
      <c r="U1063" s="3" t="n">
        <v>1</v>
      </c>
      <c r="V1063" s="3" t="inlineStr">
        <is>
          <t>1동</t>
        </is>
      </c>
      <c r="W1063" s="4" t="n">
        <v>1228</v>
      </c>
      <c r="X1063" s="3" t="inlineStr">
        <is>
          <t>일반철골구조</t>
        </is>
      </c>
      <c r="Y1063" s="3" t="inlineStr">
        <is>
          <t>자원순환관련시설</t>
        </is>
      </c>
      <c r="Z1063" s="3" t="inlineStr">
        <is>
          <t>13.20m</t>
        </is>
      </c>
      <c r="AA1063" s="3" t="inlineStr">
        <is>
          <t>2008-09-19</t>
        </is>
      </c>
    </row>
    <row r="1064">
      <c r="A1064" s="3" t="inlineStr">
        <is>
          <t>세종특별자치시 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세종시 전의면 신정리  계획관리지역내 폐기물재활용시설 제조공장 매도</t>
        </is>
      </c>
      <c r="Q1064" s="6">
        <f>HYPERLINK("https://fin.land.naver.com/articles/2644662850", "매물Link")</f>
        <v/>
      </c>
      <c r="R1064" s="6">
        <f>HYPERLINK("https://map.naver.com/p/search/세종특별자치시 전의면 신정리 476-12", "지도Link")</f>
        <v/>
      </c>
      <c r="S1064" s="6">
        <f>HYPERLINK("http://www.eum.go.kr/web/ar/lu/luLandDet.jsp?pnu=3611037028104760012&amp;isNoScr=script&amp;mode=search", "토지이음")</f>
        <v/>
      </c>
      <c r="T1064" s="3" t="inlineStr">
        <is>
          <t>리얼바인</t>
        </is>
      </c>
      <c r="U1064" s="3" t="n">
        <v>1</v>
      </c>
      <c r="V1064" s="3" t="inlineStr">
        <is>
          <t>1동</t>
        </is>
      </c>
      <c r="W1064" s="4" t="n">
        <v>1228</v>
      </c>
      <c r="X1064" s="3" t="inlineStr">
        <is>
          <t>일반철골구조</t>
        </is>
      </c>
      <c r="Y1064" s="3" t="inlineStr">
        <is>
          <t>자원순환관련시설</t>
        </is>
      </c>
      <c r="Z1064" s="3" t="inlineStr">
        <is>
          <t>13.20m</t>
        </is>
      </c>
      <c r="AA1064" s="3" t="inlineStr">
        <is>
          <t>2008-09-19</t>
        </is>
      </c>
    </row>
    <row r="1065">
      <c r="A1065" s="3" t="inlineStr">
        <is>
          <t>세종특별자치시 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HYPERLINK("https://map.naver.com/p/search/세종특별자치시 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3동</t>
        </is>
      </c>
      <c r="W1065" s="4" t="n">
        <v>6916</v>
      </c>
      <c r="X1065" s="3" t="inlineStr">
        <is>
          <t>일반철골구조</t>
        </is>
      </c>
      <c r="Y1065" s="3" t="inlineStr">
        <is>
          <t>공장</t>
        </is>
      </c>
      <c r="Z1065" s="3" t="inlineStr">
        <is>
          <t>10.20m</t>
        </is>
      </c>
      <c r="AA1065" s="3" t="inlineStr">
        <is>
          <t>2013-04-05</t>
        </is>
      </c>
    </row>
    <row r="1066">
      <c r="A1066" s="3" t="inlineStr">
        <is>
          <t>세종특별자치시 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HYPERLINK("https://map.naver.com/p/search/세종특별자치시 전의면 유천리 285-8", "지도Link")</f>
        <v/>
      </c>
      <c r="S1066" s="6">
        <f>HYPERLINK("http://www.eum.go.kr/web/ar/lu/luLandDet.jsp?pnu=3611037026102850008&amp;isNoScr=script&amp;mode=search", "토지이음")</f>
        <v/>
      </c>
      <c r="T1066" s="3" t="inlineStr">
        <is>
          <t>스마일세종</t>
        </is>
      </c>
      <c r="U1066" s="3" t="n">
        <v>1</v>
      </c>
      <c r="V1066" s="3" t="inlineStr">
        <is>
          <t>2동</t>
        </is>
      </c>
      <c r="W1066" s="4" t="n">
        <v>587</v>
      </c>
      <c r="X1066" s="3" t="inlineStr">
        <is>
          <t>일반철골구조</t>
        </is>
      </c>
      <c r="Y1066" s="3" t="inlineStr">
        <is>
          <t>제2종근린생활시설</t>
        </is>
      </c>
      <c r="Z1066" s="3" t="inlineStr">
        <is>
          <t>9.50m</t>
        </is>
      </c>
      <c r="AA1066" s="3" t="inlineStr">
        <is>
          <t>2014-07-14</t>
        </is>
      </c>
    </row>
    <row r="1067">
      <c r="A1067" s="3" t="inlineStr">
        <is>
          <t>세종특별자치시 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HYPERLINK("https://map.naver.com/p/search/세종특별자치시 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9.70m</t>
        </is>
      </c>
      <c r="AA1067" s="3" t="inlineStr">
        <is>
          <t>2013-12-02</t>
        </is>
      </c>
    </row>
    <row r="1068">
      <c r="A1068" s="3" t="inlineStr">
        <is>
          <t>세종특별자치시 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474</v>
      </c>
      <c r="L1068" s="4" t="n">
        <v>143</v>
      </c>
      <c r="M1068" s="5" t="n">
        <v>2.4</v>
      </c>
      <c r="N1068" s="3" t="inlineStr">
        <is>
          <t>1</t>
        </is>
      </c>
      <c r="O1068" s="3" t="inlineStr">
        <is>
          <t>-</t>
        </is>
      </c>
      <c r="P1068" s="3" t="inlineStr">
        <is>
          <t>단독 공장 창고 제조업 2종근생 임대</t>
        </is>
      </c>
      <c r="Q1068" s="6">
        <f>HYPERLINK("https://fin.land.naver.com/articles/2645506255", "매물Link")</f>
        <v/>
      </c>
      <c r="R1068" s="6">
        <f>HYPERLINK("https://map.naver.com/p/search/세종특별자치시 전의면 유천리 537-16", "지도Link")</f>
        <v/>
      </c>
      <c r="S1068" s="6">
        <f>HYPERLINK("http://www.eum.go.kr/web/ar/lu/luLandDet.jsp?pnu=3611037026105370016&amp;isNoScr=script&amp;mode=search", "토지이음")</f>
        <v/>
      </c>
      <c r="T1068" s="3" t="inlineStr">
        <is>
          <t>THE행복</t>
        </is>
      </c>
      <c r="U1068" s="3" t="n">
        <v>1</v>
      </c>
      <c r="V1068" s="3" t="inlineStr">
        <is>
          <t>주1동</t>
        </is>
      </c>
      <c r="W1068" s="4" t="n">
        <v>474</v>
      </c>
      <c r="X1068" s="3" t="inlineStr">
        <is>
          <t>일반철골구조</t>
        </is>
      </c>
      <c r="Y1068" s="3" t="inlineStr">
        <is>
          <t>제2종근린생활시설</t>
        </is>
      </c>
      <c r="Z1068" s="3" t="inlineStr">
        <is>
          <t>9.90m</t>
        </is>
      </c>
      <c r="AA1068" s="3" t="inlineStr">
        <is>
          <t>2016-10-10</t>
        </is>
      </c>
    </row>
    <row r="1069">
      <c r="A1069" s="3" t="inlineStr">
        <is>
          <t>세종특별자치시 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HYPERLINK("https://map.naver.com/p/search/세종특별자치시 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9.90m</t>
        </is>
      </c>
      <c r="AA1069" s="3" t="inlineStr">
        <is>
          <t>2016-10-10</t>
        </is>
      </c>
    </row>
    <row r="1070">
      <c r="A1070" s="3" t="inlineStr">
        <is>
          <t>세종특별자치시 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472</v>
      </c>
      <c r="L1070" s="4" t="n">
        <v>143</v>
      </c>
      <c r="M1070" s="5" t="n">
        <v>2.4</v>
      </c>
      <c r="N1070" s="3" t="inlineStr">
        <is>
          <t>1</t>
        </is>
      </c>
      <c r="O1070" s="3" t="inlineStr">
        <is>
          <t>-</t>
        </is>
      </c>
      <c r="P1070" s="3" t="inlineStr">
        <is>
          <t>nan</t>
        </is>
      </c>
      <c r="Q1070" s="6">
        <f>HYPERLINK("https://fin.land.naver.com/articles/2645322917", "매물Link")</f>
        <v/>
      </c>
      <c r="R1070" s="6">
        <f>HYPERLINK("https://map.naver.com/p/search/세종특별자치시 전의면 유천리 537-16", "지도Link")</f>
        <v/>
      </c>
      <c r="S1070" s="6">
        <f>HYPERLINK("http://www.eum.go.kr/web/ar/lu/luLandDet.jsp?pnu=3611037026105370016&amp;isNoScr=script&amp;mode=search", "토지이음")</f>
        <v/>
      </c>
      <c r="T1070" s="3" t="inlineStr">
        <is>
          <t>북세종</t>
        </is>
      </c>
      <c r="U1070" s="3" t="n">
        <v>2</v>
      </c>
      <c r="V1070" s="3" t="inlineStr">
        <is>
          <t>주1동</t>
        </is>
      </c>
      <c r="W1070" s="4" t="n">
        <v>472</v>
      </c>
      <c r="X1070" s="3" t="inlineStr">
        <is>
          <t>일반철골구조</t>
        </is>
      </c>
      <c r="Y1070" s="3" t="inlineStr">
        <is>
          <t>제2종근린생활시설</t>
        </is>
      </c>
      <c r="Z1070" s="3" t="inlineStr">
        <is>
          <t>9.90m</t>
        </is>
      </c>
      <c r="AA1070" s="3" t="inlineStr">
        <is>
          <t>2016-10-10</t>
        </is>
      </c>
    </row>
    <row r="1071">
      <c r="A1071" s="3" t="inlineStr">
        <is>
          <t>세종특별자치시 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HYPERLINK("https://map.naver.com/p/search/세종특별자치시 전의면 읍내리 315-20", "지도Link")</f>
        <v/>
      </c>
      <c r="S1071" s="6">
        <f>HYPERLINK("http://www.eum.go.kr/web/ar/lu/luLandDet.jsp?pnu=3611037021103150020&amp;isNoScr=script&amp;mode=search", "토지이음")</f>
        <v/>
      </c>
      <c r="T1071" s="3" t="inlineStr">
        <is>
          <t>세종나라</t>
        </is>
      </c>
      <c r="U1071" s="3" t="n">
        <v>1</v>
      </c>
      <c r="V1071" s="3" t="inlineStr">
        <is>
          <t>1동</t>
        </is>
      </c>
      <c r="W1071" s="4" t="n">
        <v>1728</v>
      </c>
      <c r="X1071" s="3" t="inlineStr">
        <is>
          <t>일반철골구조</t>
        </is>
      </c>
      <c r="Y1071" s="3" t="inlineStr">
        <is>
          <t>창고시설</t>
        </is>
      </c>
      <c r="Z1071" s="3" t="inlineStr">
        <is>
          <t>9.47m</t>
        </is>
      </c>
      <c r="AA1071" s="3" t="inlineStr">
        <is>
          <t>2007-12-21</t>
        </is>
      </c>
    </row>
    <row r="1072">
      <c r="A1072" s="3" t="inlineStr">
        <is>
          <t>세종특별자치시 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HYPERLINK("https://map.naver.com/p/search/세종특별자치시 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22.31m</t>
        </is>
      </c>
      <c r="AA1072" s="3" t="inlineStr">
        <is>
          <t>2008-04-30</t>
        </is>
      </c>
    </row>
    <row r="1073">
      <c r="A1073" s="3" t="inlineStr">
        <is>
          <t>세종특별자치시 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사무실 완비된 컨디션 좋은 창고 매매</t>
        </is>
      </c>
      <c r="Q1073" s="6">
        <f>HYPERLINK("https://fin.land.naver.com/articles/2646262582", "매물Link")</f>
        <v/>
      </c>
      <c r="R1073" s="6">
        <f>HYPERLINK("https://map.naver.com/p/search/세종특별자치시 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6.35m</t>
        </is>
      </c>
      <c r="AA1073" s="3" t="inlineStr">
        <is>
          <t>2015-11-23</t>
        </is>
      </c>
    </row>
    <row r="1074">
      <c r="A1074" s="3" t="inlineStr">
        <is>
          <t>세종특별자치시 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HYPERLINK("https://map.naver.com/p/search/세종특별자치시 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6.35m</t>
        </is>
      </c>
      <c r="AA1074" s="3" t="inlineStr">
        <is>
          <t>2015-11-23</t>
        </is>
      </c>
    </row>
    <row r="1075">
      <c r="A1075" s="3" t="inlineStr">
        <is>
          <t>세종특별자치시 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창고 급매</t>
        </is>
      </c>
      <c r="Q1075" s="6">
        <f>HYPERLINK("https://fin.land.naver.com/articles/2645608920", "매물Link")</f>
        <v/>
      </c>
      <c r="R1075" s="6">
        <f>HYPERLINK("https://map.naver.com/p/search/세종특별자치시 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6.35m</t>
        </is>
      </c>
      <c r="AA1075" s="3" t="inlineStr">
        <is>
          <t>2015-11-23</t>
        </is>
      </c>
    </row>
    <row r="1076">
      <c r="A1076" s="3" t="inlineStr">
        <is>
          <t>세종특별자치시 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HYPERLINK("https://map.naver.com/p/search/세종특별자치시 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세종특별자치시 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HYPERLINK("https://map.naver.com/p/search/세종특별자치시 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세종특별자치시 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HYPERLINK("https://map.naver.com/p/search/세종특별자치시 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세종특별자치시 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HYPERLINK("https://map.naver.com/p/search/세종특별자치시 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세종특별자치시 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고운동위치좋은단독주택매매 집상태최상 방6개 마당이넓어좋은집</t>
        </is>
      </c>
      <c r="P5" s="6">
        <f>HYPERLINK("https://fin.land.naver.com/articles/2647771858", "매물Link")</f>
        <v/>
      </c>
      <c r="Q5" s="6">
        <f>HYPERLINK("https://map.naver.com/p/search/세종특별자치시 고운동 1116", "지도Link")</f>
        <v/>
      </c>
      <c r="R5" s="6">
        <f>HYPERLINK("http://www.eum.go.kr/web/ar/lu/luLandDet.jsp?pnu=3611011200111160000&amp;isNoScr=script&amp;mode=search", "토지이음")</f>
        <v/>
      </c>
      <c r="S5" s="3" t="inlineStr">
        <is>
          <t>새롬스마트</t>
        </is>
      </c>
      <c r="T5" s="3" t="n">
        <v>4</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세종특별자치시 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단독주택 급매, 두루고 인근, 사유지 사용가능, 태양광</t>
        </is>
      </c>
      <c r="P6" s="6">
        <f>HYPERLINK("https://fin.land.naver.com/articles/2648121863", "매물Link")</f>
        <v/>
      </c>
      <c r="Q6" s="6">
        <f>HYPERLINK("https://map.naver.com/p/search/세종특별자치시 고운동 1116", "지도Link")</f>
        <v/>
      </c>
      <c r="R6" s="6">
        <f>HYPERLINK("http://www.eum.go.kr/web/ar/lu/luLandDet.jsp?pnu=3611011200111160000&amp;isNoScr=script&amp;mode=search", "토지이음")</f>
        <v/>
      </c>
      <c r="S6" s="3" t="inlineStr">
        <is>
          <t>세종무지개</t>
        </is>
      </c>
      <c r="T6" s="3" t="n">
        <v>1</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세종특별자치시 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HYPERLINK("https://map.naver.com/p/search/세종특별자치시 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세종특별자치시 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관리잘된 주택, ACL 주택, 마당과 넓은 테라스, 관리비 적음</t>
        </is>
      </c>
      <c r="P8" s="6">
        <f>HYPERLINK("https://fin.land.naver.com/articles/2645343378", "매물Link")</f>
        <v/>
      </c>
      <c r="Q8" s="6">
        <f>HYPERLINK("https://map.naver.com/p/search/세종특별자치시 고운동 1232", "지도Link")</f>
        <v/>
      </c>
      <c r="R8" s="6">
        <f>HYPERLINK("http://www.eum.go.kr/web/ar/lu/luLandDet.jsp?pnu=3611011200112320000&amp;isNoScr=script&amp;mode=search", "토지이음")</f>
        <v/>
      </c>
      <c r="S8" s="3" t="inlineStr">
        <is>
          <t>세종무지개</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세종특별자치시 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조율가능 실개천인근 신축 ALC블럭 주택</t>
        </is>
      </c>
      <c r="P9" s="6">
        <f>HYPERLINK("https://fin.land.naver.com/articles/2644908997", "매물Link")</f>
        <v/>
      </c>
      <c r="Q9" s="6">
        <f>HYPERLINK("https://map.naver.com/p/search/세종특별자치시 고운동 1232", "지도Link")</f>
        <v/>
      </c>
      <c r="R9" s="6">
        <f>HYPERLINK("http://www.eum.go.kr/web/ar/lu/luLandDet.jsp?pnu=3611011200112320000&amp;isNoScr=script&amp;mode=search", "토지이음")</f>
        <v/>
      </c>
      <c r="S9" s="3" t="inlineStr">
        <is>
          <t>세종스타</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세종특별자치시 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HYPERLINK("https://map.naver.com/p/search/세종특별자치시 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세종특별자치시 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HYPERLINK("https://map.naver.com/p/search/세종특별자치시 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세종특별자치시 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마당 넓은 고급 단독주택매매, 방5개, 욕실4개</t>
        </is>
      </c>
      <c r="P12" s="6">
        <f>HYPERLINK("https://fin.land.naver.com/articles/2646691998", "매물Link")</f>
        <v/>
      </c>
      <c r="Q12" s="6">
        <f>HYPERLINK("https://map.naver.com/p/search/세종특별자치시 고운동 1537", "지도Link")</f>
        <v/>
      </c>
      <c r="R12" s="6">
        <f>HYPERLINK("http://www.eum.go.kr/web/ar/lu/luLandDet.jsp?pnu=3611011200115370000&amp;isNoScr=script&amp;mode=search", "토지이음")</f>
        <v/>
      </c>
      <c r="S12" s="3" t="inlineStr">
        <is>
          <t>세종무지개</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세종특별자치시 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2층  복층 ,방5,욕실2,화장실4,정원이 넓은 마당,2층  넓은 테라스</t>
        </is>
      </c>
      <c r="P13" s="6">
        <f>HYPERLINK("https://fin.land.naver.com/articles/2644303480", "매물Link")</f>
        <v/>
      </c>
      <c r="Q13" s="6">
        <f>HYPERLINK("https://map.naver.com/p/search/세종특별자치시 고운동 1537", "지도Link")</f>
        <v/>
      </c>
      <c r="R13" s="6">
        <f>HYPERLINK("http://www.eum.go.kr/web/ar/lu/luLandDet.jsp?pnu=3611011200115370000&amp;isNoScr=script&amp;mode=search", "토지이음")</f>
        <v/>
      </c>
      <c r="S13" s="3" t="inlineStr">
        <is>
          <t>오케이세종</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세종특별자치시 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방5개, 욕실4개, 고급 단독주택, 마당넓고 카페같은 썬큰</t>
        </is>
      </c>
      <c r="P14" s="6">
        <f>HYPERLINK("https://fin.land.naver.com/articles/2648126953", "매물Link")</f>
        <v/>
      </c>
      <c r="Q14" s="6">
        <f>HYPERLINK("https://map.naver.com/p/search/세종특별자치시 고운동 1537", "지도Link")</f>
        <v/>
      </c>
      <c r="R14" s="6">
        <f>HYPERLINK("http://www.eum.go.kr/web/ar/lu/luLandDet.jsp?pnu=3611011200115370000&amp;isNoScr=script&amp;mode=search", "토지이음")</f>
        <v/>
      </c>
      <c r="S14" s="3" t="inlineStr">
        <is>
          <t>명진</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세종특별자치시 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급매,실개천 인접,테라스,잔금 길게가능</t>
        </is>
      </c>
      <c r="P15" s="6">
        <f>HYPERLINK("https://fin.land.naver.com/articles/2647956507", "매물Link")</f>
        <v/>
      </c>
      <c r="Q15" s="6">
        <f>HYPERLINK("https://map.naver.com/p/search/세종특별자치시 고운동 1583", "지도Link")</f>
        <v/>
      </c>
      <c r="R15" s="6">
        <f>HYPERLINK("http://www.eum.go.kr/web/ar/lu/luLandDet.jsp?pnu=3611011200115830000&amp;isNoScr=script&amp;mode=search", "토지이음")</f>
        <v/>
      </c>
      <c r="S15" s="3" t="inlineStr">
        <is>
          <t>고운뜰</t>
        </is>
      </c>
      <c r="T15" s="3" t="n">
        <v>1</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세종특별자치시 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HYPERLINK("https://map.naver.com/p/search/세종특별자치시 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세종특별자치시 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nan</t>
        </is>
      </c>
      <c r="P17" s="6">
        <f>HYPERLINK("https://fin.land.naver.com/articles/2649607865", "매물Link")</f>
        <v/>
      </c>
      <c r="Q17" s="6">
        <f>HYPERLINK("https://map.naver.com/p/search/세종특별자치시 고운동 1583", "지도Link")</f>
        <v/>
      </c>
      <c r="R17" s="6">
        <f>HYPERLINK("http://www.eum.go.kr/web/ar/lu/luLandDet.jsp?pnu=3611011200115830000&amp;isNoScr=script&amp;mode=search", "토지이음")</f>
        <v/>
      </c>
      <c r="S17" s="3" t="inlineStr">
        <is>
          <t>세종스타</t>
        </is>
      </c>
      <c r="T17" s="3" t="n">
        <v>2</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세종특별자치시 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HYPERLINK("https://map.naver.com/p/search/세종특별자치시 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세종특별자치시 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고운동  실개천 인근 남향 가격조정가능</t>
        </is>
      </c>
      <c r="P19" s="6">
        <f>HYPERLINK("https://fin.land.naver.com/articles/2649459749", "매물Link")</f>
        <v/>
      </c>
      <c r="Q19" s="6">
        <f>HYPERLINK("https://map.naver.com/p/search/세종특별자치시 고운동 1646", "지도Link")</f>
        <v/>
      </c>
      <c r="R19" s="6">
        <f>HYPERLINK("http://www.eum.go.kr/web/ar/lu/luLandDet.jsp?pnu=3611011200116460000&amp;isNoScr=script&amp;mode=search", "토지이음")</f>
        <v/>
      </c>
      <c r="S19" s="3" t="inlineStr">
        <is>
          <t>세종삼촌</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세종특별자치시 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초.중.고인근, 방4개, 정남향</t>
        </is>
      </c>
      <c r="P20" s="6">
        <f>HYPERLINK("https://fin.land.naver.com/articles/2645677394", "매물Link")</f>
        <v/>
      </c>
      <c r="Q20" s="6">
        <f>HYPERLINK("https://map.naver.com/p/search/세종특별자치시 고운동 1646", "지도Link")</f>
        <v/>
      </c>
      <c r="R20" s="6">
        <f>HYPERLINK("http://www.eum.go.kr/web/ar/lu/luLandDet.jsp?pnu=3611011200116460000&amp;isNoScr=script&amp;mode=search", "토지이음")</f>
        <v/>
      </c>
      <c r="S20" s="3" t="inlineStr">
        <is>
          <t>명진</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세종특별자치시 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태양광, 어린이집, 유치원 인근, 조율가능</t>
        </is>
      </c>
      <c r="P21" s="6">
        <f>HYPERLINK("https://fin.land.naver.com/articles/2646691179", "매물Link")</f>
        <v/>
      </c>
      <c r="Q21" s="6">
        <f>HYPERLINK("https://map.naver.com/p/search/세종특별자치시 고운동 1756", "지도Link")</f>
        <v/>
      </c>
      <c r="R21" s="6">
        <f>HYPERLINK("http://www.eum.go.kr/web/ar/lu/luLandDet.jsp?pnu=3611011200117560000&amp;isNoScr=script&amp;mode=search", "토지이음")</f>
        <v/>
      </c>
      <c r="S21" s="3" t="inlineStr">
        <is>
          <t>세종무지개</t>
        </is>
      </c>
      <c r="T21" s="3" t="n">
        <v>1</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세종특별자치시 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정남향, 태양광설치, 방4개, 화장실3개, 철근콘크리트구조</t>
        </is>
      </c>
      <c r="P22" s="6">
        <f>HYPERLINK("https://fin.land.naver.com/articles/2647421215", "매물Link")</f>
        <v/>
      </c>
      <c r="Q22" s="6">
        <f>HYPERLINK("https://map.naver.com/p/search/세종특별자치시 고운동 1756", "지도Link")</f>
        <v/>
      </c>
      <c r="R22" s="6">
        <f>HYPERLINK("http://www.eum.go.kr/web/ar/lu/luLandDet.jsp?pnu=3611011200117560000&amp;isNoScr=script&amp;mode=search", "토지이음")</f>
        <v/>
      </c>
      <c r="S22" s="3" t="inlineStr">
        <is>
          <t>명진</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세종특별자치시 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조망좋고 위치좋은 정남향 단독주택 방4개 실용적인구조 철콘주택</t>
        </is>
      </c>
      <c r="P23" s="6">
        <f>HYPERLINK("https://fin.land.naver.com/articles/2649950020", "매물Link")</f>
        <v/>
      </c>
      <c r="Q23" s="6">
        <f>HYPERLINK("https://map.naver.com/p/search/세종특별자치시 고운동 1756", "지도Link")</f>
        <v/>
      </c>
      <c r="R23" s="6">
        <f>HYPERLINK("http://www.eum.go.kr/web/ar/lu/luLandDet.jsp?pnu=3611011200117560000&amp;isNoScr=script&amp;mode=search", "토지이음")</f>
        <v/>
      </c>
      <c r="S23" s="3" t="inlineStr">
        <is>
          <t>세종스타</t>
        </is>
      </c>
      <c r="T23" s="3" t="n">
        <v>3</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세종특별자치시 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HYPERLINK("https://map.naver.com/p/search/세종특별자치시 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세종특별자치시 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HYPERLINK("https://map.naver.com/p/search/세종특별자치시 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세종특별자치시 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HYPERLINK("https://map.naver.com/p/search/세종특별자치시 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세종특별자치시 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HYPERLINK("https://map.naver.com/p/search/세종특별자치시 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세종특별자치시 고운동 2085</t>
        </is>
      </c>
      <c r="B28" s="3" t="inlineStr">
        <is>
          <t>제1종전용주거지역</t>
        </is>
      </c>
      <c r="C28" s="3" t="inlineStr">
        <is>
          <t>대</t>
        </is>
      </c>
      <c r="D28" s="3" t="inlineStr">
        <is>
          <t>3</t>
        </is>
      </c>
      <c r="E28" s="3" t="inlineStr">
        <is>
          <t>단독</t>
        </is>
      </c>
      <c r="F28" s="3" t="inlineStr">
        <is>
          <t>매매</t>
        </is>
      </c>
      <c r="G28" s="4" t="n">
        <v>127600</v>
      </c>
      <c r="H28" s="4" t="n">
        <v>0</v>
      </c>
      <c r="I28" s="4" t="n">
        <v>353</v>
      </c>
      <c r="J28" s="4" t="n">
        <v>107</v>
      </c>
      <c r="K28" s="5" t="n">
        <v>1192.5</v>
      </c>
      <c r="L28" s="4" t="n">
        <v>224</v>
      </c>
      <c r="M28" s="4" t="n">
        <v>68</v>
      </c>
      <c r="N28" s="5" t="n">
        <v>1876.5</v>
      </c>
      <c r="O28" s="3" t="inlineStr">
        <is>
          <t>아르티엠 더블랙 선임대 완료 급매</t>
        </is>
      </c>
      <c r="P28" s="6">
        <f>HYPERLINK("https://fin.land.naver.com/articles/2644927534", "매물Link")</f>
        <v/>
      </c>
      <c r="Q28" s="6">
        <f>HYPERLINK("https://map.naver.com/p/search/세종특별자치시 고운동 2085", "지도Link")</f>
        <v/>
      </c>
      <c r="R28" s="6">
        <f>HYPERLINK("http://www.eum.go.kr/web/ar/lu/luLandDet.jsp?pnu=3611011200120850000&amp;isNoScr=script&amp;mode=search", "토지이음")</f>
        <v/>
      </c>
      <c r="S28" s="3" t="inlineStr">
        <is>
          <t>찬스</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세종특별자치시 고운동 2085</t>
        </is>
      </c>
      <c r="B29" s="3" t="inlineStr">
        <is>
          <t>제1종전용주거지역</t>
        </is>
      </c>
      <c r="C29" s="3" t="inlineStr">
        <is>
          <t>대</t>
        </is>
      </c>
      <c r="D29" s="3" t="inlineStr">
        <is>
          <t>3</t>
        </is>
      </c>
      <c r="E29" s="3" t="inlineStr">
        <is>
          <t>단독</t>
        </is>
      </c>
      <c r="F29" s="3" t="inlineStr">
        <is>
          <t>매매</t>
        </is>
      </c>
      <c r="G29" s="4" t="n">
        <v>160000</v>
      </c>
      <c r="H29" s="4" t="n">
        <v>0</v>
      </c>
      <c r="I29" s="4" t="n">
        <v>323</v>
      </c>
      <c r="J29" s="4" t="n">
        <v>98</v>
      </c>
      <c r="K29" s="5" t="n">
        <v>1632.7</v>
      </c>
      <c r="L29" s="4" t="n">
        <v>253</v>
      </c>
      <c r="M29" s="4" t="n">
        <v>77</v>
      </c>
      <c r="N29" s="5" t="n">
        <v>2077.9</v>
      </c>
      <c r="O29" s="3" t="inlineStr">
        <is>
          <t>아르티엠 더블랙  초품아 프리미엄과 풀옵션이 만난 완벽한 타운하우스</t>
        </is>
      </c>
      <c r="P29" s="6">
        <f>HYPERLINK("https://fin.land.naver.com/articles/2645308695", "매물Link")</f>
        <v/>
      </c>
      <c r="Q29" s="6">
        <f>HYPERLINK("https://map.naver.com/p/search/세종특별자치시 고운동 2085", "지도Link")</f>
        <v/>
      </c>
      <c r="R29" s="6">
        <f>HYPERLINK("http://www.eum.go.kr/web/ar/lu/luLandDet.jsp?pnu=3611011200120850000&amp;isNoScr=script&amp;mode=search", "토지이음")</f>
        <v/>
      </c>
      <c r="S29" s="3" t="inlineStr">
        <is>
          <t>찬스</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세종특별자치시 고운동 2085</t>
        </is>
      </c>
      <c r="B30" s="3" t="inlineStr">
        <is>
          <t>제1종전용주거지역</t>
        </is>
      </c>
      <c r="C30" s="3" t="inlineStr">
        <is>
          <t>대</t>
        </is>
      </c>
      <c r="D30" s="3" t="inlineStr">
        <is>
          <t>3</t>
        </is>
      </c>
      <c r="E30" s="3" t="inlineStr">
        <is>
          <t>단독</t>
        </is>
      </c>
      <c r="F30" s="3" t="inlineStr">
        <is>
          <t>매매</t>
        </is>
      </c>
      <c r="G30" s="4" t="n">
        <v>160000</v>
      </c>
      <c r="H30" s="4" t="n">
        <v>0</v>
      </c>
      <c r="I30" s="4" t="n">
        <v>335</v>
      </c>
      <c r="J30" s="4" t="n">
        <v>101</v>
      </c>
      <c r="K30" s="5" t="n">
        <v>1584.2</v>
      </c>
      <c r="L30" s="4" t="n">
        <v>253</v>
      </c>
      <c r="M30" s="4" t="n">
        <v>77</v>
      </c>
      <c r="N30" s="5" t="n">
        <v>2077.9</v>
      </c>
      <c r="O30" s="3" t="inlineStr">
        <is>
          <t>프라이빗한 정원,  인네리어</t>
        </is>
      </c>
      <c r="P30" s="6">
        <f>HYPERLINK("https://fin.land.naver.com/articles/2649457044", "매물Link")</f>
        <v/>
      </c>
      <c r="Q30" s="6">
        <f>HYPERLINK("https://map.naver.com/p/search/세종특별자치시 고운동 2085", "지도Link")</f>
        <v/>
      </c>
      <c r="R30" s="6">
        <f>HYPERLINK("http://www.eum.go.kr/web/ar/lu/luLandDet.jsp?pnu=3611011200120850000&amp;isNoScr=script&amp;mode=search", "토지이음")</f>
        <v/>
      </c>
      <c r="S30" s="3" t="inlineStr">
        <is>
          <t>세종삼촌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세종특별자치시 고운동 2085</t>
        </is>
      </c>
      <c r="B31" s="3" t="inlineStr">
        <is>
          <t>제1종전용주거지역</t>
        </is>
      </c>
      <c r="C31" s="3" t="inlineStr">
        <is>
          <t>대</t>
        </is>
      </c>
      <c r="D31" s="3" t="inlineStr">
        <is>
          <t>3</t>
        </is>
      </c>
      <c r="E31" s="3" t="inlineStr">
        <is>
          <t>단독</t>
        </is>
      </c>
      <c r="F31" s="3" t="inlineStr">
        <is>
          <t>매매</t>
        </is>
      </c>
      <c r="G31" s="4" t="n">
        <v>131400</v>
      </c>
      <c r="H31" s="4" t="n">
        <v>0</v>
      </c>
      <c r="I31" s="4" t="n">
        <v>370</v>
      </c>
      <c r="J31" s="4" t="n">
        <v>112</v>
      </c>
      <c r="K31" s="5" t="n">
        <v>1173.2</v>
      </c>
      <c r="L31" s="4" t="n">
        <v>224</v>
      </c>
      <c r="M31" s="4" t="n">
        <v>68</v>
      </c>
      <c r="N31" s="5" t="n">
        <v>1932.4</v>
      </c>
      <c r="O31" s="3" t="inlineStr">
        <is>
          <t>아르티엠 더블랙 선임대 완료 급매</t>
        </is>
      </c>
      <c r="P31" s="6">
        <f>HYPERLINK("https://fin.land.naver.com/articles/2645308747", "매물Link")</f>
        <v/>
      </c>
      <c r="Q31" s="6">
        <f>HYPERLINK("https://map.naver.com/p/search/세종특별자치시 고운동 2085", "지도Link")</f>
        <v/>
      </c>
      <c r="R31" s="6">
        <f>HYPERLINK("http://www.eum.go.kr/web/ar/lu/luLandDet.jsp?pnu=3611011200120850000&amp;isNoScr=script&amp;mode=search", "토지이음")</f>
        <v/>
      </c>
      <c r="S31" s="3" t="inlineStr">
        <is>
          <t>찬스</t>
        </is>
      </c>
      <c r="T31" s="3" t="n">
        <v>1</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세종특별자치시 고운동 2085</t>
        </is>
      </c>
      <c r="B32" s="3" t="inlineStr">
        <is>
          <t>제1종전용주거지역</t>
        </is>
      </c>
      <c r="C32" s="3" t="inlineStr">
        <is>
          <t>대</t>
        </is>
      </c>
      <c r="D32" s="3" t="inlineStr">
        <is>
          <t>3</t>
        </is>
      </c>
      <c r="E32" s="3" t="inlineStr">
        <is>
          <t>단독</t>
        </is>
      </c>
      <c r="F32" s="3" t="inlineStr">
        <is>
          <t>매매</t>
        </is>
      </c>
      <c r="G32" s="4" t="n">
        <v>127600</v>
      </c>
      <c r="H32" s="4" t="n">
        <v>0</v>
      </c>
      <c r="I32" s="4" t="n">
        <v>356</v>
      </c>
      <c r="J32" s="4" t="n">
        <v>108</v>
      </c>
      <c r="K32" s="5" t="n">
        <v>1181.5</v>
      </c>
      <c r="L32" s="4" t="n">
        <v>224</v>
      </c>
      <c r="M32" s="4" t="n">
        <v>68</v>
      </c>
      <c r="N32" s="5" t="n">
        <v>1876.5</v>
      </c>
      <c r="O32" s="3" t="inlineStr">
        <is>
          <t>아르티엠 더블랙 선임대 완료 급매</t>
        </is>
      </c>
      <c r="P32" s="6">
        <f>HYPERLINK("https://fin.land.naver.com/articles/2645308761", "매물Link")</f>
        <v/>
      </c>
      <c r="Q32" s="6">
        <f>HYPERLINK("https://map.naver.com/p/search/세종특별자치시 고운동 2085", "지도Link")</f>
        <v/>
      </c>
      <c r="R32" s="6">
        <f>HYPERLINK("http://www.eum.go.kr/web/ar/lu/luLandDet.jsp?pnu=3611011200120850000&amp;isNoScr=script&amp;mode=search", "토지이음")</f>
        <v/>
      </c>
      <c r="S32" s="3" t="inlineStr">
        <is>
          <t>찬스</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세종특별자치시 고운동 2085</t>
        </is>
      </c>
      <c r="B33" s="3" t="inlineStr">
        <is>
          <t>제1종전용주거지역</t>
        </is>
      </c>
      <c r="C33" s="3" t="inlineStr">
        <is>
          <t>대</t>
        </is>
      </c>
      <c r="D33" s="3" t="inlineStr">
        <is>
          <t>3</t>
        </is>
      </c>
      <c r="E33" s="3" t="inlineStr">
        <is>
          <t>단독</t>
        </is>
      </c>
      <c r="F33" s="3" t="inlineStr">
        <is>
          <t>매매</t>
        </is>
      </c>
      <c r="G33" s="4" t="n">
        <v>160000</v>
      </c>
      <c r="H33" s="4" t="n">
        <v>0</v>
      </c>
      <c r="I33" s="4" t="n">
        <v>404</v>
      </c>
      <c r="J33" s="4" t="n">
        <v>122</v>
      </c>
      <c r="K33" s="5" t="n">
        <v>1311.5</v>
      </c>
      <c r="L33" s="4" t="n">
        <v>253</v>
      </c>
      <c r="M33" s="4" t="n">
        <v>77</v>
      </c>
      <c r="N33" s="5" t="n">
        <v>2077.9</v>
      </c>
      <c r="O33" s="3" t="inlineStr">
        <is>
          <t>프라이빗 코너 호수의 완벽한 유럽풍 라이프</t>
        </is>
      </c>
      <c r="P33" s="6">
        <f>HYPERLINK("https://fin.land.naver.com/articles/2648068359", "매물Link")</f>
        <v/>
      </c>
      <c r="Q33" s="6">
        <f>HYPERLINK("https://map.naver.com/p/search/세종특별자치시 고운동 2085", "지도Link")</f>
        <v/>
      </c>
      <c r="R33" s="6">
        <f>HYPERLINK("http://www.eum.go.kr/web/ar/lu/luLandDet.jsp?pnu=3611011200120850000&amp;isNoScr=script&amp;mode=search", "토지이음")</f>
        <v/>
      </c>
      <c r="S33" s="3" t="inlineStr">
        <is>
          <t>찬스</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세종특별자치시 고운동 2085</t>
        </is>
      </c>
      <c r="B34" s="3" t="inlineStr">
        <is>
          <t>제1종전용주거지역</t>
        </is>
      </c>
      <c r="C34" s="3" t="inlineStr">
        <is>
          <t>대</t>
        </is>
      </c>
      <c r="D34" s="3" t="inlineStr">
        <is>
          <t>3</t>
        </is>
      </c>
      <c r="E34" s="3" t="inlineStr">
        <is>
          <t>단독</t>
        </is>
      </c>
      <c r="F34" s="3" t="inlineStr">
        <is>
          <t>매매</t>
        </is>
      </c>
      <c r="G34" s="4" t="n">
        <v>140000</v>
      </c>
      <c r="H34" s="4" t="n">
        <v>0</v>
      </c>
      <c r="I34" s="4" t="n">
        <v>297</v>
      </c>
      <c r="J34" s="4" t="n">
        <v>90</v>
      </c>
      <c r="K34" s="5" t="n">
        <v>1555.6</v>
      </c>
      <c r="L34" s="4" t="n">
        <v>253</v>
      </c>
      <c r="M34" s="4" t="n">
        <v>77</v>
      </c>
      <c r="N34" s="5" t="n">
        <v>1818.2</v>
      </c>
      <c r="O34" s="3" t="inlineStr">
        <is>
          <t>입지좋은 타운하우스매매, C타입, 온빛초, 정남향</t>
        </is>
      </c>
      <c r="P34" s="6">
        <f>HYPERLINK("https://fin.land.naver.com/articles/2648836117", "매물Link")</f>
        <v/>
      </c>
      <c r="Q34" s="6">
        <f>HYPERLINK("https://map.naver.com/p/search/세종특별자치시 고운동 2085", "지도Link")</f>
        <v/>
      </c>
      <c r="R34" s="6">
        <f>HYPERLINK("http://www.eum.go.kr/web/ar/lu/luLandDet.jsp?pnu=3611011200120850000&amp;isNoScr=script&amp;mode=search", "토지이음")</f>
        <v/>
      </c>
      <c r="S34" s="3" t="inlineStr">
        <is>
          <t>세종무지개</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세종특별자치시 고운동 2085</t>
        </is>
      </c>
      <c r="B35" s="3" t="inlineStr">
        <is>
          <t>제1종전용주거지역</t>
        </is>
      </c>
      <c r="C35" s="3" t="inlineStr">
        <is>
          <t>대</t>
        </is>
      </c>
      <c r="D35" s="3" t="inlineStr">
        <is>
          <t>3</t>
        </is>
      </c>
      <c r="E35" s="3" t="inlineStr">
        <is>
          <t>단독</t>
        </is>
      </c>
      <c r="F35" s="3" t="inlineStr">
        <is>
          <t>매매</t>
        </is>
      </c>
      <c r="G35" s="4" t="n">
        <v>160000</v>
      </c>
      <c r="H35" s="4" t="n">
        <v>0</v>
      </c>
      <c r="I35" s="4" t="n">
        <v>336</v>
      </c>
      <c r="J35" s="4" t="n">
        <v>102</v>
      </c>
      <c r="K35" s="5" t="n">
        <v>1568.6</v>
      </c>
      <c r="L35" s="4" t="n">
        <v>253</v>
      </c>
      <c r="M35" s="4" t="n">
        <v>77</v>
      </c>
      <c r="N35" s="5" t="n">
        <v>2077.9</v>
      </c>
      <c r="O35" s="3" t="inlineStr">
        <is>
          <t>입지 최고 거주 및 투자추천, 선임대 맞춰짐, 실입주도 협의가능,</t>
        </is>
      </c>
      <c r="P35" s="6">
        <f>HYPERLINK("https://fin.land.naver.com/articles/2648367997", "매물Link")</f>
        <v/>
      </c>
      <c r="Q35" s="6">
        <f>HYPERLINK("https://map.naver.com/p/search/세종특별자치시 고운동 2085", "지도Link")</f>
        <v/>
      </c>
      <c r="R35" s="6">
        <f>HYPERLINK("http://www.eum.go.kr/web/ar/lu/luLandDet.jsp?pnu=3611011200120850000&amp;isNoScr=script&amp;mode=search", "토지이음")</f>
        <v/>
      </c>
      <c r="S35" s="3" t="inlineStr">
        <is>
          <t>백프로</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세종특별자치시 고운동 2085</t>
        </is>
      </c>
      <c r="B36" s="3" t="inlineStr">
        <is>
          <t>제1종전용주거지역</t>
        </is>
      </c>
      <c r="C36" s="3" t="inlineStr">
        <is>
          <t>대</t>
        </is>
      </c>
      <c r="D36" s="3" t="inlineStr">
        <is>
          <t>3</t>
        </is>
      </c>
      <c r="E36" s="3" t="inlineStr">
        <is>
          <t>단독</t>
        </is>
      </c>
      <c r="F36" s="3" t="inlineStr">
        <is>
          <t>매매</t>
        </is>
      </c>
      <c r="G36" s="4" t="n">
        <v>165000</v>
      </c>
      <c r="H36" s="4" t="n">
        <v>0</v>
      </c>
      <c r="I36" s="4" t="n">
        <v>336</v>
      </c>
      <c r="J36" s="4" t="n">
        <v>102</v>
      </c>
      <c r="K36" s="5" t="n">
        <v>1617.6</v>
      </c>
      <c r="L36" s="4" t="n">
        <v>253</v>
      </c>
      <c r="M36" s="4" t="n">
        <v>77</v>
      </c>
      <c r="N36" s="5" t="n">
        <v>2142.9</v>
      </c>
      <c r="O36" s="3" t="inlineStr">
        <is>
          <t>초품아, 거주 만족도 높은  관리최상  매물, 협의입주</t>
        </is>
      </c>
      <c r="P36" s="6">
        <f>HYPERLINK("https://fin.land.naver.com/articles/2648366468", "매물Link")</f>
        <v/>
      </c>
      <c r="Q36" s="6">
        <f>HYPERLINK("https://map.naver.com/p/search/세종특별자치시 고운동 2085", "지도Link")</f>
        <v/>
      </c>
      <c r="R36" s="6">
        <f>HYPERLINK("http://www.eum.go.kr/web/ar/lu/luLandDet.jsp?pnu=3611011200120850000&amp;isNoScr=script&amp;mode=search", "토지이음")</f>
        <v/>
      </c>
      <c r="S36" s="3" t="inlineStr">
        <is>
          <t>백프로</t>
        </is>
      </c>
      <c r="T36" s="3" t="n">
        <v>2</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세종특별자치시 고운동 2085</t>
        </is>
      </c>
      <c r="B37" s="3" t="inlineStr">
        <is>
          <t>제1종전용주거지역</t>
        </is>
      </c>
      <c r="C37" s="3" t="inlineStr">
        <is>
          <t>대</t>
        </is>
      </c>
      <c r="D37" s="3" t="inlineStr">
        <is>
          <t>3</t>
        </is>
      </c>
      <c r="E37" s="3" t="inlineStr">
        <is>
          <t>단독</t>
        </is>
      </c>
      <c r="F37" s="3" t="inlineStr">
        <is>
          <t>매매</t>
        </is>
      </c>
      <c r="G37" s="4" t="n">
        <v>140000</v>
      </c>
      <c r="H37" s="4" t="n">
        <v>0</v>
      </c>
      <c r="I37" s="4" t="n">
        <v>297</v>
      </c>
      <c r="J37" s="4" t="n">
        <v>90</v>
      </c>
      <c r="K37" s="5" t="n">
        <v>1555.6</v>
      </c>
      <c r="L37" s="4" t="n">
        <v>253</v>
      </c>
      <c r="M37" s="4" t="n">
        <v>77</v>
      </c>
      <c r="N37" s="5" t="n">
        <v>1818.2</v>
      </c>
      <c r="O37" s="3" t="inlineStr">
        <is>
          <t>급매,C타입,주인거주로집상태좋음.</t>
        </is>
      </c>
      <c r="P37" s="6">
        <f>HYPERLINK("https://fin.land.naver.com/articles/2647138426", "매물Link")</f>
        <v/>
      </c>
      <c r="Q37" s="6">
        <f>HYPERLINK("https://map.naver.com/p/search/세종특별자치시 고운동 2085", "지도Link")</f>
        <v/>
      </c>
      <c r="R37" s="6">
        <f>HYPERLINK("http://www.eum.go.kr/web/ar/lu/luLandDet.jsp?pnu=3611011200120850000&amp;isNoScr=script&amp;mode=search", "토지이음")</f>
        <v/>
      </c>
      <c r="S37" s="3" t="inlineStr">
        <is>
          <t>세종황소</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세종특별자치시 고운동 2085</t>
        </is>
      </c>
      <c r="B38" s="3" t="inlineStr">
        <is>
          <t>제1종전용주거지역</t>
        </is>
      </c>
      <c r="C38" s="3" t="inlineStr">
        <is>
          <t>대</t>
        </is>
      </c>
      <c r="D38" s="3" t="inlineStr">
        <is>
          <t>3</t>
        </is>
      </c>
      <c r="E38" s="3" t="inlineStr">
        <is>
          <t>단독</t>
        </is>
      </c>
      <c r="F38" s="3" t="inlineStr">
        <is>
          <t>매매</t>
        </is>
      </c>
      <c r="G38" s="4" t="n">
        <v>165000</v>
      </c>
      <c r="H38" s="4" t="n">
        <v>0</v>
      </c>
      <c r="I38" s="4" t="n">
        <v>336</v>
      </c>
      <c r="J38" s="4" t="n">
        <v>102</v>
      </c>
      <c r="K38" s="5" t="n">
        <v>1617.6</v>
      </c>
      <c r="L38" s="4" t="n">
        <v>253</v>
      </c>
      <c r="M38" s="4" t="n">
        <v>77</v>
      </c>
      <c r="N38" s="5" t="n">
        <v>2142.9</v>
      </c>
      <c r="O38" s="3" t="inlineStr">
        <is>
          <t>입지좋은 타운하우스매매, A타입, 온빛초, 정남향</t>
        </is>
      </c>
      <c r="P38" s="6">
        <f>HYPERLINK("https://fin.land.naver.com/articles/2646849392", "매물Link")</f>
        <v/>
      </c>
      <c r="Q38" s="6">
        <f>HYPERLINK("https://map.naver.com/p/search/세종특별자치시 고운동 2085", "지도Link")</f>
        <v/>
      </c>
      <c r="R38" s="6">
        <f>HYPERLINK("http://www.eum.go.kr/web/ar/lu/luLandDet.jsp?pnu=3611011200120850000&amp;isNoScr=script&amp;mode=search", "토지이음")</f>
        <v/>
      </c>
      <c r="S38" s="3" t="inlineStr">
        <is>
          <t>세종무지개</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세종특별자치시 고운동 2085</t>
        </is>
      </c>
      <c r="B39" s="3" t="inlineStr">
        <is>
          <t>제1종전용주거지역</t>
        </is>
      </c>
      <c r="C39" s="3" t="inlineStr">
        <is>
          <t>대</t>
        </is>
      </c>
      <c r="D39" s="3" t="inlineStr">
        <is>
          <t>3</t>
        </is>
      </c>
      <c r="E39" s="3" t="inlineStr">
        <is>
          <t>단독</t>
        </is>
      </c>
      <c r="F39" s="3" t="inlineStr">
        <is>
          <t>매매</t>
        </is>
      </c>
      <c r="G39" s="4" t="n">
        <v>140000</v>
      </c>
      <c r="H39" s="4" t="n">
        <v>0</v>
      </c>
      <c r="I39" s="4" t="n">
        <v>297</v>
      </c>
      <c r="J39" s="4" t="n">
        <v>90</v>
      </c>
      <c r="K39" s="5" t="n">
        <v>1555.6</v>
      </c>
      <c r="L39" s="4" t="n">
        <v>253</v>
      </c>
      <c r="M39" s="4" t="n">
        <v>77</v>
      </c>
      <c r="N39" s="5" t="n">
        <v>1818.2</v>
      </c>
      <c r="O39" s="3" t="inlineStr">
        <is>
          <t>유럽마을 C타입  관리상태좋음  학교 근린생활시설가까운 입지 최고 단지</t>
        </is>
      </c>
      <c r="P39" s="6">
        <f>HYPERLINK("https://fin.land.naver.com/articles/2646787107", "매물Link")</f>
        <v/>
      </c>
      <c r="Q39" s="6">
        <f>HYPERLINK("https://map.naver.com/p/search/세종특별자치시 고운동 2085", "지도Link")</f>
        <v/>
      </c>
      <c r="R39" s="6">
        <f>HYPERLINK("http://www.eum.go.kr/web/ar/lu/luLandDet.jsp?pnu=3611011200120850000&amp;isNoScr=script&amp;mode=search", "토지이음")</f>
        <v/>
      </c>
      <c r="S39" s="3" t="inlineStr">
        <is>
          <t>고운힐스테이트</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세종특별자치시 고운동 2085</t>
        </is>
      </c>
      <c r="B40" s="3" t="inlineStr">
        <is>
          <t>제1종전용주거지역</t>
        </is>
      </c>
      <c r="C40" s="3" t="inlineStr">
        <is>
          <t>대</t>
        </is>
      </c>
      <c r="D40" s="3" t="inlineStr">
        <is>
          <t>3</t>
        </is>
      </c>
      <c r="E40" s="3" t="inlineStr">
        <is>
          <t>단독</t>
        </is>
      </c>
      <c r="F40" s="3" t="inlineStr">
        <is>
          <t>매매</t>
        </is>
      </c>
      <c r="G40" s="4" t="n">
        <v>160000</v>
      </c>
      <c r="H40" s="4" t="n">
        <v>0</v>
      </c>
      <c r="I40" s="4" t="n">
        <v>404</v>
      </c>
      <c r="J40" s="4" t="n">
        <v>122</v>
      </c>
      <c r="K40" s="5" t="n">
        <v>1311.5</v>
      </c>
      <c r="L40" s="4" t="n">
        <v>253</v>
      </c>
      <c r="M40" s="4" t="n">
        <v>77</v>
      </c>
      <c r="N40" s="5" t="n">
        <v>2077.9</v>
      </c>
      <c r="O40" s="3" t="inlineStr">
        <is>
          <t>인기C타입 마당넓음 탁트인조망 넓은3층면적</t>
        </is>
      </c>
      <c r="P40" s="6">
        <f>HYPERLINK("https://fin.land.naver.com/articles/2644917554", "매물Link")</f>
        <v/>
      </c>
      <c r="Q40" s="6">
        <f>HYPERLINK("https://map.naver.com/p/search/세종특별자치시 고운동 2085", "지도Link")</f>
        <v/>
      </c>
      <c r="R40" s="6">
        <f>HYPERLINK("http://www.eum.go.kr/web/ar/lu/luLandDet.jsp?pnu=3611011200120850000&amp;isNoScr=script&amp;mode=search", "토지이음")</f>
        <v/>
      </c>
      <c r="S40" s="3" t="inlineStr">
        <is>
          <t>세종스타</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세종특별자치시 고운동 2085</t>
        </is>
      </c>
      <c r="B41" s="3" t="inlineStr">
        <is>
          <t>제1종전용주거지역</t>
        </is>
      </c>
      <c r="C41" s="3" t="inlineStr">
        <is>
          <t>대</t>
        </is>
      </c>
      <c r="D41" s="3" t="inlineStr">
        <is>
          <t>3</t>
        </is>
      </c>
      <c r="E41" s="3" t="inlineStr">
        <is>
          <t>단독</t>
        </is>
      </c>
      <c r="F41" s="3" t="inlineStr">
        <is>
          <t>매매</t>
        </is>
      </c>
      <c r="G41" s="4" t="n">
        <v>165000</v>
      </c>
      <c r="H41" s="4" t="n">
        <v>0</v>
      </c>
      <c r="I41" s="4" t="n">
        <v>336</v>
      </c>
      <c r="J41" s="4" t="n">
        <v>102</v>
      </c>
      <c r="K41" s="5" t="n">
        <v>1617.6</v>
      </c>
      <c r="L41" s="4" t="n">
        <v>253</v>
      </c>
      <c r="M41" s="4" t="n">
        <v>77</v>
      </c>
      <c r="N41" s="5" t="n">
        <v>2142.9</v>
      </c>
      <c r="O41" s="3" t="inlineStr">
        <is>
          <t>협의입주, 시스템에어컨풀, 풀옵션, 조용한동으로 뷰좋은집</t>
        </is>
      </c>
      <c r="P41" s="6">
        <f>HYPERLINK("https://fin.land.naver.com/articles/2649373448", "매물Link")</f>
        <v/>
      </c>
      <c r="Q41" s="6">
        <f>HYPERLINK("https://map.naver.com/p/search/세종특별자치시 고운동 2085", "지도Link")</f>
        <v/>
      </c>
      <c r="R41" s="6">
        <f>HYPERLINK("http://www.eum.go.kr/web/ar/lu/luLandDet.jsp?pnu=3611011200120850000&amp;isNoScr=script&amp;mode=search", "토지이음")</f>
        <v/>
      </c>
      <c r="S41" s="3" t="inlineStr">
        <is>
          <t>리브</t>
        </is>
      </c>
      <c r="T41" s="3" t="n">
        <v>2</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세종특별자치시 고운동 2085</t>
        </is>
      </c>
      <c r="B42" s="3" t="inlineStr">
        <is>
          <t>제1종전용주거지역</t>
        </is>
      </c>
      <c r="C42" s="3" t="inlineStr">
        <is>
          <t>대</t>
        </is>
      </c>
      <c r="D42" s="3" t="inlineStr">
        <is>
          <t>3</t>
        </is>
      </c>
      <c r="E42" s="3" t="inlineStr">
        <is>
          <t>단독</t>
        </is>
      </c>
      <c r="F42" s="3" t="inlineStr">
        <is>
          <t>매매</t>
        </is>
      </c>
      <c r="G42" s="4" t="n">
        <v>158000</v>
      </c>
      <c r="H42" s="4" t="n">
        <v>0</v>
      </c>
      <c r="I42" s="4" t="n">
        <v>418</v>
      </c>
      <c r="J42" s="4" t="n">
        <v>126</v>
      </c>
      <c r="K42" s="5" t="n">
        <v>1254</v>
      </c>
      <c r="L42" s="4" t="n">
        <v>253</v>
      </c>
      <c r="M42" s="4" t="n">
        <v>77</v>
      </c>
      <c r="N42" s="5" t="n">
        <v>2051.9</v>
      </c>
      <c r="O42" s="3" t="inlineStr">
        <is>
          <t>아르티엠 더블랙 C타입 선임대 완료 급매</t>
        </is>
      </c>
      <c r="P42" s="6">
        <f>HYPERLINK("https://fin.land.naver.com/articles/2645308739", "매물Link")</f>
        <v/>
      </c>
      <c r="Q42" s="6">
        <f>HYPERLINK("https://map.naver.com/p/search/세종특별자치시 고운동 2085", "지도Link")</f>
        <v/>
      </c>
      <c r="R42" s="6">
        <f>HYPERLINK("http://www.eum.go.kr/web/ar/lu/luLandDet.jsp?pnu=3611011200120850000&amp;isNoScr=script&amp;mode=search", "토지이음")</f>
        <v/>
      </c>
      <c r="S42" s="3" t="inlineStr">
        <is>
          <t>찬스</t>
        </is>
      </c>
      <c r="T42" s="3" t="n">
        <v>1</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세종특별자치시 고운동 2085</t>
        </is>
      </c>
      <c r="B43" s="3" t="inlineStr">
        <is>
          <t>제1종전용주거지역</t>
        </is>
      </c>
      <c r="C43" s="3" t="inlineStr">
        <is>
          <t>대</t>
        </is>
      </c>
      <c r="D43" s="3" t="inlineStr">
        <is>
          <t>3</t>
        </is>
      </c>
      <c r="E43" s="3" t="inlineStr">
        <is>
          <t>단독</t>
        </is>
      </c>
      <c r="F43" s="3" t="inlineStr">
        <is>
          <t>매매</t>
        </is>
      </c>
      <c r="G43" s="4" t="n">
        <v>140000</v>
      </c>
      <c r="H43" s="4" t="n">
        <v>0</v>
      </c>
      <c r="I43" s="4" t="n">
        <v>297</v>
      </c>
      <c r="J43" s="4" t="n">
        <v>90</v>
      </c>
      <c r="K43" s="5" t="n">
        <v>1555.6</v>
      </c>
      <c r="L43" s="4" t="n">
        <v>253</v>
      </c>
      <c r="M43" s="4" t="n">
        <v>77</v>
      </c>
      <c r="N43" s="5" t="n">
        <v>1818.2</v>
      </c>
      <c r="O43" s="3" t="inlineStr">
        <is>
          <t>C타입 타운하우스, 급매, 입지 굿, 학교 인접, 협의입주</t>
        </is>
      </c>
      <c r="P43" s="6">
        <f>HYPERLINK("https://fin.land.naver.com/articles/2648909199", "매물Link")</f>
        <v/>
      </c>
      <c r="Q43" s="6">
        <f>HYPERLINK("https://map.naver.com/p/search/세종특별자치시 고운동 2085", "지도Link")</f>
        <v/>
      </c>
      <c r="R43" s="6">
        <f>HYPERLINK("http://www.eum.go.kr/web/ar/lu/luLandDet.jsp?pnu=3611011200120850000&amp;isNoScr=script&amp;mode=search", "토지이음")</f>
        <v/>
      </c>
      <c r="S43" s="3" t="inlineStr">
        <is>
          <t>명진</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세종특별자치시 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HYPERLINK("https://map.naver.com/p/search/세종특별자치시 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세종특별자치시 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HYPERLINK("https://map.naver.com/p/search/세종특별자치시 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세종특별자치시 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HYPERLINK("https://map.naver.com/p/search/세종특별자치시 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세종특별자치시 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nan</t>
        </is>
      </c>
      <c r="P47" s="6">
        <f>HYPERLINK("https://fin.land.naver.com/articles/2646479321", "매물Link")</f>
        <v/>
      </c>
      <c r="Q47" s="6">
        <f>HYPERLINK("https://map.naver.com/p/search/세종특별자치시 고운동 2176", "지도Link")</f>
        <v/>
      </c>
      <c r="R47" s="6">
        <f>HYPERLINK("http://www.eum.go.kr/web/ar/lu/luLandDet.jsp?pnu=3611011200121760000&amp;isNoScr=script&amp;mode=search", "토지이음")</f>
        <v/>
      </c>
      <c r="S47" s="3" t="inlineStr">
        <is>
          <t>세종스타</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세종특별자치시 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한옥마을매매, 시립도서관, 온빛유.초 인접, 급매</t>
        </is>
      </c>
      <c r="P48" s="6">
        <f>HYPERLINK("https://fin.land.naver.com/articles/2645545491", "매물Link")</f>
        <v/>
      </c>
      <c r="Q48" s="6">
        <f>HYPERLINK("https://map.naver.com/p/search/세종특별자치시 고운동 2176", "지도Link")</f>
        <v/>
      </c>
      <c r="R48" s="6">
        <f>HYPERLINK("http://www.eum.go.kr/web/ar/lu/luLandDet.jsp?pnu=3611011200121760000&amp;isNoScr=script&amp;mode=search", "토지이음")</f>
        <v/>
      </c>
      <c r="S48" s="3" t="inlineStr">
        <is>
          <t>명진</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세종특별자치시 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HYPERLINK("https://map.naver.com/p/search/세종특별자치시 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세종특별자치시 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HYPERLINK("https://map.naver.com/p/search/세종특별자치시 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세종특별자치시 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HYPERLINK("https://map.naver.com/p/search/세종특별자치시 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세종특별자치시 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HYPERLINK("https://map.naver.com/p/search/세종특별자치시 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세종특별자치시 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HYPERLINK("https://map.naver.com/p/search/세종특별자치시 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세종특별자치시 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HYPERLINK("https://map.naver.com/p/search/세종특별자치시 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세종특별자치시 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HYPERLINK("https://map.naver.com/p/search/세종특별자치시 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세종특별자치시 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HYPERLINK("https://map.naver.com/p/search/세종특별자치시 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세종특별자치시 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HYPERLINK("https://map.naver.com/p/search/세종특별자치시 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세종특별자치시 고운동 896</t>
        </is>
      </c>
      <c r="B58" s="3" t="inlineStr">
        <is>
          <t>제1종전용주거지역</t>
        </is>
      </c>
      <c r="C58" s="3" t="inlineStr">
        <is>
          <t>대</t>
        </is>
      </c>
      <c r="D58" s="3" t="inlineStr">
        <is>
          <t>2</t>
        </is>
      </c>
      <c r="E58" s="3" t="inlineStr">
        <is>
          <t>단독</t>
        </is>
      </c>
      <c r="F58" s="3" t="inlineStr">
        <is>
          <t>매매</t>
        </is>
      </c>
      <c r="G58" s="4" t="n">
        <v>115580</v>
      </c>
      <c r="H58" s="4" t="n">
        <v>0</v>
      </c>
      <c r="I58" s="4" t="n">
        <v>299</v>
      </c>
      <c r="J58" s="4" t="n">
        <v>90</v>
      </c>
      <c r="K58" s="5" t="n">
        <v>1284.2</v>
      </c>
      <c r="L58" s="4" t="n">
        <v>171</v>
      </c>
      <c r="M58" s="4" t="n">
        <v>52</v>
      </c>
      <c r="N58" s="5" t="n">
        <v>2222.7</v>
      </c>
      <c r="O58" s="3" t="inlineStr">
        <is>
          <t>인기 있는 타운하우스 , 매매추천합니다,</t>
        </is>
      </c>
      <c r="P58" s="6">
        <f>HYPERLINK("https://fin.land.naver.com/articles/2648837063", "매물Link")</f>
        <v/>
      </c>
      <c r="Q58" s="6">
        <f>HYPERLINK("https://map.naver.com/p/search/세종특별자치시 고운동 896", "지도Link")</f>
        <v/>
      </c>
      <c r="R58" s="6">
        <f>HYPERLINK("http://www.eum.go.kr/web/ar/lu/luLandDet.jsp?pnu=3611011200108960000&amp;isNoScr=script&amp;mode=search", "토지이음")</f>
        <v/>
      </c>
      <c r="S58" s="3" t="inlineStr">
        <is>
          <t>세종무지개</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세종특별자치시 고운동 896</t>
        </is>
      </c>
      <c r="B59" s="3" t="inlineStr">
        <is>
          <t>제1종전용주거지역</t>
        </is>
      </c>
      <c r="C59" s="3" t="inlineStr">
        <is>
          <t>대</t>
        </is>
      </c>
      <c r="D59" s="3" t="inlineStr">
        <is>
          <t>1</t>
        </is>
      </c>
      <c r="E59" s="3" t="inlineStr">
        <is>
          <t>단독</t>
        </is>
      </c>
      <c r="F59" s="3" t="inlineStr">
        <is>
          <t>월세</t>
        </is>
      </c>
      <c r="G59" s="4" t="n">
        <v>5000</v>
      </c>
      <c r="H59" s="4" t="n">
        <v>300</v>
      </c>
      <c r="I59" s="4" t="n">
        <v>196</v>
      </c>
      <c r="J59" s="4" t="n">
        <v>59</v>
      </c>
      <c r="K59" s="5" t="n">
        <v>5.1</v>
      </c>
      <c r="L59" s="4" t="n">
        <v>196</v>
      </c>
      <c r="M59" s="4" t="n">
        <v>59</v>
      </c>
      <c r="N59" s="5" t="n">
        <v>5.1</v>
      </c>
      <c r="O59" s="3" t="inlineStr">
        <is>
          <t>귀한 타운하우스 월세, 방3개, 화장실3개, 협의입주가능</t>
        </is>
      </c>
      <c r="P59" s="6">
        <f>HYPERLINK("https://fin.land.naver.com/articles/2649871083", "매물Link")</f>
        <v/>
      </c>
      <c r="Q59" s="6">
        <f>HYPERLINK("https://map.naver.com/p/search/세종특별자치시 고운동 896", "지도Link")</f>
        <v/>
      </c>
      <c r="R59" s="6">
        <f>HYPERLINK("http://www.eum.go.kr/web/ar/lu/luLandDet.jsp?pnu=3611011200108960000&amp;isNoScr=script&amp;mode=search", "토지이음")</f>
        <v/>
      </c>
      <c r="S59" s="3" t="inlineStr">
        <is>
          <t>명진</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세종특별자치시 고운동 896</t>
        </is>
      </c>
      <c r="B60" s="3" t="inlineStr">
        <is>
          <t>제1종전용주거지역</t>
        </is>
      </c>
      <c r="C60" s="3" t="inlineStr">
        <is>
          <t>대</t>
        </is>
      </c>
      <c r="D60" s="3" t="inlineStr">
        <is>
          <t>2</t>
        </is>
      </c>
      <c r="E60" s="3" t="inlineStr">
        <is>
          <t>단독</t>
        </is>
      </c>
      <c r="F60" s="3" t="inlineStr">
        <is>
          <t>매매</t>
        </is>
      </c>
      <c r="G60" s="4" t="n">
        <v>110000</v>
      </c>
      <c r="H60" s="4" t="n">
        <v>0</v>
      </c>
      <c r="I60" s="4" t="n">
        <v>299</v>
      </c>
      <c r="J60" s="4" t="n">
        <v>90</v>
      </c>
      <c r="K60" s="5" t="n">
        <v>1222.2</v>
      </c>
      <c r="L60" s="4" t="n">
        <v>171</v>
      </c>
      <c r="M60" s="4" t="n">
        <v>52</v>
      </c>
      <c r="N60" s="5" t="n">
        <v>2115.4</v>
      </c>
      <c r="O60" s="3" t="inlineStr">
        <is>
          <t>급매 신축 첫입주 전세6.5억 월세1억275만 둘다가능</t>
        </is>
      </c>
      <c r="P60" s="6">
        <f>HYPERLINK("https://fin.land.naver.com/articles/2647125959", "매물Link")</f>
        <v/>
      </c>
      <c r="Q60" s="6">
        <f>HYPERLINK("https://map.naver.com/p/search/세종특별자치시 고운동 896", "지도Link")</f>
        <v/>
      </c>
      <c r="R60" s="6">
        <f>HYPERLINK("http://www.eum.go.kr/web/ar/lu/luLandDet.jsp?pnu=3611011200108960000&amp;isNoScr=script&amp;mode=search", "토지이음")</f>
        <v/>
      </c>
      <c r="S60" s="3" t="inlineStr">
        <is>
          <t>세종스타</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세종특별자치시 고운동 896</t>
        </is>
      </c>
      <c r="B61" s="3" t="inlineStr">
        <is>
          <t>제1종전용주거지역</t>
        </is>
      </c>
      <c r="C61" s="3" t="inlineStr">
        <is>
          <t>대</t>
        </is>
      </c>
      <c r="D61" s="3" t="inlineStr">
        <is>
          <t>2</t>
        </is>
      </c>
      <c r="E61" s="3" t="inlineStr">
        <is>
          <t>단독</t>
        </is>
      </c>
      <c r="F61" s="3" t="inlineStr">
        <is>
          <t>매매</t>
        </is>
      </c>
      <c r="G61" s="4" t="n">
        <v>129734</v>
      </c>
      <c r="H61" s="4" t="n">
        <v>0</v>
      </c>
      <c r="I61" s="4" t="n">
        <v>328</v>
      </c>
      <c r="J61" s="4" t="n">
        <v>99</v>
      </c>
      <c r="K61" s="5" t="n">
        <v>1310.4</v>
      </c>
      <c r="L61" s="4" t="n">
        <v>196</v>
      </c>
      <c r="M61" s="4" t="n">
        <v>59</v>
      </c>
      <c r="N61" s="5" t="n">
        <v>2198.9</v>
      </c>
      <c r="O61" s="3" t="inlineStr">
        <is>
          <t>즉시입주 가능,  인기많은 D타입,  총86p</t>
        </is>
      </c>
      <c r="P61" s="6">
        <f>HYPERLINK("https://fin.land.naver.com/articles/2645252401", "매물Link")</f>
        <v/>
      </c>
      <c r="Q61" s="6">
        <f>HYPERLINK("https://map.naver.com/p/search/세종특별자치시 고운동 896", "지도Link")</f>
        <v/>
      </c>
      <c r="R61" s="6">
        <f>HYPERLINK("http://www.eum.go.kr/web/ar/lu/luLandDet.jsp?pnu=3611011200108960000&amp;isNoScr=script&amp;mode=search", "토지이음")</f>
        <v/>
      </c>
      <c r="S61" s="3" t="inlineStr">
        <is>
          <t>세종무지개</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세종특별자치시 고운동 896</t>
        </is>
      </c>
      <c r="B62" s="3" t="inlineStr">
        <is>
          <t>제1종전용주거지역</t>
        </is>
      </c>
      <c r="C62" s="3" t="inlineStr">
        <is>
          <t>대</t>
        </is>
      </c>
      <c r="D62" s="3" t="inlineStr">
        <is>
          <t>1</t>
        </is>
      </c>
      <c r="E62" s="3" t="inlineStr">
        <is>
          <t>단독</t>
        </is>
      </c>
      <c r="F62" s="3" t="inlineStr">
        <is>
          <t>월세</t>
        </is>
      </c>
      <c r="G62" s="4" t="n">
        <v>5000</v>
      </c>
      <c r="H62" s="4" t="n">
        <v>300</v>
      </c>
      <c r="I62" s="4" t="n">
        <v>196</v>
      </c>
      <c r="J62" s="4" t="n">
        <v>59</v>
      </c>
      <c r="K62" s="5" t="n">
        <v>5.1</v>
      </c>
      <c r="L62" s="4" t="n">
        <v>196</v>
      </c>
      <c r="M62" s="4" t="n">
        <v>59</v>
      </c>
      <c r="N62" s="5" t="n">
        <v>5.1</v>
      </c>
      <c r="O62" s="3" t="inlineStr">
        <is>
          <t>귀한 타운하우스 월세, 협의입주</t>
        </is>
      </c>
      <c r="P62" s="6">
        <f>HYPERLINK("https://fin.land.naver.com/articles/2649591373", "매물Link")</f>
        <v/>
      </c>
      <c r="Q62" s="6">
        <f>HYPERLINK("https://map.naver.com/p/search/세종특별자치시 고운동 896", "지도Link")</f>
        <v/>
      </c>
      <c r="R62" s="6">
        <f>HYPERLINK("http://www.eum.go.kr/web/ar/lu/luLandDet.jsp?pnu=3611011200108960000&amp;isNoScr=script&amp;mode=search", "토지이음")</f>
        <v/>
      </c>
      <c r="S62" s="3" t="inlineStr">
        <is>
          <t>세종무지개</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세종특별자치시 고운동 896</t>
        </is>
      </c>
      <c r="B63" s="3" t="inlineStr">
        <is>
          <t>제1종전용주거지역</t>
        </is>
      </c>
      <c r="C63" s="3" t="inlineStr">
        <is>
          <t>대</t>
        </is>
      </c>
      <c r="D63" s="3" t="inlineStr">
        <is>
          <t>2</t>
        </is>
      </c>
      <c r="E63" s="3" t="inlineStr">
        <is>
          <t>단독</t>
        </is>
      </c>
      <c r="F63" s="3" t="inlineStr">
        <is>
          <t>매매</t>
        </is>
      </c>
      <c r="G63" s="4" t="n">
        <v>102000</v>
      </c>
      <c r="H63" s="4" t="n">
        <v>0</v>
      </c>
      <c r="I63" s="4" t="n">
        <v>299</v>
      </c>
      <c r="J63" s="4" t="n">
        <v>90</v>
      </c>
      <c r="K63" s="5" t="n">
        <v>1133.3</v>
      </c>
      <c r="L63" s="4" t="n">
        <v>171</v>
      </c>
      <c r="M63" s="4" t="n">
        <v>52</v>
      </c>
      <c r="N63" s="5" t="n">
        <v>1961.5</v>
      </c>
      <c r="O63" s="3" t="inlineStr">
        <is>
          <t>마이너스 급매 추천매물. 전세끼고매매</t>
        </is>
      </c>
      <c r="P63" s="6">
        <f>HYPERLINK("https://fin.land.naver.com/articles/2649777229", "매물Link")</f>
        <v/>
      </c>
      <c r="Q63" s="6">
        <f>HYPERLINK("https://map.naver.com/p/search/세종특별자치시 고운동 896", "지도Link")</f>
        <v/>
      </c>
      <c r="R63" s="6">
        <f>HYPERLINK("http://www.eum.go.kr/web/ar/lu/luLandDet.jsp?pnu=3611011200108960000&amp;isNoScr=script&amp;mode=search", "토지이음")</f>
        <v/>
      </c>
      <c r="S63" s="3" t="inlineStr">
        <is>
          <t>세종올리브</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세종특별자치시 고운동 896</t>
        </is>
      </c>
      <c r="B64" s="3" t="inlineStr">
        <is>
          <t>제1종전용주거지역</t>
        </is>
      </c>
      <c r="C64" s="3" t="inlineStr">
        <is>
          <t>대</t>
        </is>
      </c>
      <c r="D64" s="3" t="inlineStr">
        <is>
          <t>2</t>
        </is>
      </c>
      <c r="E64" s="3" t="inlineStr">
        <is>
          <t>단독</t>
        </is>
      </c>
      <c r="F64" s="3" t="inlineStr">
        <is>
          <t>매매</t>
        </is>
      </c>
      <c r="G64" s="4" t="n">
        <v>120000</v>
      </c>
      <c r="H64" s="4" t="n">
        <v>0</v>
      </c>
      <c r="I64" s="4" t="n">
        <v>286</v>
      </c>
      <c r="J64" s="4" t="n">
        <v>87</v>
      </c>
      <c r="K64" s="5" t="n">
        <v>1379.3</v>
      </c>
      <c r="L64" s="4" t="n">
        <v>196</v>
      </c>
      <c r="M64" s="4" t="n">
        <v>59</v>
      </c>
      <c r="N64" s="5" t="n">
        <v>2033.9</v>
      </c>
      <c r="O64" s="3" t="inlineStr">
        <is>
          <t>nan</t>
        </is>
      </c>
      <c r="P64" s="6">
        <f>HYPERLINK("https://fin.land.naver.com/articles/2643971901", "매물Link")</f>
        <v/>
      </c>
      <c r="Q64" s="6">
        <f>HYPERLINK("https://map.naver.com/p/search/세종특별자치시 고운동 896", "지도Link")</f>
        <v/>
      </c>
      <c r="R64" s="6">
        <f>HYPERLINK("http://www.eum.go.kr/web/ar/lu/luLandDet.jsp?pnu=3611011200108960000&amp;isNoScr=script&amp;mode=search", "토지이음")</f>
        <v/>
      </c>
      <c r="S64" s="3" t="inlineStr">
        <is>
          <t>세종스타</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세종특별자치시 고운동 896</t>
        </is>
      </c>
      <c r="B65" s="3" t="inlineStr">
        <is>
          <t>제1종전용주거지역</t>
        </is>
      </c>
      <c r="C65" s="3" t="inlineStr">
        <is>
          <t>대</t>
        </is>
      </c>
      <c r="D65" s="3" t="inlineStr">
        <is>
          <t>2</t>
        </is>
      </c>
      <c r="E65" s="3" t="inlineStr">
        <is>
          <t>전원주택</t>
        </is>
      </c>
      <c r="F65" s="3" t="inlineStr">
        <is>
          <t>매매</t>
        </is>
      </c>
      <c r="G65" s="4" t="n">
        <v>165000</v>
      </c>
      <c r="H65" s="4" t="n">
        <v>0</v>
      </c>
      <c r="I65" s="4" t="n">
        <v>378</v>
      </c>
      <c r="J65" s="4" t="n">
        <v>114</v>
      </c>
      <c r="K65" s="5" t="n">
        <v>1447.4</v>
      </c>
      <c r="L65" s="4" t="n">
        <v>220</v>
      </c>
      <c r="M65" s="4" t="n">
        <v>67</v>
      </c>
      <c r="N65" s="5" t="n">
        <v>2462.7</v>
      </c>
      <c r="O65" s="3" t="inlineStr">
        <is>
          <t>인기있는 D타입 67p 급히매매</t>
        </is>
      </c>
      <c r="P65" s="6">
        <f>HYPERLINK("https://fin.land.naver.com/articles/2647201423", "매물Link")</f>
        <v/>
      </c>
      <c r="Q65" s="6">
        <f>HYPERLINK("https://map.naver.com/p/search/세종특별자치시 고운동 896", "지도Link")</f>
        <v/>
      </c>
      <c r="R65" s="6">
        <f>HYPERLINK("http://www.eum.go.kr/web/ar/lu/luLandDet.jsp?pnu=3611011200108960000&amp;isNoScr=script&amp;mode=search", "토지이음")</f>
        <v/>
      </c>
      <c r="S65" s="3" t="inlineStr">
        <is>
          <t>서초만땅</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세종특별자치시 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HYPERLINK("https://map.naver.com/p/search/세종특별자치시 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세종특별자치시 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HYPERLINK("https://map.naver.com/p/search/세종특별자치시 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세종특별자치시 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HYPERLINK("https://map.naver.com/p/search/세종특별자치시 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세종특별자치시 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HYPERLINK("https://map.naver.com/p/search/세종특별자치시 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세종특별자치시 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HYPERLINK("https://map.naver.com/p/search/세종특별자치시 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세종특별자치시 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HYPERLINK("https://map.naver.com/p/search/세종특별자치시 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세종특별자치시 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546</v>
      </c>
      <c r="J72" s="4" t="n">
        <v>165</v>
      </c>
      <c r="K72" s="5" t="n">
        <v>272.7</v>
      </c>
      <c r="L72" s="4" t="n">
        <v>118</v>
      </c>
      <c r="M72" s="4" t="n">
        <v>36</v>
      </c>
      <c r="N72" s="5" t="n">
        <v>1250</v>
      </c>
      <c r="O72" s="3" t="inlineStr">
        <is>
          <t>세종시근접,즉시입주가능,전원주택과 텃밭있음,</t>
        </is>
      </c>
      <c r="P72" s="6">
        <f>HYPERLINK("https://fin.land.naver.com/articles/2646778259", "매물Link")</f>
        <v/>
      </c>
      <c r="Q72" s="6">
        <f>HYPERLINK("https://map.naver.com/p/search/세종특별자치시 금남면 대박리 313-22", "지도Link")</f>
        <v/>
      </c>
      <c r="R72" s="6">
        <f>HYPERLINK("http://www.eum.go.kr/web/ar/lu/luLandDet.jsp?pnu=3611034034103130022&amp;isNoScr=script&amp;mode=search", "토지이음")</f>
        <v/>
      </c>
      <c r="S72" s="3" t="inlineStr">
        <is>
          <t>담뜰</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세종특별자치시 금남면 대박리 313-22</t>
        </is>
      </c>
      <c r="B73" s="3" t="inlineStr">
        <is>
          <t>보전관리지역</t>
        </is>
      </c>
      <c r="C73" s="3" t="inlineStr">
        <is>
          <t>대</t>
        </is>
      </c>
      <c r="D73" s="3" t="inlineStr">
        <is>
          <t>2</t>
        </is>
      </c>
      <c r="E73" s="3" t="inlineStr">
        <is>
          <t>전원주택</t>
        </is>
      </c>
      <c r="F73" s="3" t="inlineStr">
        <is>
          <t>매매</t>
        </is>
      </c>
      <c r="G73" s="4" t="n">
        <v>45000</v>
      </c>
      <c r="H73" s="4" t="n">
        <v>0</v>
      </c>
      <c r="I73" s="4" t="n">
        <v>350</v>
      </c>
      <c r="J73" s="4" t="n">
        <v>106</v>
      </c>
      <c r="K73" s="5" t="n">
        <v>424.5</v>
      </c>
      <c r="L73" s="4" t="n">
        <v>118</v>
      </c>
      <c r="M73" s="4" t="n">
        <v>36</v>
      </c>
      <c r="N73" s="5" t="n">
        <v>1250</v>
      </c>
      <c r="O73" s="3" t="inlineStr">
        <is>
          <t>급매 전원주택 근생주택 주택X 방3개 욕실2개</t>
        </is>
      </c>
      <c r="P73" s="6">
        <f>HYPERLINK("https://fin.land.naver.com/articles/2643898034", "매물Link")</f>
        <v/>
      </c>
      <c r="Q73" s="6">
        <f>HYPERLINK("https://map.naver.com/p/search/세종특별자치시 금남면 대박리 313-22", "지도Link")</f>
        <v/>
      </c>
      <c r="R73" s="6">
        <f>HYPERLINK("http://www.eum.go.kr/web/ar/lu/luLandDet.jsp?pnu=3611034034103130022&amp;isNoScr=script&amp;mode=search", "토지이음")</f>
        <v/>
      </c>
      <c r="S73" s="3" t="inlineStr">
        <is>
          <t>세종스타</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세종특별자치시 금남면 대박리 313-22</t>
        </is>
      </c>
      <c r="B74" s="3" t="inlineStr">
        <is>
          <t>보전관리지역</t>
        </is>
      </c>
      <c r="C74" s="3" t="inlineStr">
        <is>
          <t>대</t>
        </is>
      </c>
      <c r="D74" s="3" t="inlineStr">
        <is>
          <t>2</t>
        </is>
      </c>
      <c r="E74" s="3" t="inlineStr">
        <is>
          <t>단독</t>
        </is>
      </c>
      <c r="F74" s="3" t="inlineStr">
        <is>
          <t>매매</t>
        </is>
      </c>
      <c r="G74" s="4" t="n">
        <v>45000</v>
      </c>
      <c r="H74" s="4" t="n">
        <v>0</v>
      </c>
      <c r="I74" s="4" t="n">
        <v>350</v>
      </c>
      <c r="J74" s="4" t="n">
        <v>106</v>
      </c>
      <c r="K74" s="5" t="n">
        <v>424.5</v>
      </c>
      <c r="L74" s="4" t="n">
        <v>118</v>
      </c>
      <c r="M74" s="4" t="n">
        <v>36</v>
      </c>
      <c r="N74" s="5" t="n">
        <v>1250</v>
      </c>
      <c r="O74" s="3" t="inlineStr">
        <is>
          <t>2층 단독주택 매매, 텃밭, 즉시입주가능</t>
        </is>
      </c>
      <c r="P74" s="6">
        <f>HYPERLINK("https://fin.land.naver.com/articles/2648839970", "매물Link")</f>
        <v/>
      </c>
      <c r="Q74" s="6">
        <f>HYPERLINK("https://map.naver.com/p/search/세종특별자치시 금남면 대박리 313-22", "지도Link")</f>
        <v/>
      </c>
      <c r="R74" s="6">
        <f>HYPERLINK("http://www.eum.go.kr/web/ar/lu/luLandDet.jsp?pnu=3611034034103130022&amp;isNoScr=script&amp;mode=search", "토지이음")</f>
        <v/>
      </c>
      <c r="S74" s="3" t="inlineStr">
        <is>
          <t>세종무지개</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세종특별자치시 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HYPERLINK("https://map.naver.com/p/search/세종특별자치시 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세종특별자치시 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2년전 전체리모델링, 풀옵션, 방4개, 화장실3개, 창고</t>
        </is>
      </c>
      <c r="P76" s="6">
        <f>HYPERLINK("https://fin.land.naver.com/articles/2646987163", "매물Link")</f>
        <v/>
      </c>
      <c r="Q76" s="6">
        <f>HYPERLINK("https://map.naver.com/p/search/세종특별자치시 금남면 도남리 116-52", "지도Link")</f>
        <v/>
      </c>
      <c r="R76" s="6">
        <f>HYPERLINK("http://www.eum.go.kr/web/ar/lu/luLandDet.jsp?pnu=3611034046101160052&amp;isNoScr=script&amp;mode=search", "토지이음")</f>
        <v/>
      </c>
      <c r="S76" s="3" t="inlineStr">
        <is>
          <t>세종무지개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세종특별자치시 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올수리 프리미엄 전원주택,행복도시 매우 근접한 최상의 단독주택</t>
        </is>
      </c>
      <c r="P77" s="6">
        <f>HYPERLINK("https://fin.land.naver.com/articles/2650160970", "매물Link")</f>
        <v/>
      </c>
      <c r="Q77" s="6">
        <f>HYPERLINK("https://map.naver.com/p/search/세종특별자치시 금남면 도남리 116-52", "지도Link")</f>
        <v/>
      </c>
      <c r="R77" s="6">
        <f>HYPERLINK("http://www.eum.go.kr/web/ar/lu/luLandDet.jsp?pnu=3611034046101160052&amp;isNoScr=script&amp;mode=search", "토지이음")</f>
        <v/>
      </c>
      <c r="S77" s="3" t="inlineStr">
        <is>
          <t>세종신한</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세종특별자치시 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24년도 올인테리어 했어요 전원주택 금강 급매물 내부 수리 산뜻해요</t>
        </is>
      </c>
      <c r="P78" s="6">
        <f>HYPERLINK("https://fin.land.naver.com/articles/2646959678", "매물Link")</f>
        <v/>
      </c>
      <c r="Q78" s="6">
        <f>HYPERLINK("https://map.naver.com/p/search/세종특별자치시 금남면 도남리 116-52", "지도Link")</f>
        <v/>
      </c>
      <c r="R78" s="6">
        <f>HYPERLINK("http://www.eum.go.kr/web/ar/lu/luLandDet.jsp?pnu=3611034046101160052&amp;isNoScr=script&amp;mode=search", "토지이음")</f>
        <v/>
      </c>
      <c r="S78" s="3" t="inlineStr">
        <is>
          <t>세종골드삼성</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세종특별자치시 금남면 도남리 119-1</t>
        </is>
      </c>
      <c r="B79" s="3" t="inlineStr">
        <is>
          <t>계획관리지역</t>
        </is>
      </c>
      <c r="C79" s="3" t="inlineStr">
        <is>
          <t>대</t>
        </is>
      </c>
      <c r="D79" s="3" t="inlineStr">
        <is>
          <t>1</t>
        </is>
      </c>
      <c r="E79" s="3" t="inlineStr">
        <is>
          <t>전원주택</t>
        </is>
      </c>
      <c r="F79" s="3" t="inlineStr">
        <is>
          <t>매매</t>
        </is>
      </c>
      <c r="G79" s="4" t="n">
        <v>55000</v>
      </c>
      <c r="H79" s="4" t="n">
        <v>0</v>
      </c>
      <c r="I79" s="4" t="n">
        <v>520</v>
      </c>
      <c r="J79" s="4" t="n">
        <v>157</v>
      </c>
      <c r="K79" s="5" t="n">
        <v>350.3</v>
      </c>
      <c r="L79" s="4" t="n">
        <v>73</v>
      </c>
      <c r="M79" s="4" t="n">
        <v>22</v>
      </c>
      <c r="N79" s="5" t="n">
        <v>2500</v>
      </c>
      <c r="O79" s="3" t="inlineStr">
        <is>
          <t>세종시 15분거리 단독주택 매매</t>
        </is>
      </c>
      <c r="P79" s="6">
        <f>HYPERLINK("https://fin.land.naver.com/articles/2649924100", "매물Link")</f>
        <v/>
      </c>
      <c r="Q79" s="6">
        <f>HYPERLINK("https://map.naver.com/p/search/세종특별자치시 금남면 도남리 119-1", "지도Link")</f>
        <v/>
      </c>
      <c r="R79" s="6">
        <f>HYPERLINK("http://www.eum.go.kr/web/ar/lu/luLandDet.jsp?pnu=3611034046101190001&amp;isNoScr=script&amp;mode=search", "토지이음")</f>
        <v/>
      </c>
      <c r="S79" s="3" t="inlineStr">
        <is>
          <t>세종태양</t>
        </is>
      </c>
      <c r="T79" s="3" t="n">
        <v>2</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세종특별자치시 금남면 도남리 119-1</t>
        </is>
      </c>
      <c r="B80" s="3" t="inlineStr">
        <is>
          <t>계획관리지역</t>
        </is>
      </c>
      <c r="C80" s="3" t="inlineStr">
        <is>
          <t>대</t>
        </is>
      </c>
      <c r="D80" s="3" t="inlineStr">
        <is>
          <t>1</t>
        </is>
      </c>
      <c r="E80" s="3" t="inlineStr">
        <is>
          <t>상가주택</t>
        </is>
      </c>
      <c r="F80" s="3" t="inlineStr">
        <is>
          <t>매매</t>
        </is>
      </c>
      <c r="G80" s="4" t="n">
        <v>55000</v>
      </c>
      <c r="H80" s="4" t="n">
        <v>0</v>
      </c>
      <c r="I80" s="4" t="n">
        <v>520</v>
      </c>
      <c r="J80" s="4" t="n">
        <v>157</v>
      </c>
      <c r="K80" s="5" t="n">
        <v>350.3</v>
      </c>
      <c r="L80" s="4" t="n">
        <v>73</v>
      </c>
      <c r="M80" s="4" t="n">
        <v>22</v>
      </c>
      <c r="N80" s="5" t="n">
        <v>2500</v>
      </c>
      <c r="O80" s="3" t="inlineStr">
        <is>
          <t>산림박물관 가까운 조용한 힐링 상가주택 ,  주거와 상가 가능</t>
        </is>
      </c>
      <c r="P80" s="6">
        <f>HYPERLINK("https://fin.land.naver.com/articles/2649347300", "매물Link")</f>
        <v/>
      </c>
      <c r="Q80" s="6">
        <f>HYPERLINK("https://map.naver.com/p/search/세종특별자치시 금남면 도남리 119-1", "지도Link")</f>
        <v/>
      </c>
      <c r="R80" s="6">
        <f>HYPERLINK("http://www.eum.go.kr/web/ar/lu/luLandDet.jsp?pnu=3611034046101190001&amp;isNoScr=script&amp;mode=search", "토지이음")</f>
        <v/>
      </c>
      <c r="S80" s="3" t="inlineStr">
        <is>
          <t>세종특별시</t>
        </is>
      </c>
      <c r="T80" s="3" t="n">
        <v>1</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세종특별자치시 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HYPERLINK("https://map.naver.com/p/search/세종특별자치시 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세종특별자치시 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HYPERLINK("https://map.naver.com/p/search/세종특별자치시 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세종특별자치시 금남면 두만리 373</t>
        </is>
      </c>
      <c r="B83" s="3" t="inlineStr">
        <is>
          <t>제1종일반주거지역</t>
        </is>
      </c>
      <c r="C83" s="3" t="inlineStr">
        <is>
          <t>대</t>
        </is>
      </c>
      <c r="D83" s="3" t="inlineStr">
        <is>
          <t>1</t>
        </is>
      </c>
      <c r="E83" s="3" t="inlineStr">
        <is>
          <t>전원주택</t>
        </is>
      </c>
      <c r="F83" s="3" t="inlineStr">
        <is>
          <t>매매</t>
        </is>
      </c>
      <c r="G83" s="4" t="n">
        <v>93000</v>
      </c>
      <c r="H83" s="4" t="n">
        <v>0</v>
      </c>
      <c r="I83" s="4" t="n">
        <v>1051</v>
      </c>
      <c r="J83" s="4" t="n">
        <v>318</v>
      </c>
      <c r="K83" s="5" t="n">
        <v>292.5</v>
      </c>
      <c r="L83" s="4" t="n">
        <v>79</v>
      </c>
      <c r="M83" s="4" t="n">
        <v>24</v>
      </c>
      <c r="N83" s="5" t="n">
        <v>3875</v>
      </c>
      <c r="O83" s="3" t="inlineStr">
        <is>
          <t>급매,제1종일반주거지역,평당293만원</t>
        </is>
      </c>
      <c r="P83" s="6">
        <f>HYPERLINK("https://fin.land.naver.com/articles/2644665215", "매물Link")</f>
        <v/>
      </c>
      <c r="Q83" s="6">
        <f>HYPERLINK("https://map.naver.com/p/search/세종특별자치시 금남면 두만리 373", "지도Link")</f>
        <v/>
      </c>
      <c r="R83" s="6">
        <f>HYPERLINK("http://www.eum.go.kr/web/ar/lu/luLandDet.jsp?pnu=3611034024103730000&amp;isNoScr=script&amp;mode=search", "토지이음")</f>
        <v/>
      </c>
      <c r="S83" s="3" t="inlineStr">
        <is>
          <t>찬스</t>
        </is>
      </c>
      <c r="T83" s="3" t="n">
        <v>1</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세종특별자치시 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56</v>
      </c>
      <c r="M84" s="4" t="n">
        <v>17</v>
      </c>
      <c r="N84" s="5" t="n">
        <v>5470.6</v>
      </c>
      <c r="O84" s="3" t="inlineStr">
        <is>
          <t>좋은 리모델링 및 세종으로도 대전으로도 이동이 편리한, 앞이 국가소유</t>
        </is>
      </c>
      <c r="P84" s="6">
        <f>HYPERLINK("https://fin.land.naver.com/articles/2649388179", "매물Link")</f>
        <v/>
      </c>
      <c r="Q84" s="6">
        <f>HYPERLINK("https://map.naver.com/p/search/세종특별자치시 금남면 두만리 373", "지도Link")</f>
        <v/>
      </c>
      <c r="R84" s="6">
        <f>HYPERLINK("http://www.eum.go.kr/web/ar/lu/luLandDet.jsp?pnu=3611034024103730000&amp;isNoScr=script&amp;mode=search", "토지이음")</f>
        <v/>
      </c>
      <c r="S84" s="3" t="inlineStr">
        <is>
          <t>좋은</t>
        </is>
      </c>
      <c r="T84" s="3" t="n">
        <v>2</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세종특별자치시 금남면 두만리 373</t>
        </is>
      </c>
      <c r="B85" s="3" t="inlineStr">
        <is>
          <t>제1종일반주거지역</t>
        </is>
      </c>
      <c r="C85" s="3" t="inlineStr">
        <is>
          <t>대</t>
        </is>
      </c>
      <c r="D85" s="3" t="inlineStr">
        <is>
          <t>1</t>
        </is>
      </c>
      <c r="E85" s="3" t="inlineStr">
        <is>
          <t>단독</t>
        </is>
      </c>
      <c r="F85" s="3" t="inlineStr">
        <is>
          <t>매매</t>
        </is>
      </c>
      <c r="G85" s="4" t="n">
        <v>93000</v>
      </c>
      <c r="H85" s="4" t="n">
        <v>0</v>
      </c>
      <c r="I85" s="4" t="n">
        <v>1051</v>
      </c>
      <c r="J85" s="4" t="n">
        <v>318</v>
      </c>
      <c r="K85" s="5" t="n">
        <v>292.5</v>
      </c>
      <c r="L85" s="4" t="n">
        <v>79</v>
      </c>
      <c r="M85" s="4" t="n">
        <v>24</v>
      </c>
      <c r="N85" s="5" t="n">
        <v>3875</v>
      </c>
      <c r="O85" s="3" t="inlineStr">
        <is>
          <t>대전세종 중간. 넓은 대지와 흑벽돌로 리모델링한 주택.</t>
        </is>
      </c>
      <c r="P85" s="6">
        <f>HYPERLINK("https://fin.land.naver.com/articles/2645385082", "매물Link")</f>
        <v/>
      </c>
      <c r="Q85" s="6">
        <f>HYPERLINK("https://map.naver.com/p/search/세종특별자치시 금남면 두만리 373", "지도Link")</f>
        <v/>
      </c>
      <c r="R85" s="6">
        <f>HYPERLINK("http://www.eum.go.kr/web/ar/lu/luLandDet.jsp?pnu=3611034024103730000&amp;isNoScr=script&amp;mode=search", "토지이음")</f>
        <v/>
      </c>
      <c r="S85" s="3" t="inlineStr">
        <is>
          <t>세종소담114</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세종특별자치시 금남면 두만리 373</t>
        </is>
      </c>
      <c r="B86" s="3" t="inlineStr">
        <is>
          <t>제1종일반주거지역</t>
        </is>
      </c>
      <c r="C86" s="3" t="inlineStr">
        <is>
          <t>대</t>
        </is>
      </c>
      <c r="D86" s="3" t="inlineStr">
        <is>
          <t>1</t>
        </is>
      </c>
      <c r="E86" s="3" t="inlineStr">
        <is>
          <t>전원주택</t>
        </is>
      </c>
      <c r="F86" s="3" t="inlineStr">
        <is>
          <t>매매</t>
        </is>
      </c>
      <c r="G86" s="4" t="n">
        <v>93000</v>
      </c>
      <c r="H86" s="4" t="n">
        <v>0</v>
      </c>
      <c r="I86" s="4" t="n">
        <v>1051</v>
      </c>
      <c r="J86" s="4" t="n">
        <v>318</v>
      </c>
      <c r="K86" s="5" t="n">
        <v>292.5</v>
      </c>
      <c r="L86" s="4" t="n">
        <v>79</v>
      </c>
      <c r="M86" s="4" t="n">
        <v>24</v>
      </c>
      <c r="N86" s="5" t="n">
        <v>3875</v>
      </c>
      <c r="O86" s="3" t="inlineStr">
        <is>
          <t>남동향으로 지대가 높고 앞에는 공원부지라 조망이 탁 트인 전원주택입니다</t>
        </is>
      </c>
      <c r="P86" s="6">
        <f>HYPERLINK("https://fin.land.naver.com/articles/2649564567", "매물Link")</f>
        <v/>
      </c>
      <c r="Q86" s="6">
        <f>HYPERLINK("https://map.naver.com/p/search/세종특별자치시 금남면 두만리 373", "지도Link")</f>
        <v/>
      </c>
      <c r="R86" s="6">
        <f>HYPERLINK("http://www.eum.go.kr/web/ar/lu/luLandDet.jsp?pnu=3611034024103730000&amp;isNoScr=script&amp;mode=search", "토지이음")</f>
        <v/>
      </c>
      <c r="S86" s="3" t="inlineStr">
        <is>
          <t>스마일세종</t>
        </is>
      </c>
      <c r="T86" s="3" t="n">
        <v>3</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세종특별자치시 금남면 두만리 373</t>
        </is>
      </c>
      <c r="B87" s="3" t="inlineStr">
        <is>
          <t>제1종일반주거지역</t>
        </is>
      </c>
      <c r="C87" s="3" t="inlineStr">
        <is>
          <t>대</t>
        </is>
      </c>
      <c r="D87" s="3" t="inlineStr">
        <is>
          <t>1</t>
        </is>
      </c>
      <c r="E87" s="3" t="inlineStr">
        <is>
          <t>단독</t>
        </is>
      </c>
      <c r="F87" s="3" t="inlineStr">
        <is>
          <t>매매</t>
        </is>
      </c>
      <c r="G87" s="4" t="n">
        <v>93000</v>
      </c>
      <c r="H87" s="4" t="n">
        <v>0</v>
      </c>
      <c r="I87" s="4" t="n">
        <v>1051</v>
      </c>
      <c r="J87" s="4" t="n">
        <v>318</v>
      </c>
      <c r="K87" s="5" t="n">
        <v>292.5</v>
      </c>
      <c r="L87" s="4" t="n">
        <v>79</v>
      </c>
      <c r="M87" s="4" t="n">
        <v>24</v>
      </c>
      <c r="N87" s="5" t="n">
        <v>3875</v>
      </c>
      <c r="O87" s="3" t="inlineStr">
        <is>
          <t>세종 대전 접근성과  텃밭에서  힐링까지 모두 누릴수있는 집</t>
        </is>
      </c>
      <c r="P87" s="6">
        <f>HYPERLINK("https://fin.land.naver.com/articles/2648295919", "매물Link")</f>
        <v/>
      </c>
      <c r="Q87" s="6">
        <f>HYPERLINK("https://map.naver.com/p/search/세종특별자치시 금남면 두만리 373", "지도Link")</f>
        <v/>
      </c>
      <c r="R87" s="6">
        <f>HYPERLINK("http://www.eum.go.kr/web/ar/lu/luLandDet.jsp?pnu=3611034024103730000&amp;isNoScr=script&amp;mode=search", "토지이음")</f>
        <v/>
      </c>
      <c r="S87" s="3" t="inlineStr">
        <is>
          <t>가치잇는</t>
        </is>
      </c>
      <c r="T87" s="3" t="n">
        <v>1</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세종특별자치시 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HYPERLINK("https://map.naver.com/p/search/세종특별자치시 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세종특별자치시 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HYPERLINK("https://map.naver.com/p/search/세종특별자치시 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세종특별자치시 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HYPERLINK("https://map.naver.com/p/search/세종특별자치시 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세종특별자치시 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HYPERLINK("https://map.naver.com/p/search/세종특별자치시 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세종특별자치시 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HYPERLINK("https://map.naver.com/p/search/세종특별자치시 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세종특별자치시 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HYPERLINK("https://map.naver.com/p/search/세종특별자치시 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세종특별자치시 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HYPERLINK("https://map.naver.com/p/search/세종특별자치시 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세종특별자치시 금남면 영곡리 106-19</t>
        </is>
      </c>
      <c r="B95" s="3" t="inlineStr">
        <is>
          <t>보전관리지역</t>
        </is>
      </c>
      <c r="C95" s="3" t="inlineStr">
        <is>
          <t>대</t>
        </is>
      </c>
      <c r="D95" s="3" t="inlineStr">
        <is>
          <t>1</t>
        </is>
      </c>
      <c r="E95" s="3" t="inlineStr">
        <is>
          <t>단독</t>
        </is>
      </c>
      <c r="F95" s="3" t="inlineStr">
        <is>
          <t>매매</t>
        </is>
      </c>
      <c r="G95" s="4" t="n">
        <v>43000</v>
      </c>
      <c r="H95" s="4" t="n">
        <v>0</v>
      </c>
      <c r="I95" s="4" t="n">
        <v>783</v>
      </c>
      <c r="J95" s="4" t="n">
        <v>237</v>
      </c>
      <c r="K95" s="5" t="n">
        <v>181.4</v>
      </c>
      <c r="L95" s="4" t="n">
        <v>162</v>
      </c>
      <c r="M95" s="4" t="n">
        <v>49</v>
      </c>
      <c r="N95" s="5" t="n">
        <v>877.6</v>
      </c>
      <c r="O95" s="3" t="inlineStr">
        <is>
          <t>급매 주변 택지개발한 토지보다 저렴한 신축 전원주택을 급매합니다</t>
        </is>
      </c>
      <c r="P95" s="6">
        <f>HYPERLINK("https://fin.land.naver.com/articles/2649215891", "매물Link")</f>
        <v/>
      </c>
      <c r="Q95" s="6">
        <f>HYPERLINK("https://map.naver.com/p/search/세종특별자치시 금남면 영곡리 106-19", "지도Link")</f>
        <v/>
      </c>
      <c r="R95" s="6">
        <f>HYPERLINK("http://www.eum.go.kr/web/ar/lu/luLandDet.jsp?pnu=3611034041101060019&amp;isNoScr=script&amp;mode=search", "토지이음")</f>
        <v/>
      </c>
      <c r="S95" s="3" t="inlineStr">
        <is>
          <t>스마일세종</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세종특별자치시 금남면 영곡리 106-19</t>
        </is>
      </c>
      <c r="B96" s="3" t="inlineStr">
        <is>
          <t>보전관리지역</t>
        </is>
      </c>
      <c r="C96" s="3" t="inlineStr">
        <is>
          <t>대</t>
        </is>
      </c>
      <c r="D96" s="3" t="inlineStr">
        <is>
          <t>1</t>
        </is>
      </c>
      <c r="E96" s="3" t="inlineStr">
        <is>
          <t>전원주택</t>
        </is>
      </c>
      <c r="F96" s="3" t="inlineStr">
        <is>
          <t>매매</t>
        </is>
      </c>
      <c r="G96" s="4" t="n">
        <v>43000</v>
      </c>
      <c r="H96" s="4" t="n">
        <v>0</v>
      </c>
      <c r="I96" s="4" t="n">
        <v>660</v>
      </c>
      <c r="J96" s="4" t="n">
        <v>200</v>
      </c>
      <c r="K96" s="5" t="n">
        <v>215</v>
      </c>
      <c r="L96" s="4" t="n">
        <v>96</v>
      </c>
      <c r="M96" s="4" t="n">
        <v>29</v>
      </c>
      <c r="N96" s="5" t="n">
        <v>1482.8</v>
      </c>
      <c r="O96" s="3" t="inlineStr">
        <is>
          <t>전원주택지. 대지 전용660도로 97</t>
        </is>
      </c>
      <c r="P96" s="6">
        <f>HYPERLINK("https://fin.land.naver.com/articles/2646473946", "매물Link")</f>
        <v/>
      </c>
      <c r="Q96" s="6">
        <f>HYPERLINK("https://map.naver.com/p/search/세종특별자치시 금남면 영곡리 106-19", "지도Link")</f>
        <v/>
      </c>
      <c r="R96" s="6">
        <f>HYPERLINK("http://www.eum.go.kr/web/ar/lu/luLandDet.jsp?pnu=3611034041101060019&amp;isNoScr=script&amp;mode=search", "토지이음")</f>
        <v/>
      </c>
      <c r="S96" s="3" t="inlineStr">
        <is>
          <t>세종소담114</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세종특별자치시 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HYPERLINK("https://map.naver.com/p/search/세종특별자치시 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세종특별자치시 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HYPERLINK("https://map.naver.com/p/search/세종특별자치시 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세종특별자치시 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HYPERLINK("https://map.naver.com/p/search/세종특별자치시 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세종특별자치시 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HYPERLINK("https://map.naver.com/p/search/세종특별자치시 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세종특별자치시 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HYPERLINK("https://map.naver.com/p/search/세종특별자치시 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세종특별자치시 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HYPERLINK("https://map.naver.com/p/search/세종특별자치시 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세종특별자치시 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HYPERLINK("https://map.naver.com/p/search/세종특별자치시 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세종특별자치시 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HYPERLINK("https://map.naver.com/p/search/세종특별자치시 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세종특별자치시 금남면 용포리 173-4</t>
        </is>
      </c>
      <c r="B105" s="3" t="inlineStr">
        <is>
          <t>제1종일반주거지역</t>
        </is>
      </c>
      <c r="C105" s="3" t="inlineStr">
        <is>
          <t>대</t>
        </is>
      </c>
      <c r="D105" s="3" t="inlineStr">
        <is>
          <t>3</t>
        </is>
      </c>
      <c r="E105" s="3" t="inlineStr">
        <is>
          <t>일반원룸</t>
        </is>
      </c>
      <c r="F105" s="3" t="inlineStr">
        <is>
          <t>월세</t>
        </is>
      </c>
      <c r="G105" s="4" t="n">
        <v>100</v>
      </c>
      <c r="H105" s="4" t="n">
        <v>40</v>
      </c>
      <c r="I105" s="4" t="n">
        <v>35</v>
      </c>
      <c r="J105" s="4" t="n">
        <v>11</v>
      </c>
      <c r="K105" s="5" t="n">
        <v>3.6</v>
      </c>
      <c r="L105" s="4" t="n">
        <v>25</v>
      </c>
      <c r="M105" s="4" t="n">
        <v>8</v>
      </c>
      <c r="N105" s="5" t="n">
        <v>5</v>
      </c>
      <c r="O105" s="3" t="inlineStr">
        <is>
          <t>nan</t>
        </is>
      </c>
      <c r="P105" s="6">
        <f>HYPERLINK("https://fin.land.naver.com/articles/2648806247", "매물Link")</f>
        <v/>
      </c>
      <c r="Q105" s="6">
        <f>HYPERLINK("https://map.naver.com/p/search/세종특별자치시 금남면 용포리 173-4", "지도Link")</f>
        <v/>
      </c>
      <c r="R105" s="6">
        <f>HYPERLINK("http://www.eum.go.kr/web/ar/lu/luLandDet.jsp?pnu=3611034021101730004&amp;isNoScr=script&amp;mode=search", "토지이음")</f>
        <v/>
      </c>
      <c r="S105" s="3" t="inlineStr">
        <is>
          <t>세종금탑</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세종특별자치시 금남면 용포리 173-4</t>
        </is>
      </c>
      <c r="B106" s="3" t="inlineStr">
        <is>
          <t>제1종일반주거지역</t>
        </is>
      </c>
      <c r="C106" s="3" t="inlineStr">
        <is>
          <t>대</t>
        </is>
      </c>
      <c r="D106" s="3" t="inlineStr">
        <is>
          <t>0</t>
        </is>
      </c>
      <c r="E106" s="3" t="inlineStr">
        <is>
          <t>일반원룸</t>
        </is>
      </c>
      <c r="F106" s="3" t="inlineStr">
        <is>
          <t>월세</t>
        </is>
      </c>
      <c r="G106" s="4" t="n">
        <v>100</v>
      </c>
      <c r="H106" s="4" t="n">
        <v>40</v>
      </c>
      <c r="I106" s="4" t="n">
        <v>0</v>
      </c>
      <c r="J106" s="4" t="n">
        <v>0</v>
      </c>
      <c r="K106" s="5" t="n">
        <v>0</v>
      </c>
      <c r="L106" s="4" t="n">
        <v>20</v>
      </c>
      <c r="M106" s="4" t="n">
        <v>6</v>
      </c>
      <c r="N106" s="5" t="n">
        <v>6.7</v>
      </c>
      <c r="O106" s="3" t="inlineStr">
        <is>
          <t>풀옵션 넓은 원룸, 정부청사 세종시청 집현동 교통편리</t>
        </is>
      </c>
      <c r="P106" s="6">
        <f>HYPERLINK("https://fin.land.naver.com/articles/2648488946", "매물Link")</f>
        <v/>
      </c>
      <c r="Q106" s="6">
        <f>HYPERLINK("https://map.naver.com/p/search/세종특별자치시 금남면 용포리 173-4", "지도Link")</f>
        <v/>
      </c>
      <c r="R106" s="6">
        <f>HYPERLINK("http://www.eum.go.kr/web/ar/lu/luLandDet.jsp?pnu=3611034021101730004&amp;isNoScr=script&amp;mode=search", "토지이음")</f>
        <v/>
      </c>
      <c r="S106" s="3" t="inlineStr">
        <is>
          <t>한빛</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세종특별자치시 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HYPERLINK("https://map.naver.com/p/search/세종특별자치시 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세종특별자치시 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HYPERLINK("https://map.naver.com/p/search/세종특별자치시 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세종특별자치시 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HYPERLINK("https://map.naver.com/p/search/세종특별자치시 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세종특별자치시 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HYPERLINK("https://map.naver.com/p/search/세종특별자치시 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세종특별자치시 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HYPERLINK("https://map.naver.com/p/search/세종특별자치시 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세종특별자치시 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HYPERLINK("https://map.naver.com/p/search/세종특별자치시 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세종특별자치시 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HYPERLINK("https://map.naver.com/p/search/세종특별자치시 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세종특별자치시 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HYPERLINK("https://map.naver.com/p/search/세종특별자치시 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세종특별자치시 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HYPERLINK("https://map.naver.com/p/search/세종특별자치시 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세종특별자치시 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HYPERLINK("https://map.naver.com/p/search/세종특별자치시 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세종특별자치시 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HYPERLINK("https://map.naver.com/p/search/세종특별자치시 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세종특별자치시 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HYPERLINK("https://map.naver.com/p/search/세종특별자치시 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세종특별자치시 금남면 용포리 81-10</t>
        </is>
      </c>
      <c r="B119" s="3" t="inlineStr">
        <is>
          <t>제2종일반주거지역</t>
        </is>
      </c>
      <c r="C119" s="3" t="inlineStr">
        <is>
          <t>대</t>
        </is>
      </c>
      <c r="D119" s="3" t="inlineStr">
        <is>
          <t>3</t>
        </is>
      </c>
      <c r="E119" s="3" t="inlineStr">
        <is>
          <t>단독</t>
        </is>
      </c>
      <c r="F119" s="3" t="inlineStr">
        <is>
          <t>매매</t>
        </is>
      </c>
      <c r="G119" s="4" t="n">
        <v>85000</v>
      </c>
      <c r="H119" s="4" t="n">
        <v>0</v>
      </c>
      <c r="I119" s="4" t="n">
        <v>188</v>
      </c>
      <c r="J119" s="4" t="n">
        <v>57</v>
      </c>
      <c r="K119" s="5" t="n">
        <v>1491.2</v>
      </c>
      <c r="L119" s="4" t="n">
        <v>296</v>
      </c>
      <c r="M119" s="4" t="n">
        <v>90</v>
      </c>
      <c r="N119" s="5" t="n">
        <v>944.4</v>
      </c>
      <c r="O119" s="3" t="inlineStr">
        <is>
          <t>공실없이 수익율 좋은 수익형 다중주택 매매 타지역에서도 관리가능 금액협의</t>
        </is>
      </c>
      <c r="P119" s="6">
        <f>HYPERLINK("https://fin.land.naver.com/articles/2644202140", "매물Link")</f>
        <v/>
      </c>
      <c r="Q119" s="6">
        <f>HYPERLINK("https://map.naver.com/p/search/세종특별자치시 금남면 용포리 81-10", "지도Link")</f>
        <v/>
      </c>
      <c r="R119" s="6">
        <f>HYPERLINK("http://www.eum.go.kr/web/ar/lu/luLandDet.jsp?pnu=3611034021100810010&amp;isNoScr=script&amp;mode=search", "토지이음")</f>
        <v/>
      </c>
      <c r="S119" s="3" t="inlineStr">
        <is>
          <t>센트라스탑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세종특별자치시 금남면 용포리 81-10</t>
        </is>
      </c>
      <c r="B120" s="3" t="inlineStr">
        <is>
          <t>제2종일반주거지역</t>
        </is>
      </c>
      <c r="C120" s="3" t="inlineStr">
        <is>
          <t>대</t>
        </is>
      </c>
      <c r="D120" s="3" t="inlineStr">
        <is>
          <t>0</t>
        </is>
      </c>
      <c r="E120" s="3" t="inlineStr">
        <is>
          <t>일반원룸</t>
        </is>
      </c>
      <c r="F120" s="3" t="inlineStr">
        <is>
          <t>월세</t>
        </is>
      </c>
      <c r="G120" s="4" t="n">
        <v>200</v>
      </c>
      <c r="H120" s="4" t="n">
        <v>35</v>
      </c>
      <c r="I120" s="4" t="n">
        <v>30</v>
      </c>
      <c r="J120" s="4" t="n">
        <v>9</v>
      </c>
      <c r="K120" s="5" t="n">
        <v>3.9</v>
      </c>
      <c r="L120" s="4" t="n">
        <v>23</v>
      </c>
      <c r="M120" s="4" t="n">
        <v>7</v>
      </c>
      <c r="N120" s="5" t="n">
        <v>5</v>
      </c>
      <c r="O120" s="3" t="inlineStr">
        <is>
          <t>1인거주추천, 깔끔한 풀옵션원룸,편리합니다</t>
        </is>
      </c>
      <c r="P120" s="6">
        <f>HYPERLINK("https://fin.land.naver.com/articles/2649815386", "매물Link")</f>
        <v/>
      </c>
      <c r="Q120" s="6">
        <f>HYPERLINK("https://map.naver.com/p/search/세종특별자치시 금남면 용포리 81-10", "지도Link")</f>
        <v/>
      </c>
      <c r="R120" s="6">
        <f>HYPERLINK("http://www.eum.go.kr/web/ar/lu/luLandDet.jsp?pnu=3611034021100810010&amp;isNoScr=script&amp;mode=search", "토지이음")</f>
        <v/>
      </c>
      <c r="S120" s="3" t="inlineStr">
        <is>
          <t>세종금탑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세종특별자치시 금남면 용포리 81-5</t>
        </is>
      </c>
      <c r="B121" s="3" t="inlineStr">
        <is>
          <t>제2종일반주거지역</t>
        </is>
      </c>
      <c r="C121" s="3" t="inlineStr">
        <is>
          <t>대</t>
        </is>
      </c>
      <c r="D121" s="3" t="inlineStr">
        <is>
          <t>3</t>
        </is>
      </c>
      <c r="E121" s="3" t="inlineStr">
        <is>
          <t>일반원룸</t>
        </is>
      </c>
      <c r="F121" s="3" t="inlineStr">
        <is>
          <t>월세</t>
        </is>
      </c>
      <c r="G121" s="4" t="n">
        <v>300</v>
      </c>
      <c r="H121" s="4" t="n">
        <v>38</v>
      </c>
      <c r="I121" s="4" t="n">
        <v>25</v>
      </c>
      <c r="J121" s="4" t="n">
        <v>8</v>
      </c>
      <c r="K121" s="5" t="n">
        <v>4.8</v>
      </c>
      <c r="L121" s="4" t="n">
        <v>23</v>
      </c>
      <c r="M121" s="4" t="n">
        <v>7</v>
      </c>
      <c r="N121" s="5" t="n">
        <v>5.4</v>
      </c>
      <c r="O121" s="3" t="inlineStr">
        <is>
          <t>풀옵션 버스승강장가까워요 우체국 주민센터인근</t>
        </is>
      </c>
      <c r="P121" s="6">
        <f>HYPERLINK("https://fin.land.naver.com/articles/2644633534", "매물Link")</f>
        <v/>
      </c>
      <c r="Q121" s="6">
        <f>HYPERLINK("https://map.naver.com/p/search/세종특별자치시 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세종특별자치시 금남면 용포리 81-5</t>
        </is>
      </c>
      <c r="B122" s="3" t="inlineStr">
        <is>
          <t>제2종일반주거지역</t>
        </is>
      </c>
      <c r="C122" s="3" t="inlineStr">
        <is>
          <t>대</t>
        </is>
      </c>
      <c r="D122" s="3" t="inlineStr">
        <is>
          <t>0</t>
        </is>
      </c>
      <c r="E122" s="3" t="inlineStr">
        <is>
          <t>다가구</t>
        </is>
      </c>
      <c r="F122" s="3" t="inlineStr">
        <is>
          <t>월세</t>
        </is>
      </c>
      <c r="G122" s="4" t="n">
        <v>300</v>
      </c>
      <c r="H122" s="4" t="n">
        <v>38</v>
      </c>
      <c r="I122" s="4" t="n">
        <v>50</v>
      </c>
      <c r="J122" s="4" t="n">
        <v>15</v>
      </c>
      <c r="K122" s="5" t="n">
        <v>2.5</v>
      </c>
      <c r="L122" s="4" t="n">
        <v>47</v>
      </c>
      <c r="M122" s="4" t="n">
        <v>14</v>
      </c>
      <c r="N122" s="5" t="n">
        <v>2.7</v>
      </c>
      <c r="O122" s="3" t="inlineStr">
        <is>
          <t>즉시입주 터미널 재래시장  청사가까워요  23제곱입니다</t>
        </is>
      </c>
      <c r="P122" s="6">
        <f>HYPERLINK("https://fin.land.naver.com/articles/2648565381", "매물Link")</f>
        <v/>
      </c>
      <c r="Q122" s="6">
        <f>HYPERLINK("https://map.naver.com/p/search/세종특별자치시 금남면 용포리 81-5", "지도Link")</f>
        <v/>
      </c>
      <c r="R122" s="6">
        <f>HYPERLINK("http://www.eum.go.kr/web/ar/lu/luLandDet.jsp?pnu=3611034021100810005&amp;isNoScr=script&amp;mode=search", "토지이음")</f>
        <v/>
      </c>
      <c r="S122" s="3" t="inlineStr">
        <is>
          <t>성신</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세종특별자치시 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18</v>
      </c>
      <c r="J123" s="4" t="n">
        <v>5</v>
      </c>
      <c r="K123" s="5" t="n">
        <v>7.6</v>
      </c>
      <c r="L123" s="4" t="n">
        <v>16</v>
      </c>
      <c r="M123" s="4" t="n">
        <v>5</v>
      </c>
      <c r="N123" s="5" t="n">
        <v>7.6</v>
      </c>
      <c r="O123" s="3" t="inlineStr">
        <is>
          <t>9월 3일입주, 분리형원룸, 풀옵션 저렴한 관리비</t>
        </is>
      </c>
      <c r="P123" s="6">
        <f>HYPERLINK("https://fin.land.naver.com/articles/2644590846", "매물Link")</f>
        <v/>
      </c>
      <c r="Q123" s="6">
        <f>HYPERLINK("https://map.naver.com/p/search/세종특별자치시 금남면 용포리 81-5", "지도Link")</f>
        <v/>
      </c>
      <c r="R123" s="6">
        <f>HYPERLINK("http://www.eum.go.kr/web/ar/lu/luLandDet.jsp?pnu=3611034021100810005&amp;isNoScr=script&amp;mode=search", "토지이음")</f>
        <v/>
      </c>
      <c r="S123" s="3" t="inlineStr">
        <is>
          <t>세종온정성</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세종특별자치시 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HYPERLINK("https://map.naver.com/p/search/세종특별자치시 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세종특별자치시 금남면 용포리 90-4</t>
        </is>
      </c>
      <c r="B125" s="3" t="inlineStr">
        <is>
          <t>제2종일반주거지역</t>
        </is>
      </c>
      <c r="C125" s="3" t="inlineStr">
        <is>
          <t>대</t>
        </is>
      </c>
      <c r="D125" s="3" t="inlineStr">
        <is>
          <t>2</t>
        </is>
      </c>
      <c r="E125" s="3" t="inlineStr">
        <is>
          <t>상가주택</t>
        </is>
      </c>
      <c r="F125" s="3" t="inlineStr">
        <is>
          <t>월세</t>
        </is>
      </c>
      <c r="G125" s="4" t="n">
        <v>2000</v>
      </c>
      <c r="H125" s="4" t="n">
        <v>70</v>
      </c>
      <c r="I125" s="4" t="n">
        <v>55</v>
      </c>
      <c r="J125" s="4" t="n">
        <v>17</v>
      </c>
      <c r="K125" s="5" t="n">
        <v>4.1</v>
      </c>
      <c r="L125" s="4" t="n">
        <v>55</v>
      </c>
      <c r="M125" s="4" t="n">
        <v>17</v>
      </c>
      <c r="N125" s="5" t="n">
        <v>4.1</v>
      </c>
      <c r="O125" s="3" t="inlineStr">
        <is>
          <t>세종시 금남면 용포리 금남면사무소앞1층상가, 2층복층, 버스정류장 인근</t>
        </is>
      </c>
      <c r="P125" s="6">
        <f>HYPERLINK("https://fin.land.naver.com/articles/2646003596", "매물Link")</f>
        <v/>
      </c>
      <c r="Q125" s="6">
        <f>HYPERLINK("https://map.naver.com/p/search/세종특별자치시 금남면 용포리 90-4", "지도Link")</f>
        <v/>
      </c>
      <c r="R125" s="6">
        <f>HYPERLINK("http://www.eum.go.kr/web/ar/lu/luLandDet.jsp?pnu=3611034021100900004&amp;isNoScr=script&amp;mode=search", "토지이음")</f>
        <v/>
      </c>
      <c r="S125" s="3" t="inlineStr">
        <is>
          <t>세종</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세종특별자치시 금남면 용포리 90-4</t>
        </is>
      </c>
      <c r="B126" s="3" t="inlineStr">
        <is>
          <t>제2종일반주거지역</t>
        </is>
      </c>
      <c r="C126" s="3" t="inlineStr">
        <is>
          <t>대</t>
        </is>
      </c>
      <c r="D126" s="3" t="inlineStr">
        <is>
          <t>2</t>
        </is>
      </c>
      <c r="E126" s="3" t="inlineStr">
        <is>
          <t>단독</t>
        </is>
      </c>
      <c r="F126" s="3" t="inlineStr">
        <is>
          <t>월세</t>
        </is>
      </c>
      <c r="G126" s="4" t="n">
        <v>2000</v>
      </c>
      <c r="H126" s="4" t="n">
        <v>70</v>
      </c>
      <c r="I126" s="4" t="n">
        <v>0</v>
      </c>
      <c r="J126" s="4" t="n">
        <v>0</v>
      </c>
      <c r="K126" s="5" t="n">
        <v>0</v>
      </c>
      <c r="L126" s="4" t="n">
        <v>55</v>
      </c>
      <c r="M126" s="4" t="n">
        <v>17</v>
      </c>
      <c r="N126" s="5" t="n">
        <v>4.1</v>
      </c>
      <c r="O126" s="3" t="inlineStr">
        <is>
          <t>3룸 복층,협의입주, 버스정류장 1분, 도배 장판완료</t>
        </is>
      </c>
      <c r="P126" s="6">
        <f>HYPERLINK("https://fin.land.naver.com/articles/2645116263", "매물Link")</f>
        <v/>
      </c>
      <c r="Q126" s="6">
        <f>HYPERLINK("https://map.naver.com/p/search/세종특별자치시 금남면 용포리 90-4", "지도Link")</f>
        <v/>
      </c>
      <c r="R126" s="6">
        <f>HYPERLINK("http://www.eum.go.kr/web/ar/lu/luLandDet.jsp?pnu=3611034021100900004&amp;isNoScr=script&amp;mode=search", "토지이음")</f>
        <v/>
      </c>
      <c r="S126" s="3" t="inlineStr">
        <is>
          <t>세종온정성</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세종특별자치시 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HYPERLINK("https://map.naver.com/p/search/세종특별자치시 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세종특별자치시 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HYPERLINK("https://map.naver.com/p/search/세종특별자치시 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세종특별자치시 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HYPERLINK("https://map.naver.com/p/search/세종특별자치시 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세종특별자치시 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HYPERLINK("https://map.naver.com/p/search/세종특별자치시 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세종특별자치시 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HYPERLINK("https://map.naver.com/p/search/세종특별자치시 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세종특별자치시 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HYPERLINK("https://map.naver.com/p/search/세종특별자치시 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세종특별자치시 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HYPERLINK("https://map.naver.com/p/search/세종특별자치시 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세종특별자치시 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HYPERLINK("https://map.naver.com/p/search/세종특별자치시 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세종특별자치시 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HYPERLINK("https://map.naver.com/p/search/세종특별자치시 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세종특별자치시 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HYPERLINK("https://map.naver.com/p/search/세종특별자치시 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세종특별자치시 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HYPERLINK("https://map.naver.com/p/search/세종특별자치시 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세종특별자치시 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HYPERLINK("https://map.naver.com/p/search/세종특별자치시 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세종특별자치시 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HYPERLINK("https://map.naver.com/p/search/세종특별자치시 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세종특별자치시 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HYPERLINK("https://map.naver.com/p/search/세종특별자치시 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세종특별자치시 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HYPERLINK("https://map.naver.com/p/search/세종특별자치시 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세종특별자치시 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HYPERLINK("https://map.naver.com/p/search/세종특별자치시 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세종특별자치시 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HYPERLINK("https://map.naver.com/p/search/세종특별자치시 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세종특별자치시 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HYPERLINK("https://map.naver.com/p/search/세종특별자치시 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세종특별자치시 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HYPERLINK("https://map.naver.com/p/search/세종특별자치시 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세종특별자치시 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HYPERLINK("https://map.naver.com/p/search/세종특별자치시 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세종특별자치시 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HYPERLINK("https://map.naver.com/p/search/세종특별자치시 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세종특별자치시 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HYPERLINK("https://map.naver.com/p/search/세종특별자치시 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세종특별자치시 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HYPERLINK("https://map.naver.com/p/search/세종특별자치시 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세종특별자치시 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HYPERLINK("https://map.naver.com/p/search/세종특별자치시 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세종특별자치시 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HYPERLINK("https://map.naver.com/p/search/세종특별자치시 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세종특별자치시 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HYPERLINK("https://map.naver.com/p/search/세종특별자치시 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세종특별자치시 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HYPERLINK("https://map.naver.com/p/search/세종특별자치시 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세종특별자치시 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HYPERLINK("https://map.naver.com/p/search/세종특별자치시 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세종특별자치시 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HYPERLINK("https://map.naver.com/p/search/세종특별자치시 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세종특별자치시 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HYPERLINK("https://map.naver.com/p/search/세종특별자치시 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세종특별자치시 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HYPERLINK("https://map.naver.com/p/search/세종특별자치시 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세종특별자치시 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HYPERLINK("https://map.naver.com/p/search/세종특별자치시 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세종특별자치시 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HYPERLINK("https://map.naver.com/p/search/세종특별자치시 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세종특별자치시 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HYPERLINK("https://map.naver.com/p/search/세종특별자치시 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세종특별자치시 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HYPERLINK("https://map.naver.com/p/search/세종특별자치시 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세종특별자치시 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HYPERLINK("https://map.naver.com/p/search/세종특별자치시 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세종특별자치시 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HYPERLINK("https://map.naver.com/p/search/세종특별자치시 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세종특별자치시 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HYPERLINK("https://map.naver.com/p/search/세종특별자치시 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세종특별자치시 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HYPERLINK("https://map.naver.com/p/search/세종특별자치시 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세종특별자치시 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HYPERLINK("https://map.naver.com/p/search/세종특별자치시 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세종특별자치시 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HYPERLINK("https://map.naver.com/p/search/세종특별자치시 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세종특별자치시 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HYPERLINK("https://map.naver.com/p/search/세종특별자치시 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세종특별자치시 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HYPERLINK("https://map.naver.com/p/search/세종특별자치시 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세종특별자치시 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HYPERLINK("https://map.naver.com/p/search/세종특별자치시 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세종특별자치시 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HYPERLINK("https://map.naver.com/p/search/세종특별자치시 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세종특별자치시 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HYPERLINK("https://map.naver.com/p/search/세종특별자치시 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세종특별자치시 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HYPERLINK("https://map.naver.com/p/search/세종특별자치시 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세종특별자치시 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HYPERLINK("https://map.naver.com/p/search/세종특별자치시 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세종특별자치시 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HYPERLINK("https://map.naver.com/p/search/세종특별자치시 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세종특별자치시 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HYPERLINK("https://map.naver.com/p/search/세종특별자치시 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세종특별자치시 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HYPERLINK("https://map.naver.com/p/search/세종특별자치시 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세종특별자치시 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HYPERLINK("https://map.naver.com/p/search/세종특별자치시 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세종특별자치시 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HYPERLINK("https://map.naver.com/p/search/세종특별자치시 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세종특별자치시 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HYPERLINK("https://map.naver.com/p/search/세종특별자치시 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세종특별자치시 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HYPERLINK("https://map.naver.com/p/search/세종특별자치시 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세종특별자치시 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HYPERLINK("https://map.naver.com/p/search/세종특별자치시 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세종특별자치시 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HYPERLINK("https://map.naver.com/p/search/세종특별자치시 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세종특별자치시 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HYPERLINK("https://map.naver.com/p/search/세종특별자치시 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세종특별자치시 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HYPERLINK("https://map.naver.com/p/search/세종특별자치시 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세종특별자치시 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HYPERLINK("https://map.naver.com/p/search/세종특별자치시 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세종특별자치시 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HYPERLINK("https://map.naver.com/p/search/세종특별자치시 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세종특별자치시 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HYPERLINK("https://map.naver.com/p/search/세종특별자치시 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세종특별자치시 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HYPERLINK("https://map.naver.com/p/search/세종특별자치시 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세종특별자치시 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HYPERLINK("https://map.naver.com/p/search/세종특별자치시 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세종특별자치시 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HYPERLINK("https://map.naver.com/p/search/세종특별자치시 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세종특별자치시 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HYPERLINK("https://map.naver.com/p/search/세종특별자치시 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세종특별자치시 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HYPERLINK("https://map.naver.com/p/search/세종특별자치시 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세종특별자치시 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HYPERLINK("https://map.naver.com/p/search/세종특별자치시 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세종특별자치시 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HYPERLINK("https://map.naver.com/p/search/세종특별자치시 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세종특별자치시 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HYPERLINK("https://map.naver.com/p/search/세종특별자치시 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세종특별자치시 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HYPERLINK("https://map.naver.com/p/search/세종특별자치시 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세종특별자치시 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HYPERLINK("https://map.naver.com/p/search/세종특별자치시 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세종특별자치시 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HYPERLINK("https://map.naver.com/p/search/세종특별자치시 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세종특별자치시 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HYPERLINK("https://map.naver.com/p/search/세종특별자치시 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세종특별자치시 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HYPERLINK("https://map.naver.com/p/search/세종특별자치시 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세종특별자치시 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HYPERLINK("https://map.naver.com/p/search/세종특별자치시 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세종특별자치시 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HYPERLINK("https://map.naver.com/p/search/세종특별자치시 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세종특별자치시 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HYPERLINK("https://map.naver.com/p/search/세종특별자치시 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세종특별자치시 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HYPERLINK("https://map.naver.com/p/search/세종특별자치시 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세종특별자치시 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HYPERLINK("https://map.naver.com/p/search/세종특별자치시 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세종특별자치시 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HYPERLINK("https://map.naver.com/p/search/세종특별자치시 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세종특별자치시 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HYPERLINK("https://map.naver.com/p/search/세종특별자치시 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세종특별자치시 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HYPERLINK("https://map.naver.com/p/search/세종특별자치시 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세종특별자치시 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HYPERLINK("https://map.naver.com/p/search/세종특별자치시 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세종특별자치시 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HYPERLINK("https://map.naver.com/p/search/세종특별자치시 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세종특별자치시 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HYPERLINK("https://map.naver.com/p/search/세종특별자치시 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세종특별자치시 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HYPERLINK("https://map.naver.com/p/search/세종특별자치시 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세종특별자치시 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HYPERLINK("https://map.naver.com/p/search/세종특별자치시 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세종특별자치시 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HYPERLINK("https://map.naver.com/p/search/세종특별자치시 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세종특별자치시 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HYPERLINK("https://map.naver.com/p/search/세종특별자치시 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세종특별자치시 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HYPERLINK("https://map.naver.com/p/search/세종특별자치시 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세종특별자치시 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HYPERLINK("https://map.naver.com/p/search/세종특별자치시 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세종특별자치시 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HYPERLINK("https://map.naver.com/p/search/세종특별자치시 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세종특별자치시 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HYPERLINK("https://map.naver.com/p/search/세종특별자치시 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세종특별자치시 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HYPERLINK("https://map.naver.com/p/search/세종특별자치시 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세종특별자치시 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HYPERLINK("https://map.naver.com/p/search/세종특별자치시 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세종특별자치시 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HYPERLINK("https://map.naver.com/p/search/세종특별자치시 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세종특별자치시 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HYPERLINK("https://map.naver.com/p/search/세종특별자치시 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세종특별자치시 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HYPERLINK("https://map.naver.com/p/search/세종특별자치시 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세종특별자치시 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HYPERLINK("https://map.naver.com/p/search/세종특별자치시 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세종특별자치시 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HYPERLINK("https://map.naver.com/p/search/세종특별자치시 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세종특별자치시 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HYPERLINK("https://map.naver.com/p/search/세종특별자치시 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세종특별자치시 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HYPERLINK("https://map.naver.com/p/search/세종특별자치시 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세종특별자치시 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HYPERLINK("https://map.naver.com/p/search/세종특별자치시 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세종특별자치시 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HYPERLINK("https://map.naver.com/p/search/세종특별자치시 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세종특별자치시 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HYPERLINK("https://map.naver.com/p/search/세종특별자치시 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세종특별자치시 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HYPERLINK("https://map.naver.com/p/search/세종특별자치시 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세종특별자치시 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HYPERLINK("https://map.naver.com/p/search/세종특별자치시 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세종특별자치시 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HYPERLINK("https://map.naver.com/p/search/세종특별자치시 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세종특별자치시 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HYPERLINK("https://map.naver.com/p/search/세종특별자치시 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세종특별자치시 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HYPERLINK("https://map.naver.com/p/search/세종특별자치시 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세종특별자치시 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HYPERLINK("https://map.naver.com/p/search/세종특별자치시 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세종특별자치시 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HYPERLINK("https://map.naver.com/p/search/세종특별자치시 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세종특별자치시 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HYPERLINK("https://map.naver.com/p/search/세종특별자치시 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세종특별자치시 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HYPERLINK("https://map.naver.com/p/search/세종특별자치시 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세종특별자치시 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HYPERLINK("https://map.naver.com/p/search/세종특별자치시 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세종특별자치시 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HYPERLINK("https://map.naver.com/p/search/세종특별자치시 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세종특별자치시 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HYPERLINK("https://map.naver.com/p/search/세종특별자치시 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세종특별자치시 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HYPERLINK("https://map.naver.com/p/search/세종특별자치시 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세종특별자치시 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마당이 넓은 예쁜 집, 텃밭, 남향</t>
        </is>
      </c>
      <c r="P246" s="6">
        <f>HYPERLINK("https://fin.land.naver.com/articles/2645492924", "매물Link")</f>
        <v/>
      </c>
      <c r="Q246" s="6">
        <f>HYPERLINK("https://map.naver.com/p/search/세종특별자치시 도담동 518", "지도Link")</f>
        <v/>
      </c>
      <c r="R246" s="6">
        <f>HYPERLINK("http://www.eum.go.kr/web/ar/lu/luLandDet.jsp?pnu=3611011400105180000&amp;isNoScr=script&amp;mode=search", "토지이음")</f>
        <v/>
      </c>
      <c r="S246" s="3" t="inlineStr">
        <is>
          <t>명진</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세종특별자치시 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도담동 말발굽 주택</t>
        </is>
      </c>
      <c r="P247" s="6">
        <f>HYPERLINK("https://fin.land.naver.com/articles/2649456924", "매물Link")</f>
        <v/>
      </c>
      <c r="Q247" s="6">
        <f>HYPERLINK("https://map.naver.com/p/search/세종특별자치시 도담동 518", "지도Link")</f>
        <v/>
      </c>
      <c r="R247" s="6">
        <f>HYPERLINK("http://www.eum.go.kr/web/ar/lu/luLandDet.jsp?pnu=3611011400105180000&amp;isNoScr=script&amp;mode=search", "토지이음")</f>
        <v/>
      </c>
      <c r="S247" s="3" t="inlineStr">
        <is>
          <t>세종삼촌</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세종특별자치시 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2층과 다락방사용, 외부계단이용, 전기태양광설치, 전세로 가능</t>
        </is>
      </c>
      <c r="P248" s="6">
        <f>HYPERLINK("https://fin.land.naver.com/articles/2645583986", "매물Link")</f>
        <v/>
      </c>
      <c r="Q248" s="6">
        <f>HYPERLINK("https://map.naver.com/p/search/세종특별자치시 도담동 601", "지도Link")</f>
        <v/>
      </c>
      <c r="R248" s="6">
        <f>HYPERLINK("http://www.eum.go.kr/web/ar/lu/luLandDet.jsp?pnu=3611011400106010000&amp;isNoScr=script&amp;mode=search", "토지이음")</f>
        <v/>
      </c>
      <c r="S248" s="3" t="inlineStr">
        <is>
          <t>OK세종</t>
        </is>
      </c>
      <c r="T248" s="3" t="n">
        <v>1</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세종특별자치시 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2층만,3억전세가능,2층전용출입문,다락방,테라스,방축천 충대병원 도보</t>
        </is>
      </c>
      <c r="P249" s="6">
        <f>HYPERLINK("https://fin.land.naver.com/articles/2647449152", "매물Link")</f>
        <v/>
      </c>
      <c r="Q249" s="6">
        <f>HYPERLINK("https://map.naver.com/p/search/세종특별자치시 도담동 601", "지도Link")</f>
        <v/>
      </c>
      <c r="R249" s="6">
        <f>HYPERLINK("http://www.eum.go.kr/web/ar/lu/luLandDet.jsp?pnu=3611011400106010000&amp;isNoScr=script&amp;mode=search", "토지이음")</f>
        <v/>
      </c>
      <c r="S249" s="3" t="inlineStr">
        <is>
          <t>태복</t>
        </is>
      </c>
      <c r="T249" s="3" t="n">
        <v>2</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세종특별자치시 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HYPERLINK("https://map.naver.com/p/search/세종특별자치시 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세종특별자치시 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HYPERLINK("https://map.naver.com/p/search/세종특별자치시 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세종특별자치시 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도담동 최고입지 귀한 단독주택 넓은평수 목조주택</t>
        </is>
      </c>
      <c r="P252" s="6">
        <f>HYPERLINK("https://fin.land.naver.com/articles/2648380127", "매물Link")</f>
        <v/>
      </c>
      <c r="Q252" s="6">
        <f>HYPERLINK("https://map.naver.com/p/search/세종특별자치시 도담동 698", "지도Link")</f>
        <v/>
      </c>
      <c r="R252" s="6">
        <f>HYPERLINK("http://www.eum.go.kr/web/ar/lu/luLandDet.jsp?pnu=3611011400106980000&amp;isNoScr=script&amp;mode=search", "토지이음")</f>
        <v/>
      </c>
      <c r="S252" s="3" t="inlineStr">
        <is>
          <t>세종스타</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세종특별자치시 도담동 698</t>
        </is>
      </c>
      <c r="B253" s="3" t="inlineStr">
        <is>
          <t>제1종전용주거지역</t>
        </is>
      </c>
      <c r="C253" s="3" t="inlineStr">
        <is>
          <t>대</t>
        </is>
      </c>
      <c r="D253" s="3" t="inlineStr">
        <is>
          <t>2</t>
        </is>
      </c>
      <c r="E253" s="3" t="inlineStr">
        <is>
          <t>단독</t>
        </is>
      </c>
      <c r="F253" s="3" t="inlineStr">
        <is>
          <t>매매</t>
        </is>
      </c>
      <c r="G253" s="4" t="n">
        <v>230000</v>
      </c>
      <c r="H253" s="4" t="n">
        <v>0</v>
      </c>
      <c r="I253" s="4" t="n">
        <v>324</v>
      </c>
      <c r="J253" s="4" t="n">
        <v>98</v>
      </c>
      <c r="K253" s="5" t="n">
        <v>2346.9</v>
      </c>
      <c r="L253" s="4" t="n">
        <v>199</v>
      </c>
      <c r="M253" s="4" t="n">
        <v>60</v>
      </c>
      <c r="N253" s="5" t="n">
        <v>3833.3</v>
      </c>
      <c r="O253" s="3" t="inlineStr">
        <is>
          <t>명성공인, 방4, 화4, 풀에어컨, 다락까지 있는 위치 좋은 추천 매물</t>
        </is>
      </c>
      <c r="P253" s="6">
        <f>HYPERLINK("https://fin.land.naver.com/articles/2650066777", "매물Link")</f>
        <v/>
      </c>
      <c r="Q253" s="6">
        <f>HYPERLINK("https://map.naver.com/p/search/세종특별자치시 도담동 698", "지도Link")</f>
        <v/>
      </c>
      <c r="R253" s="6">
        <f>HYPERLINK("http://www.eum.go.kr/web/ar/lu/luLandDet.jsp?pnu=3611011400106980000&amp;isNoScr=script&amp;mode=search", "토지이음")</f>
        <v/>
      </c>
      <c r="S253" s="3" t="inlineStr">
        <is>
          <t>명성</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세종특별자치시 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HYPERLINK("https://map.naver.com/p/search/세종특별자치시 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세종특별자치시 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전용60.3p, 방4개, 화장실4개, 입지 좋은 단독주택</t>
        </is>
      </c>
      <c r="P255" s="6">
        <f>HYPERLINK("https://fin.land.naver.com/articles/2648833272", "매물Link")</f>
        <v/>
      </c>
      <c r="Q255" s="6">
        <f>HYPERLINK("https://map.naver.com/p/search/세종특별자치시 도담동 698", "지도Link")</f>
        <v/>
      </c>
      <c r="R255" s="6">
        <f>HYPERLINK("http://www.eum.go.kr/web/ar/lu/luLandDet.jsp?pnu=3611011400106980000&amp;isNoScr=script&amp;mode=search", "토지이음")</f>
        <v/>
      </c>
      <c r="S255" s="3" t="inlineStr">
        <is>
          <t>세종무지개</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세종특별자치시 도담동 698</t>
        </is>
      </c>
      <c r="B256" s="3" t="inlineStr">
        <is>
          <t>제1종전용주거지역</t>
        </is>
      </c>
      <c r="C256" s="3" t="inlineStr">
        <is>
          <t>대</t>
        </is>
      </c>
      <c r="D256" s="3" t="inlineStr">
        <is>
          <t>2</t>
        </is>
      </c>
      <c r="E256" s="3" t="inlineStr">
        <is>
          <t>단독</t>
        </is>
      </c>
      <c r="F256" s="3" t="inlineStr">
        <is>
          <t>매매</t>
        </is>
      </c>
      <c r="G256" s="4" t="n">
        <v>225000</v>
      </c>
      <c r="H256" s="4" t="n">
        <v>0</v>
      </c>
      <c r="I256" s="4" t="n">
        <v>324</v>
      </c>
      <c r="J256" s="4" t="n">
        <v>98</v>
      </c>
      <c r="K256" s="5" t="n">
        <v>2295.9</v>
      </c>
      <c r="L256" s="4" t="n">
        <v>199</v>
      </c>
      <c r="M256" s="4" t="n">
        <v>60</v>
      </c>
      <c r="N256" s="5" t="n">
        <v>3750</v>
      </c>
      <c r="O256" s="3" t="inlineStr">
        <is>
          <t>자재 하나 하나 고급진  단독 매매</t>
        </is>
      </c>
      <c r="P256" s="6">
        <f>HYPERLINK("https://fin.land.naver.com/articles/2644279347", "매물Link")</f>
        <v/>
      </c>
      <c r="Q256" s="6">
        <f>HYPERLINK("https://map.naver.com/p/search/세종특별자치시 도담동 698", "지도Link")</f>
        <v/>
      </c>
      <c r="R256" s="6">
        <f>HYPERLINK("http://www.eum.go.kr/web/ar/lu/luLandDet.jsp?pnu=3611011400106980000&amp;isNoScr=script&amp;mode=search", "토지이음")</f>
        <v/>
      </c>
      <c r="S256" s="3" t="inlineStr">
        <is>
          <t>THE행복</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세종특별자치시 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HYPERLINK("https://map.naver.com/p/search/세종특별자치시 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세종특별자치시 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HYPERLINK("https://map.naver.com/p/search/세종특별자치시 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세종특별자치시 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HYPERLINK("https://map.naver.com/p/search/세종특별자치시 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세종특별자치시 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HYPERLINK("https://map.naver.com/p/search/세종특별자치시 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세종특별자치시 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HYPERLINK("https://map.naver.com/p/search/세종특별자치시 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세종특별자치시 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HYPERLINK("https://map.naver.com/p/search/세종특별자치시 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세종특별자치시 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HYPERLINK("https://map.naver.com/p/search/세종특별자치시 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세종특별자치시 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HYPERLINK("https://map.naver.com/p/search/세종특별자치시 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세종특별자치시 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HYPERLINK("https://map.naver.com/p/search/세종특별자치시 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세종특별자치시 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HYPERLINK("https://map.naver.com/p/search/세종특별자치시 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세종특별자치시 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HYPERLINK("https://map.naver.com/p/search/세종특별자치시 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세종특별자치시 부강면 부강리 463-10</t>
        </is>
      </c>
      <c r="B268" s="3" t="inlineStr">
        <is>
          <t>제2종일반주거지역</t>
        </is>
      </c>
      <c r="C268" s="3" t="inlineStr">
        <is>
          <t>대</t>
        </is>
      </c>
      <c r="D268" s="3" t="inlineStr">
        <is>
          <t>3</t>
        </is>
      </c>
      <c r="E268" s="3" t="inlineStr">
        <is>
          <t>다가구</t>
        </is>
      </c>
      <c r="F268" s="3" t="inlineStr">
        <is>
          <t>전세</t>
        </is>
      </c>
      <c r="G268" s="4" t="n">
        <v>5000</v>
      </c>
      <c r="H268" s="4" t="n">
        <v>0</v>
      </c>
      <c r="I268" s="4" t="n">
        <v>45</v>
      </c>
      <c r="J268" s="4" t="n">
        <v>14</v>
      </c>
      <c r="K268" s="5" t="n">
        <v>357.1</v>
      </c>
      <c r="L268" s="4" t="n">
        <v>35</v>
      </c>
      <c r="M268" s="4" t="n">
        <v>11</v>
      </c>
      <c r="N268" s="5" t="n">
        <v>454.5</v>
      </c>
      <c r="O268" s="3" t="inlineStr">
        <is>
          <t>주차용이, 편의시설 초근접 1.5룸</t>
        </is>
      </c>
      <c r="P268" s="6">
        <f>HYPERLINK("https://fin.land.naver.com/articles/2645479915", "매물Link")</f>
        <v/>
      </c>
      <c r="Q268" s="6">
        <f>HYPERLINK("https://map.naver.com/p/search/세종특별자치시 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세종특별자치시 부강면 부강리 463-10</t>
        </is>
      </c>
      <c r="B269" s="3" t="inlineStr">
        <is>
          <t>제2종일반주거지역</t>
        </is>
      </c>
      <c r="C269" s="3" t="inlineStr">
        <is>
          <t>대</t>
        </is>
      </c>
      <c r="D269" s="3" t="inlineStr">
        <is>
          <t>2</t>
        </is>
      </c>
      <c r="E269" s="3" t="inlineStr">
        <is>
          <t>일반원룸</t>
        </is>
      </c>
      <c r="F269" s="3" t="inlineStr">
        <is>
          <t>월세</t>
        </is>
      </c>
      <c r="G269" s="4" t="n">
        <v>500</v>
      </c>
      <c r="H269" s="4" t="n">
        <v>45</v>
      </c>
      <c r="I269" s="4" t="n">
        <v>45</v>
      </c>
      <c r="J269" s="4" t="n">
        <v>14</v>
      </c>
      <c r="K269" s="5" t="n">
        <v>3.2</v>
      </c>
      <c r="L269" s="4" t="n">
        <v>30</v>
      </c>
      <c r="M269" s="4" t="n">
        <v>9</v>
      </c>
      <c r="N269" s="5" t="n">
        <v>5</v>
      </c>
      <c r="O269" s="3" t="inlineStr">
        <is>
          <t>편의시설 초근접 풀옵션 1.5룸</t>
        </is>
      </c>
      <c r="P269" s="6">
        <f>HYPERLINK("https://fin.land.naver.com/articles/2647229439", "매물Link")</f>
        <v/>
      </c>
      <c r="Q269" s="6">
        <f>HYPERLINK("https://map.naver.com/p/search/세종특별자치시 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세종특별자치시 부강면 부강리 463-10</t>
        </is>
      </c>
      <c r="B270" s="3" t="inlineStr">
        <is>
          <t>제2종일반주거지역</t>
        </is>
      </c>
      <c r="C270" s="3" t="inlineStr">
        <is>
          <t>대</t>
        </is>
      </c>
      <c r="D270" s="3" t="inlineStr">
        <is>
          <t>2</t>
        </is>
      </c>
      <c r="E270" s="3" t="inlineStr">
        <is>
          <t>일반원룸</t>
        </is>
      </c>
      <c r="F270" s="3" t="inlineStr">
        <is>
          <t>월세</t>
        </is>
      </c>
      <c r="G270" s="4" t="n">
        <v>300</v>
      </c>
      <c r="H270" s="4" t="n">
        <v>50</v>
      </c>
      <c r="I270" s="4" t="n">
        <v>45</v>
      </c>
      <c r="J270" s="4" t="n">
        <v>14</v>
      </c>
      <c r="K270" s="5" t="n">
        <v>3.6</v>
      </c>
      <c r="L270" s="4" t="n">
        <v>33</v>
      </c>
      <c r="M270" s="4" t="n">
        <v>10</v>
      </c>
      <c r="N270" s="5" t="n">
        <v>5</v>
      </c>
      <c r="O270" s="3" t="inlineStr">
        <is>
          <t>편의시설 초근접 풀옵션 1.5룸</t>
        </is>
      </c>
      <c r="P270" s="6">
        <f>HYPERLINK("https://fin.land.naver.com/articles/2647216211", "매물Link")</f>
        <v/>
      </c>
      <c r="Q270" s="6">
        <f>HYPERLINK("https://map.naver.com/p/search/세종특별자치시 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세종특별자치시 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HYPERLINK("https://map.naver.com/p/search/세종특별자치시 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세종특별자치시 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HYPERLINK("https://map.naver.com/p/search/세종특별자치시 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세종특별자치시 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HYPERLINK("https://map.naver.com/p/search/세종특별자치시 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세종특별자치시 새롬동 569</t>
        </is>
      </c>
      <c r="B274" s="3" t="inlineStr">
        <is>
          <t>제1종전용주거지역</t>
        </is>
      </c>
      <c r="C274" s="3" t="inlineStr">
        <is>
          <t>대</t>
        </is>
      </c>
      <c r="D274" s="3" t="inlineStr">
        <is>
          <t>1</t>
        </is>
      </c>
      <c r="E274" s="3" t="inlineStr">
        <is>
          <t>단독</t>
        </is>
      </c>
      <c r="F274" s="3" t="inlineStr">
        <is>
          <t>전세</t>
        </is>
      </c>
      <c r="G274" s="4" t="n">
        <v>80000</v>
      </c>
      <c r="H274" s="4" t="n">
        <v>0</v>
      </c>
      <c r="I274" s="4" t="n">
        <v>0</v>
      </c>
      <c r="J274" s="4" t="n">
        <v>0</v>
      </c>
      <c r="K274" s="5" t="n">
        <v>0</v>
      </c>
      <c r="L274" s="4" t="n">
        <v>190</v>
      </c>
      <c r="M274" s="4" t="n">
        <v>57</v>
      </c>
      <c r="N274" s="5" t="n">
        <v>1403.5</v>
      </c>
      <c r="O274" s="3" t="inlineStr">
        <is>
          <t>3층넓은 C타입 융자무 매물전량확보중</t>
        </is>
      </c>
      <c r="P274" s="6">
        <f>HYPERLINK("https://fin.land.naver.com/articles/2649619230", "매물Link")</f>
        <v/>
      </c>
      <c r="Q274" s="6">
        <f>HYPERLINK("https://map.naver.com/p/search/세종특별자치시 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세종특별자치시 새롬동 569</t>
        </is>
      </c>
      <c r="B275" s="3" t="inlineStr">
        <is>
          <t>제1종전용주거지역</t>
        </is>
      </c>
      <c r="C275" s="3" t="inlineStr">
        <is>
          <t>대</t>
        </is>
      </c>
      <c r="D275" s="3" t="inlineStr">
        <is>
          <t>3</t>
        </is>
      </c>
      <c r="E275" s="3" t="inlineStr">
        <is>
          <t>단독</t>
        </is>
      </c>
      <c r="F275" s="3" t="inlineStr">
        <is>
          <t>매매</t>
        </is>
      </c>
      <c r="G275" s="4" t="n">
        <v>160000</v>
      </c>
      <c r="H275" s="4" t="n">
        <v>0</v>
      </c>
      <c r="I275" s="4" t="n">
        <v>215</v>
      </c>
      <c r="J275" s="4" t="n">
        <v>65</v>
      </c>
      <c r="K275" s="5" t="n">
        <v>2461.5</v>
      </c>
      <c r="L275" s="4" t="n">
        <v>190</v>
      </c>
      <c r="M275" s="4" t="n">
        <v>57</v>
      </c>
      <c r="N275" s="5" t="n">
        <v>2807</v>
      </c>
      <c r="O275" s="3" t="inlineStr">
        <is>
          <t>맨앞 위치최상 B타입 남향  월세도가능 매물전량확보</t>
        </is>
      </c>
      <c r="P275" s="6">
        <f>HYPERLINK("https://fin.land.naver.com/articles/2649316792", "매물Link")</f>
        <v/>
      </c>
      <c r="Q275" s="6">
        <f>HYPERLINK("https://map.naver.com/p/search/세종특별자치시 새롬동 569", "지도Link")</f>
        <v/>
      </c>
      <c r="R275" s="6">
        <f>HYPERLINK("http://www.eum.go.kr/web/ar/lu/luLandDet.jsp?pnu=3611010800105690000&amp;isNoScr=script&amp;mode=search", "토지이음")</f>
        <v/>
      </c>
      <c r="S275" s="3" t="inlineStr">
        <is>
          <t>세종스타</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세종특별자치시 새롬동 569</t>
        </is>
      </c>
      <c r="B276" s="3" t="inlineStr">
        <is>
          <t>제1종전용주거지역</t>
        </is>
      </c>
      <c r="C276" s="3" t="inlineStr">
        <is>
          <t>대</t>
        </is>
      </c>
      <c r="D276" s="3" t="inlineStr">
        <is>
          <t>1</t>
        </is>
      </c>
      <c r="E276" s="3" t="inlineStr">
        <is>
          <t>단독</t>
        </is>
      </c>
      <c r="F276" s="3" t="inlineStr">
        <is>
          <t>전세</t>
        </is>
      </c>
      <c r="G276" s="4" t="n">
        <v>80000</v>
      </c>
      <c r="H276" s="4" t="n">
        <v>0</v>
      </c>
      <c r="I276" s="4" t="n">
        <v>0</v>
      </c>
      <c r="J276" s="4" t="n">
        <v>0</v>
      </c>
      <c r="K276" s="5" t="n">
        <v>0</v>
      </c>
      <c r="L276" s="4" t="n">
        <v>190</v>
      </c>
      <c r="M276" s="4" t="n">
        <v>57</v>
      </c>
      <c r="N276" s="5" t="n">
        <v>1403.5</v>
      </c>
      <c r="O276" s="3" t="inlineStr">
        <is>
          <t>협의입주 에컨풀 각세대엘베 개인정원</t>
        </is>
      </c>
      <c r="P276" s="6">
        <f>HYPERLINK("https://fin.land.naver.com/articles/2649501454", "매물Link")</f>
        <v/>
      </c>
      <c r="Q276" s="6">
        <f>HYPERLINK("https://map.naver.com/p/search/세종특별자치시 새롬동 569", "지도Link")</f>
        <v/>
      </c>
      <c r="R276" s="6">
        <f>HYPERLINK("http://www.eum.go.kr/web/ar/lu/luLandDet.jsp?pnu=3611010800105690000&amp;isNoScr=script&amp;mode=search", "토지이음")</f>
        <v/>
      </c>
      <c r="S276" s="3" t="inlineStr">
        <is>
          <t>아리랑</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세종특별자치시 새롬동 569</t>
        </is>
      </c>
      <c r="B277" s="3" t="inlineStr">
        <is>
          <t>제1종전용주거지역</t>
        </is>
      </c>
      <c r="C277" s="3" t="inlineStr">
        <is>
          <t>대</t>
        </is>
      </c>
      <c r="D277" s="3" t="inlineStr">
        <is>
          <t>3</t>
        </is>
      </c>
      <c r="E277" s="3" t="inlineStr">
        <is>
          <t>단독</t>
        </is>
      </c>
      <c r="F277" s="3" t="inlineStr">
        <is>
          <t>매매</t>
        </is>
      </c>
      <c r="G277" s="4" t="n">
        <v>144000</v>
      </c>
      <c r="H277" s="4" t="n">
        <v>0</v>
      </c>
      <c r="I277" s="4" t="n">
        <v>215</v>
      </c>
      <c r="J277" s="4" t="n">
        <v>65</v>
      </c>
      <c r="K277" s="5" t="n">
        <v>2215.4</v>
      </c>
      <c r="L277" s="4" t="n">
        <v>190</v>
      </c>
      <c r="M277" s="4" t="n">
        <v>57</v>
      </c>
      <c r="N277" s="5" t="n">
        <v>2526.3</v>
      </c>
      <c r="O277" s="3" t="inlineStr">
        <is>
          <t>급매 원분양가 신축첫입주 남향 선호C타입</t>
        </is>
      </c>
      <c r="P277" s="6">
        <f>HYPERLINK("https://fin.land.naver.com/articles/2649480042", "매물Link")</f>
        <v/>
      </c>
      <c r="Q277" s="6">
        <f>HYPERLINK("https://map.naver.com/p/search/세종특별자치시 새롬동 569", "지도Link")</f>
        <v/>
      </c>
      <c r="R277" s="6">
        <f>HYPERLINK("http://www.eum.go.kr/web/ar/lu/luLandDet.jsp?pnu=3611010800105690000&amp;isNoScr=script&amp;mode=search", "토지이음")</f>
        <v/>
      </c>
      <c r="S277" s="3" t="inlineStr">
        <is>
          <t>세종스타</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세종특별자치시 새롬동 569</t>
        </is>
      </c>
      <c r="B278" s="3" t="inlineStr">
        <is>
          <t>제1종전용주거지역</t>
        </is>
      </c>
      <c r="C278" s="3" t="inlineStr">
        <is>
          <t>대</t>
        </is>
      </c>
      <c r="D278" s="3" t="inlineStr">
        <is>
          <t>3</t>
        </is>
      </c>
      <c r="E278" s="3" t="inlineStr">
        <is>
          <t>단독</t>
        </is>
      </c>
      <c r="F278" s="3" t="inlineStr">
        <is>
          <t>매매</t>
        </is>
      </c>
      <c r="G278" s="4" t="n">
        <v>164200</v>
      </c>
      <c r="H278" s="4" t="n">
        <v>0</v>
      </c>
      <c r="I278" s="4" t="n">
        <v>215</v>
      </c>
      <c r="J278" s="4" t="n">
        <v>65</v>
      </c>
      <c r="K278" s="5" t="n">
        <v>2526.2</v>
      </c>
      <c r="L278" s="4" t="n">
        <v>190</v>
      </c>
      <c r="M278" s="4" t="n">
        <v>57</v>
      </c>
      <c r="N278" s="5" t="n">
        <v>2880.7</v>
      </c>
      <c r="O278" s="3" t="inlineStr">
        <is>
          <t>남향,신축,전세가능,교통 상권 학군 우수</t>
        </is>
      </c>
      <c r="P278" s="6">
        <f>HYPERLINK("https://fin.land.naver.com/articles/2649047581", "매물Link")</f>
        <v/>
      </c>
      <c r="Q278" s="6">
        <f>HYPERLINK("https://map.naver.com/p/search/세종특별자치시 새롬동 569", "지도Link")</f>
        <v/>
      </c>
      <c r="R278" s="6">
        <f>HYPERLINK("http://www.eum.go.kr/web/ar/lu/luLandDet.jsp?pnu=3611010800105690000&amp;isNoScr=script&amp;mode=search", "토지이음")</f>
        <v/>
      </c>
      <c r="S278" s="3" t="inlineStr">
        <is>
          <t>해밀마을공간</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세종특별자치시 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HYPERLINK("https://map.naver.com/p/search/세종특별자치시 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세종특별자치시 새롬동 569</t>
        </is>
      </c>
      <c r="B280" s="3" t="inlineStr">
        <is>
          <t>제1종전용주거지역</t>
        </is>
      </c>
      <c r="C280" s="3" t="inlineStr">
        <is>
          <t>대</t>
        </is>
      </c>
      <c r="D280" s="3" t="inlineStr">
        <is>
          <t>1</t>
        </is>
      </c>
      <c r="E280" s="3" t="inlineStr">
        <is>
          <t>단독</t>
        </is>
      </c>
      <c r="F280" s="3" t="inlineStr">
        <is>
          <t>매매</t>
        </is>
      </c>
      <c r="G280" s="4" t="n">
        <v>144271</v>
      </c>
      <c r="H280" s="4" t="n">
        <v>0</v>
      </c>
      <c r="I280" s="4" t="n">
        <v>215</v>
      </c>
      <c r="J280" s="4" t="n">
        <v>65</v>
      </c>
      <c r="K280" s="5" t="n">
        <v>2219.6</v>
      </c>
      <c r="L280" s="4" t="n">
        <v>190</v>
      </c>
      <c r="M280" s="4" t="n">
        <v>57</v>
      </c>
      <c r="N280" s="5" t="n">
        <v>2531.1</v>
      </c>
      <c r="O280" s="3" t="inlineStr">
        <is>
          <t>럭셔리 단독주택,최고의 입지,실내엘리베이터,테라스,창고,옥상정원</t>
        </is>
      </c>
      <c r="P280" s="6">
        <f>HYPERLINK("https://fin.land.naver.com/articles/2648882484", "매물Link")</f>
        <v/>
      </c>
      <c r="Q280" s="6">
        <f>HYPERLINK("https://map.naver.com/p/search/세종특별자치시 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세종특별자치시 새롬동 569</t>
        </is>
      </c>
      <c r="B281" s="3" t="inlineStr">
        <is>
          <t>제1종전용주거지역</t>
        </is>
      </c>
      <c r="C281" s="3" t="inlineStr">
        <is>
          <t>대</t>
        </is>
      </c>
      <c r="D281" s="3" t="inlineStr">
        <is>
          <t>0</t>
        </is>
      </c>
      <c r="E281" s="3" t="inlineStr">
        <is>
          <t>단독</t>
        </is>
      </c>
      <c r="F281" s="3" t="inlineStr">
        <is>
          <t>전세</t>
        </is>
      </c>
      <c r="G281" s="4" t="n">
        <v>85000</v>
      </c>
      <c r="H281" s="4" t="n">
        <v>0</v>
      </c>
      <c r="I281" s="4" t="n">
        <v>197</v>
      </c>
      <c r="J281" s="4" t="n">
        <v>60</v>
      </c>
      <c r="K281" s="5" t="n">
        <v>1416.7</v>
      </c>
      <c r="L281" s="4" t="n">
        <v>190</v>
      </c>
      <c r="M281" s="4" t="n">
        <v>57</v>
      </c>
      <c r="N281" s="5" t="n">
        <v>1491.2</v>
      </c>
      <c r="O281" s="3" t="inlineStr">
        <is>
          <t>타입과 입지 모두 인기위치. 풀시스텡에어컨. 엘레베이터</t>
        </is>
      </c>
      <c r="P281" s="6">
        <f>HYPERLINK("https://fin.land.naver.com/articles/2649313351", "매물Link")</f>
        <v/>
      </c>
      <c r="Q281" s="6">
        <f>HYPERLINK("https://map.naver.com/p/search/세종특별자치시 새롬동 569", "지도Link")</f>
        <v/>
      </c>
      <c r="R281" s="6">
        <f>HYPERLINK("http://www.eum.go.kr/web/ar/lu/luLandDet.jsp?pnu=3611010800105690000&amp;isNoScr=script&amp;mode=search", "토지이음")</f>
        <v/>
      </c>
      <c r="S281" s="3" t="inlineStr">
        <is>
          <t>세종금밭</t>
        </is>
      </c>
      <c r="T281" s="3" t="n">
        <v>1</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세종특별자치시 새롬동 569</t>
        </is>
      </c>
      <c r="B282" s="3" t="inlineStr">
        <is>
          <t>제1종전용주거지역</t>
        </is>
      </c>
      <c r="C282" s="3" t="inlineStr">
        <is>
          <t>대</t>
        </is>
      </c>
      <c r="D282" s="3" t="inlineStr">
        <is>
          <t>0</t>
        </is>
      </c>
      <c r="E282" s="3" t="inlineStr">
        <is>
          <t>단독</t>
        </is>
      </c>
      <c r="F282" s="3" t="inlineStr">
        <is>
          <t>월세</t>
        </is>
      </c>
      <c r="G282" s="4" t="n">
        <v>20000</v>
      </c>
      <c r="H282" s="4" t="n">
        <v>300</v>
      </c>
      <c r="I282" s="4" t="n">
        <v>197</v>
      </c>
      <c r="J282" s="4" t="n">
        <v>60</v>
      </c>
      <c r="K282" s="5" t="n">
        <v>5</v>
      </c>
      <c r="L282" s="4" t="n">
        <v>190</v>
      </c>
      <c r="M282" s="4" t="n">
        <v>57</v>
      </c>
      <c r="N282" s="5" t="n">
        <v>5.3</v>
      </c>
      <c r="O282" s="3" t="inlineStr">
        <is>
          <t>타입과 입지 모두 인기위치. 풀시스텡에어컨. 엘레베이터</t>
        </is>
      </c>
      <c r="P282" s="6">
        <f>HYPERLINK("https://fin.land.naver.com/articles/2649313541", "매물Link")</f>
        <v/>
      </c>
      <c r="Q282" s="6">
        <f>HYPERLINK("https://map.naver.com/p/search/세종특별자치시 새롬동 569", "지도Link")</f>
        <v/>
      </c>
      <c r="R282" s="6">
        <f>HYPERLINK("http://www.eum.go.kr/web/ar/lu/luLandDet.jsp?pnu=3611010800105690000&amp;isNoScr=script&amp;mode=search", "토지이음")</f>
        <v/>
      </c>
      <c r="S282" s="3" t="inlineStr">
        <is>
          <t>세종금밭</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세종특별자치시 새롬동 569</t>
        </is>
      </c>
      <c r="B283" s="3" t="inlineStr">
        <is>
          <t>제1종전용주거지역</t>
        </is>
      </c>
      <c r="C283" s="3" t="inlineStr">
        <is>
          <t>대</t>
        </is>
      </c>
      <c r="D283" s="3" t="inlineStr">
        <is>
          <t>3</t>
        </is>
      </c>
      <c r="E283" s="3" t="inlineStr">
        <is>
          <t>단독</t>
        </is>
      </c>
      <c r="F283" s="3" t="inlineStr">
        <is>
          <t>매매</t>
        </is>
      </c>
      <c r="G283" s="4" t="n">
        <v>150000</v>
      </c>
      <c r="H283" s="4" t="n">
        <v>0</v>
      </c>
      <c r="I283" s="4" t="n">
        <v>215</v>
      </c>
      <c r="J283" s="4" t="n">
        <v>65</v>
      </c>
      <c r="K283" s="5" t="n">
        <v>2307.7</v>
      </c>
      <c r="L283" s="4" t="n">
        <v>190</v>
      </c>
      <c r="M283" s="4" t="n">
        <v>57</v>
      </c>
      <c r="N283" s="5" t="n">
        <v>2631.6</v>
      </c>
      <c r="O283" s="3" t="inlineStr">
        <is>
          <t>남향 신축단독주택 지하1층~지상3층 옥상 테라스있음. 개별엘리베이터유</t>
        </is>
      </c>
      <c r="P283" s="6">
        <f>HYPERLINK("https://fin.land.naver.com/articles/2649716963", "매물Link")</f>
        <v/>
      </c>
      <c r="Q283" s="6">
        <f>HYPERLINK("https://map.naver.com/p/search/세종특별자치시 새롬동 569", "지도Link")</f>
        <v/>
      </c>
      <c r="R283" s="6">
        <f>HYPERLINK("http://www.eum.go.kr/web/ar/lu/luLandDet.jsp?pnu=3611010800105690000&amp;isNoScr=script&amp;mode=search", "토지이음")</f>
        <v/>
      </c>
      <c r="S283" s="3" t="inlineStr">
        <is>
          <t>고운동리치세종</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세종특별자치시 새롬동 569</t>
        </is>
      </c>
      <c r="B284" s="3" t="inlineStr">
        <is>
          <t>제1종전용주거지역</t>
        </is>
      </c>
      <c r="C284" s="3" t="inlineStr">
        <is>
          <t>대</t>
        </is>
      </c>
      <c r="D284" s="3" t="inlineStr">
        <is>
          <t>1</t>
        </is>
      </c>
      <c r="E284" s="3" t="inlineStr">
        <is>
          <t>단독</t>
        </is>
      </c>
      <c r="F284" s="3" t="inlineStr">
        <is>
          <t>전세</t>
        </is>
      </c>
      <c r="G284" s="4" t="n">
        <v>100000</v>
      </c>
      <c r="H284" s="4" t="n">
        <v>0</v>
      </c>
      <c r="I284" s="4" t="n">
        <v>197</v>
      </c>
      <c r="J284" s="4" t="n">
        <v>60</v>
      </c>
      <c r="K284" s="5" t="n">
        <v>1666.7</v>
      </c>
      <c r="L284" s="4" t="n">
        <v>190</v>
      </c>
      <c r="M284" s="4" t="n">
        <v>57</v>
      </c>
      <c r="N284" s="5" t="n">
        <v>1754.4</v>
      </c>
      <c r="O284" s="3" t="inlineStr">
        <is>
          <t>상권과 교통 ,학군, 최고의 입지</t>
        </is>
      </c>
      <c r="P284" s="6">
        <f>HYPERLINK("https://fin.land.naver.com/articles/2645585831", "매물Link")</f>
        <v/>
      </c>
      <c r="Q284" s="6">
        <f>HYPERLINK("https://map.naver.com/p/search/세종특별자치시 새롬동 569", "지도Link")</f>
        <v/>
      </c>
      <c r="R284" s="6">
        <f>HYPERLINK("http://www.eum.go.kr/web/ar/lu/luLandDet.jsp?pnu=3611010800105690000&amp;isNoScr=script&amp;mode=search", "토지이음")</f>
        <v/>
      </c>
      <c r="S284" s="3" t="inlineStr">
        <is>
          <t>해밀마을공간</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세종특별자치시 새롬동 569</t>
        </is>
      </c>
      <c r="B285" s="3" t="inlineStr">
        <is>
          <t>제1종전용주거지역</t>
        </is>
      </c>
      <c r="C285" s="3" t="inlineStr">
        <is>
          <t>대</t>
        </is>
      </c>
      <c r="D285" s="3" t="inlineStr">
        <is>
          <t>1</t>
        </is>
      </c>
      <c r="E285" s="3" t="inlineStr">
        <is>
          <t>단독</t>
        </is>
      </c>
      <c r="F285" s="3" t="inlineStr">
        <is>
          <t>전세</t>
        </is>
      </c>
      <c r="G285" s="4" t="n">
        <v>85000</v>
      </c>
      <c r="H285" s="4" t="n">
        <v>0</v>
      </c>
      <c r="I285" s="4" t="n">
        <v>0</v>
      </c>
      <c r="J285" s="4" t="n">
        <v>0</v>
      </c>
      <c r="K285" s="5" t="n">
        <v>0</v>
      </c>
      <c r="L285" s="4" t="n">
        <v>190</v>
      </c>
      <c r="M285" s="4" t="n">
        <v>57</v>
      </c>
      <c r="N285" s="5" t="n">
        <v>1491.2</v>
      </c>
      <c r="O285" s="3" t="inlineStr">
        <is>
          <t>3층안방확장. B타입. 남향. 빌트인냉장고. 방3개 욕실3개</t>
        </is>
      </c>
      <c r="P285" s="6">
        <f>HYPERLINK("https://fin.land.naver.com/articles/2645790329", "매물Link")</f>
        <v/>
      </c>
      <c r="Q285" s="6">
        <f>HYPERLINK("https://map.naver.com/p/search/세종특별자치시 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세종특별자치시 새롬동 569</t>
        </is>
      </c>
      <c r="B286" s="3" t="inlineStr">
        <is>
          <t>제1종전용주거지역</t>
        </is>
      </c>
      <c r="C286" s="3" t="inlineStr">
        <is>
          <t>대</t>
        </is>
      </c>
      <c r="D286" s="3" t="inlineStr">
        <is>
          <t>3</t>
        </is>
      </c>
      <c r="E286" s="3" t="inlineStr">
        <is>
          <t>단독</t>
        </is>
      </c>
      <c r="F286" s="3" t="inlineStr">
        <is>
          <t>매매</t>
        </is>
      </c>
      <c r="G286" s="4" t="n">
        <v>147000</v>
      </c>
      <c r="H286" s="4" t="n">
        <v>0</v>
      </c>
      <c r="I286" s="4" t="n">
        <v>215</v>
      </c>
      <c r="J286" s="4" t="n">
        <v>65</v>
      </c>
      <c r="K286" s="5" t="n">
        <v>2261.5</v>
      </c>
      <c r="L286" s="4" t="n">
        <v>190</v>
      </c>
      <c r="M286" s="4" t="n">
        <v>57</v>
      </c>
      <c r="N286" s="5" t="n">
        <v>2578.9</v>
      </c>
      <c r="O286" s="3" t="inlineStr">
        <is>
          <t>A타입 남서향 상가 마트 가까움 추가조율가능</t>
        </is>
      </c>
      <c r="P286" s="6">
        <f>HYPERLINK("https://fin.land.naver.com/articles/2645790729", "매물Link")</f>
        <v/>
      </c>
      <c r="Q286" s="6">
        <f>HYPERLINK("https://map.naver.com/p/search/세종특별자치시 새롬동 569", "지도Link")</f>
        <v/>
      </c>
      <c r="R286" s="6">
        <f>HYPERLINK("http://www.eum.go.kr/web/ar/lu/luLandDet.jsp?pnu=3611010800105690000&amp;isNoScr=script&amp;mode=search", "토지이음")</f>
        <v/>
      </c>
      <c r="S286" s="3" t="inlineStr">
        <is>
          <t>세종스타</t>
        </is>
      </c>
      <c r="T286" s="3" t="n">
        <v>2</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세종특별자치시 새롬동 569</t>
        </is>
      </c>
      <c r="B287" s="3" t="inlineStr">
        <is>
          <t>제1종전용주거지역</t>
        </is>
      </c>
      <c r="C287" s="3" t="inlineStr">
        <is>
          <t>대</t>
        </is>
      </c>
      <c r="D287" s="3" t="inlineStr">
        <is>
          <t>3</t>
        </is>
      </c>
      <c r="E287" s="3" t="inlineStr">
        <is>
          <t>단독</t>
        </is>
      </c>
      <c r="F287" s="3" t="inlineStr">
        <is>
          <t>매매</t>
        </is>
      </c>
      <c r="G287" s="4" t="n">
        <v>170000</v>
      </c>
      <c r="H287" s="4" t="n">
        <v>0</v>
      </c>
      <c r="I287" s="4" t="n">
        <v>191</v>
      </c>
      <c r="J287" s="4" t="n">
        <v>58</v>
      </c>
      <c r="K287" s="5" t="n">
        <v>2931</v>
      </c>
      <c r="L287" s="4" t="n">
        <v>191</v>
      </c>
      <c r="M287" s="4" t="n">
        <v>58</v>
      </c>
      <c r="N287" s="5" t="n">
        <v>2931</v>
      </c>
      <c r="O287" s="3" t="inlineStr">
        <is>
          <t>전.월세도 가능, 신축 새입주, 개별 엘레베이터, 지하창고</t>
        </is>
      </c>
      <c r="P287" s="6">
        <f>HYPERLINK("https://fin.land.naver.com/articles/2649026564", "매물Link")</f>
        <v/>
      </c>
      <c r="Q287" s="6">
        <f>HYPERLINK("https://map.naver.com/p/search/세종특별자치시 새롬동 569", "지도Link")</f>
        <v/>
      </c>
      <c r="R287" s="6">
        <f>HYPERLINK("http://www.eum.go.kr/web/ar/lu/luLandDet.jsp?pnu=3611010800105690000&amp;isNoScr=script&amp;mode=search", "토지이음")</f>
        <v/>
      </c>
      <c r="S287" s="3" t="inlineStr">
        <is>
          <t>명진</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세종특별자치시 새롬동 569</t>
        </is>
      </c>
      <c r="B288" s="3" t="inlineStr">
        <is>
          <t>제1종전용주거지역</t>
        </is>
      </c>
      <c r="C288" s="3" t="inlineStr">
        <is>
          <t>대</t>
        </is>
      </c>
      <c r="D288" s="3" t="inlineStr">
        <is>
          <t>1</t>
        </is>
      </c>
      <c r="E288" s="3" t="inlineStr">
        <is>
          <t>단독</t>
        </is>
      </c>
      <c r="F288" s="3" t="inlineStr">
        <is>
          <t>전세</t>
        </is>
      </c>
      <c r="G288" s="4" t="n">
        <v>85000</v>
      </c>
      <c r="H288" s="4" t="n">
        <v>0</v>
      </c>
      <c r="I288" s="4" t="n">
        <v>197</v>
      </c>
      <c r="J288" s="4" t="n">
        <v>60</v>
      </c>
      <c r="K288" s="5" t="n">
        <v>1416.7</v>
      </c>
      <c r="L288" s="4" t="n">
        <v>190</v>
      </c>
      <c r="M288" s="4" t="n">
        <v>57</v>
      </c>
      <c r="N288" s="5" t="n">
        <v>1491.2</v>
      </c>
      <c r="O288" s="3" t="inlineStr">
        <is>
          <t>nan</t>
        </is>
      </c>
      <c r="P288" s="6">
        <f>HYPERLINK("https://fin.land.naver.com/articles/2646823318", "매물Link")</f>
        <v/>
      </c>
      <c r="Q288" s="6">
        <f>HYPERLINK("https://map.naver.com/p/search/세종특별자치시 새롬동 569", "지도Link")</f>
        <v/>
      </c>
      <c r="R288" s="6">
        <f>HYPERLINK("http://www.eum.go.kr/web/ar/lu/luLandDet.jsp?pnu=3611010800105690000&amp;isNoScr=script&amp;mode=search", "토지이음")</f>
        <v/>
      </c>
      <c r="S288" s="3" t="inlineStr">
        <is>
          <t>강아지풀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세종특별자치시 새롬동 569</t>
        </is>
      </c>
      <c r="B289" s="3" t="inlineStr">
        <is>
          <t>제1종전용주거지역</t>
        </is>
      </c>
      <c r="C289" s="3" t="inlineStr">
        <is>
          <t>대</t>
        </is>
      </c>
      <c r="D289" s="3" t="inlineStr">
        <is>
          <t>3</t>
        </is>
      </c>
      <c r="E289" s="3" t="inlineStr">
        <is>
          <t>단독</t>
        </is>
      </c>
      <c r="F289" s="3" t="inlineStr">
        <is>
          <t>매매</t>
        </is>
      </c>
      <c r="G289" s="4" t="n">
        <v>147000</v>
      </c>
      <c r="H289" s="4" t="n">
        <v>0</v>
      </c>
      <c r="I289" s="4" t="n">
        <v>215</v>
      </c>
      <c r="J289" s="4" t="n">
        <v>65</v>
      </c>
      <c r="K289" s="5" t="n">
        <v>2261.5</v>
      </c>
      <c r="L289" s="4" t="n">
        <v>190</v>
      </c>
      <c r="M289" s="4" t="n">
        <v>57</v>
      </c>
      <c r="N289" s="5" t="n">
        <v>2578.9</v>
      </c>
      <c r="O289" s="3" t="inlineStr">
        <is>
          <t>급매원분양가 그대로 매매</t>
        </is>
      </c>
      <c r="P289" s="6">
        <f>HYPERLINK("https://fin.land.naver.com/articles/2646823549", "매물Link")</f>
        <v/>
      </c>
      <c r="Q289" s="6">
        <f>HYPERLINK("https://map.naver.com/p/search/세종특별자치시 새롬동 569", "지도Link")</f>
        <v/>
      </c>
      <c r="R289" s="6">
        <f>HYPERLINK("http://www.eum.go.kr/web/ar/lu/luLandDet.jsp?pnu=3611010800105690000&amp;isNoScr=script&amp;mode=search", "토지이음")</f>
        <v/>
      </c>
      <c r="S289" s="3" t="inlineStr">
        <is>
          <t>강아지풀</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세종특별자치시 새롬동 569</t>
        </is>
      </c>
      <c r="B290" s="3" t="inlineStr">
        <is>
          <t>제1종전용주거지역</t>
        </is>
      </c>
      <c r="C290" s="3" t="inlineStr">
        <is>
          <t>대</t>
        </is>
      </c>
      <c r="D290" s="3" t="inlineStr">
        <is>
          <t>1</t>
        </is>
      </c>
      <c r="E290" s="3" t="inlineStr">
        <is>
          <t>단독</t>
        </is>
      </c>
      <c r="F290" s="3" t="inlineStr">
        <is>
          <t>전세</t>
        </is>
      </c>
      <c r="G290" s="4" t="n">
        <v>85000</v>
      </c>
      <c r="H290" s="4" t="n">
        <v>0</v>
      </c>
      <c r="I290" s="4" t="n">
        <v>197</v>
      </c>
      <c r="J290" s="4" t="n">
        <v>60</v>
      </c>
      <c r="K290" s="5" t="n">
        <v>1416.7</v>
      </c>
      <c r="L290" s="4" t="n">
        <v>197</v>
      </c>
      <c r="M290" s="4" t="n">
        <v>60</v>
      </c>
      <c r="N290" s="5" t="n">
        <v>1416.7</v>
      </c>
      <c r="O290" s="3" t="inlineStr">
        <is>
          <t>산조망 58B1타입 인기좋은 타입</t>
        </is>
      </c>
      <c r="P290" s="6">
        <f>HYPERLINK("https://fin.land.naver.com/articles/2646823252", "매물Link")</f>
        <v/>
      </c>
      <c r="Q290" s="6">
        <f>HYPERLINK("https://map.naver.com/p/search/세종특별자치시 새롬동 569", "지도Link")</f>
        <v/>
      </c>
      <c r="R290" s="6">
        <f>HYPERLINK("http://www.eum.go.kr/web/ar/lu/luLandDet.jsp?pnu=3611010800105690000&amp;isNoScr=script&amp;mode=search", "토지이음")</f>
        <v/>
      </c>
      <c r="S290" s="3" t="inlineStr">
        <is>
          <t>강아지풀</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세종특별자치시 새롬동 569</t>
        </is>
      </c>
      <c r="B291" s="3" t="inlineStr">
        <is>
          <t>제1종전용주거지역</t>
        </is>
      </c>
      <c r="C291" s="3" t="inlineStr">
        <is>
          <t>대</t>
        </is>
      </c>
      <c r="D291" s="3" t="inlineStr">
        <is>
          <t>1</t>
        </is>
      </c>
      <c r="E291" s="3" t="inlineStr">
        <is>
          <t>단독</t>
        </is>
      </c>
      <c r="F291" s="3" t="inlineStr">
        <is>
          <t>전세</t>
        </is>
      </c>
      <c r="G291" s="4" t="n">
        <v>80000</v>
      </c>
      <c r="H291" s="4" t="n">
        <v>0</v>
      </c>
      <c r="I291" s="4" t="n">
        <v>721</v>
      </c>
      <c r="J291" s="4" t="n">
        <v>218</v>
      </c>
      <c r="K291" s="5" t="n">
        <v>367</v>
      </c>
      <c r="L291" s="4" t="n">
        <v>190</v>
      </c>
      <c r="M291" s="4" t="n">
        <v>57</v>
      </c>
      <c r="N291" s="5" t="n">
        <v>1403.5</v>
      </c>
      <c r="O291" s="3" t="inlineStr">
        <is>
          <t>nan</t>
        </is>
      </c>
      <c r="P291" s="6">
        <f>HYPERLINK("https://fin.land.naver.com/articles/2646960192", "매물Link")</f>
        <v/>
      </c>
      <c r="Q291" s="6">
        <f>HYPERLINK("https://map.naver.com/p/search/세종특별자치시 새롬동 569", "지도Link")</f>
        <v/>
      </c>
      <c r="R291" s="6">
        <f>HYPERLINK("http://www.eum.go.kr/web/ar/lu/luLandDet.jsp?pnu=3611010800105690000&amp;isNoScr=script&amp;mode=search", "토지이음")</f>
        <v/>
      </c>
      <c r="S291" s="3" t="inlineStr">
        <is>
          <t>국제</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세종특별자치시 새롬동 569</t>
        </is>
      </c>
      <c r="B292" s="3" t="inlineStr">
        <is>
          <t>제1종전용주거지역</t>
        </is>
      </c>
      <c r="C292" s="3" t="inlineStr">
        <is>
          <t>대</t>
        </is>
      </c>
      <c r="D292" s="3" t="inlineStr">
        <is>
          <t>0</t>
        </is>
      </c>
      <c r="E292" s="3" t="inlineStr">
        <is>
          <t>단독</t>
        </is>
      </c>
      <c r="F292" s="3" t="inlineStr">
        <is>
          <t>월세</t>
        </is>
      </c>
      <c r="G292" s="4" t="n">
        <v>10000</v>
      </c>
      <c r="H292" s="4" t="n">
        <v>380</v>
      </c>
      <c r="I292" s="4" t="n">
        <v>0</v>
      </c>
      <c r="J292" s="4" t="n">
        <v>0</v>
      </c>
      <c r="K292" s="5" t="n">
        <v>0</v>
      </c>
      <c r="L292" s="4" t="n">
        <v>191</v>
      </c>
      <c r="M292" s="4" t="n">
        <v>58</v>
      </c>
      <c r="N292" s="5" t="n">
        <v>6.6</v>
      </c>
      <c r="O292" s="3" t="inlineStr">
        <is>
          <t>매매, 전세도 가능, 신축, 엘레베이터, 입지 굿</t>
        </is>
      </c>
      <c r="P292" s="6">
        <f>HYPERLINK("https://fin.land.naver.com/articles/2648120372", "매물Link")</f>
        <v/>
      </c>
      <c r="Q292" s="6">
        <f>HYPERLINK("https://map.naver.com/p/search/세종특별자치시 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세종특별자치시 새롬동 569</t>
        </is>
      </c>
      <c r="B293" s="3" t="inlineStr">
        <is>
          <t>제1종전용주거지역</t>
        </is>
      </c>
      <c r="C293" s="3" t="inlineStr">
        <is>
          <t>대</t>
        </is>
      </c>
      <c r="D293" s="3" t="inlineStr">
        <is>
          <t>1</t>
        </is>
      </c>
      <c r="E293" s="3" t="inlineStr">
        <is>
          <t>단독</t>
        </is>
      </c>
      <c r="F293" s="3" t="inlineStr">
        <is>
          <t>월세</t>
        </is>
      </c>
      <c r="G293" s="4" t="n">
        <v>45000</v>
      </c>
      <c r="H293" s="4" t="n">
        <v>175</v>
      </c>
      <c r="I293" s="4" t="n">
        <v>0</v>
      </c>
      <c r="J293" s="4" t="n">
        <v>0</v>
      </c>
      <c r="K293" s="5" t="n">
        <v>0</v>
      </c>
      <c r="L293" s="4" t="n">
        <v>190</v>
      </c>
      <c r="M293" s="4" t="n">
        <v>57</v>
      </c>
      <c r="N293" s="5" t="n">
        <v>3.1</v>
      </c>
      <c r="O293" s="3" t="inlineStr">
        <is>
          <t>A타입 남서향 상가 마트 인근 매매도가능</t>
        </is>
      </c>
      <c r="P293" s="6">
        <f>HYPERLINK("https://fin.land.naver.com/articles/2646910317", "매물Link")</f>
        <v/>
      </c>
      <c r="Q293" s="6">
        <f>HYPERLINK("https://map.naver.com/p/search/세종특별자치시 새롬동 569", "지도Link")</f>
        <v/>
      </c>
      <c r="R293" s="6">
        <f>HYPERLINK("http://www.eum.go.kr/web/ar/lu/luLandDet.jsp?pnu=3611010800105690000&amp;isNoScr=script&amp;mode=search", "토지이음")</f>
        <v/>
      </c>
      <c r="S293" s="3" t="inlineStr">
        <is>
          <t>세종스타</t>
        </is>
      </c>
      <c r="T293" s="3" t="n">
        <v>2</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세종특별자치시 새롬동 569</t>
        </is>
      </c>
      <c r="B294" s="3" t="inlineStr">
        <is>
          <t>제1종전용주거지역</t>
        </is>
      </c>
      <c r="C294" s="3" t="inlineStr">
        <is>
          <t>대</t>
        </is>
      </c>
      <c r="D294" s="3" t="inlineStr">
        <is>
          <t>1</t>
        </is>
      </c>
      <c r="E294" s="3" t="inlineStr">
        <is>
          <t>단독</t>
        </is>
      </c>
      <c r="F294" s="3" t="inlineStr">
        <is>
          <t>월세</t>
        </is>
      </c>
      <c r="G294" s="4" t="n">
        <v>50000</v>
      </c>
      <c r="H294" s="4" t="n">
        <v>150</v>
      </c>
      <c r="I294" s="4" t="n">
        <v>0</v>
      </c>
      <c r="J294" s="4" t="n">
        <v>0</v>
      </c>
      <c r="K294" s="5" t="n">
        <v>0</v>
      </c>
      <c r="L294" s="4" t="n">
        <v>190</v>
      </c>
      <c r="M294" s="4" t="n">
        <v>57</v>
      </c>
      <c r="N294" s="5" t="n">
        <v>2.6</v>
      </c>
      <c r="O294" s="3" t="inlineStr">
        <is>
          <t>맨앞 위치최상 B타입 남향  매매도가능 매물전량확보</t>
        </is>
      </c>
      <c r="P294" s="6">
        <f>HYPERLINK("https://fin.land.naver.com/articles/2648054441", "매물Link")</f>
        <v/>
      </c>
      <c r="Q294" s="6">
        <f>HYPERLINK("https://map.naver.com/p/search/세종특별자치시 새롬동 569", "지도Link")</f>
        <v/>
      </c>
      <c r="R294" s="6">
        <f>HYPERLINK("http://www.eum.go.kr/web/ar/lu/luLandDet.jsp?pnu=3611010800105690000&amp;isNoScr=script&amp;mode=search", "토지이음")</f>
        <v/>
      </c>
      <c r="S294" s="3" t="inlineStr">
        <is>
          <t>세종스타</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세종특별자치시 새롬동 569</t>
        </is>
      </c>
      <c r="B295" s="3" t="inlineStr">
        <is>
          <t>제1종전용주거지역</t>
        </is>
      </c>
      <c r="C295" s="3" t="inlineStr">
        <is>
          <t>대</t>
        </is>
      </c>
      <c r="D295" s="3" t="inlineStr">
        <is>
          <t>3</t>
        </is>
      </c>
      <c r="E295" s="3" t="inlineStr">
        <is>
          <t>단독</t>
        </is>
      </c>
      <c r="F295" s="3" t="inlineStr">
        <is>
          <t>매매</t>
        </is>
      </c>
      <c r="G295" s="4" t="n">
        <v>147000</v>
      </c>
      <c r="H295" s="4" t="n">
        <v>0</v>
      </c>
      <c r="I295" s="4" t="n">
        <v>190</v>
      </c>
      <c r="J295" s="4" t="n">
        <v>57</v>
      </c>
      <c r="K295" s="5" t="n">
        <v>2578.9</v>
      </c>
      <c r="L295" s="4" t="n">
        <v>190</v>
      </c>
      <c r="M295" s="4" t="n">
        <v>57</v>
      </c>
      <c r="N295" s="5" t="n">
        <v>2578.9</v>
      </c>
      <c r="O295" s="3" t="inlineStr">
        <is>
          <t>A타입, 지하주차장, 신축, 개별 엘레베이터, 입지 굿</t>
        </is>
      </c>
      <c r="P295" s="6">
        <f>HYPERLINK("https://fin.land.naver.com/articles/2647685130", "매물Link")</f>
        <v/>
      </c>
      <c r="Q295" s="6">
        <f>HYPERLINK("https://map.naver.com/p/search/세종특별자치시 새롬동 569", "지도Link")</f>
        <v/>
      </c>
      <c r="R295" s="6">
        <f>HYPERLINK("http://www.eum.go.kr/web/ar/lu/luLandDet.jsp?pnu=3611010800105690000&amp;isNoScr=script&amp;mode=search", "토지이음")</f>
        <v/>
      </c>
      <c r="S295" s="3" t="inlineStr">
        <is>
          <t>세종무지개</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세종특별자치시 새롬동 569</t>
        </is>
      </c>
      <c r="B296" s="3" t="inlineStr">
        <is>
          <t>제1종전용주거지역</t>
        </is>
      </c>
      <c r="C296" s="3" t="inlineStr">
        <is>
          <t>대</t>
        </is>
      </c>
      <c r="D296" s="3" t="inlineStr">
        <is>
          <t>3</t>
        </is>
      </c>
      <c r="E296" s="3" t="inlineStr">
        <is>
          <t>단독</t>
        </is>
      </c>
      <c r="F296" s="3" t="inlineStr">
        <is>
          <t>매매</t>
        </is>
      </c>
      <c r="G296" s="4" t="n">
        <v>170000</v>
      </c>
      <c r="H296" s="4" t="n">
        <v>0</v>
      </c>
      <c r="I296" s="4" t="n">
        <v>191</v>
      </c>
      <c r="J296" s="4" t="n">
        <v>58</v>
      </c>
      <c r="K296" s="5" t="n">
        <v>2931</v>
      </c>
      <c r="L296" s="4" t="n">
        <v>191</v>
      </c>
      <c r="M296" s="4" t="n">
        <v>58</v>
      </c>
      <c r="N296" s="5" t="n">
        <v>2931</v>
      </c>
      <c r="O296" s="3" t="inlineStr">
        <is>
          <t>지하주차장, 신축, 개별 엘레베이터, 입지 굿</t>
        </is>
      </c>
      <c r="P296" s="6">
        <f>HYPERLINK("https://fin.land.naver.com/articles/2648119434", "매물Link")</f>
        <v/>
      </c>
      <c r="Q296" s="6">
        <f>HYPERLINK("https://map.naver.com/p/search/세종특별자치시 새롬동 569", "지도Link")</f>
        <v/>
      </c>
      <c r="R296" s="6">
        <f>HYPERLINK("http://www.eum.go.kr/web/ar/lu/luLandDet.jsp?pnu=3611010800105690000&amp;isNoScr=script&amp;mode=search", "토지이음")</f>
        <v/>
      </c>
      <c r="S296" s="3" t="inlineStr">
        <is>
          <t>세종무지개</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세종특별자치시 새롬동 569</t>
        </is>
      </c>
      <c r="B297" s="3" t="inlineStr">
        <is>
          <t>제1종전용주거지역</t>
        </is>
      </c>
      <c r="C297" s="3" t="inlineStr">
        <is>
          <t>대</t>
        </is>
      </c>
      <c r="D297" s="3" t="inlineStr">
        <is>
          <t>1</t>
        </is>
      </c>
      <c r="E297" s="3" t="inlineStr">
        <is>
          <t>단독</t>
        </is>
      </c>
      <c r="F297" s="3" t="inlineStr">
        <is>
          <t>전세</t>
        </is>
      </c>
      <c r="G297" s="4" t="n">
        <v>80000</v>
      </c>
      <c r="H297" s="4" t="n">
        <v>0</v>
      </c>
      <c r="I297" s="4" t="n">
        <v>0</v>
      </c>
      <c r="J297" s="4" t="n">
        <v>0</v>
      </c>
      <c r="K297" s="5" t="n">
        <v>0</v>
      </c>
      <c r="L297" s="4" t="n">
        <v>191</v>
      </c>
      <c r="M297" s="4" t="n">
        <v>58</v>
      </c>
      <c r="N297" s="5" t="n">
        <v>1379.3</v>
      </c>
      <c r="O297" s="3" t="inlineStr">
        <is>
          <t>B타입 남향 맨앞 탁트임 매매도가능 매물전량확보됨</t>
        </is>
      </c>
      <c r="P297" s="6">
        <f>HYPERLINK("https://fin.land.naver.com/articles/2647263754", "매물Link")</f>
        <v/>
      </c>
      <c r="Q297" s="6">
        <f>HYPERLINK("https://map.naver.com/p/search/세종특별자치시 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세종특별자치시 새롬동 569</t>
        </is>
      </c>
      <c r="B298" s="3" t="inlineStr">
        <is>
          <t>제1종전용주거지역</t>
        </is>
      </c>
      <c r="C298" s="3" t="inlineStr">
        <is>
          <t>대</t>
        </is>
      </c>
      <c r="D298" s="3" t="inlineStr">
        <is>
          <t>3</t>
        </is>
      </c>
      <c r="E298" s="3" t="inlineStr">
        <is>
          <t>단독</t>
        </is>
      </c>
      <c r="F298" s="3" t="inlineStr">
        <is>
          <t>매매</t>
        </is>
      </c>
      <c r="G298" s="4" t="n">
        <v>150000</v>
      </c>
      <c r="H298" s="4" t="n">
        <v>0</v>
      </c>
      <c r="I298" s="4" t="n">
        <v>215</v>
      </c>
      <c r="J298" s="4" t="n">
        <v>65</v>
      </c>
      <c r="K298" s="5" t="n">
        <v>2307.7</v>
      </c>
      <c r="L298" s="4" t="n">
        <v>190</v>
      </c>
      <c r="M298" s="4" t="n">
        <v>57</v>
      </c>
      <c r="N298" s="5" t="n">
        <v>2631.6</v>
      </c>
      <c r="O298" s="3" t="inlineStr">
        <is>
          <t>3층안방확장. B타입. 남향. 빌트인냉장고. 방3개 욕실3개</t>
        </is>
      </c>
      <c r="P298" s="6">
        <f>HYPERLINK("https://fin.land.naver.com/articles/2647125658", "매물Link")</f>
        <v/>
      </c>
      <c r="Q298" s="6">
        <f>HYPERLINK("https://map.naver.com/p/search/세종특별자치시 새롬동 569", "지도Link")</f>
        <v/>
      </c>
      <c r="R298" s="6">
        <f>HYPERLINK("http://www.eum.go.kr/web/ar/lu/luLandDet.jsp?pnu=3611010800105690000&amp;isNoScr=script&amp;mode=search", "토지이음")</f>
        <v/>
      </c>
      <c r="S298" s="3" t="inlineStr">
        <is>
          <t>세종스타</t>
        </is>
      </c>
      <c r="T298" s="3" t="n">
        <v>2</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세종특별자치시 새롬동 569</t>
        </is>
      </c>
      <c r="B299" s="3" t="inlineStr">
        <is>
          <t>제1종전용주거지역</t>
        </is>
      </c>
      <c r="C299" s="3" t="inlineStr">
        <is>
          <t>대</t>
        </is>
      </c>
      <c r="D299" s="3" t="inlineStr">
        <is>
          <t>1</t>
        </is>
      </c>
      <c r="E299" s="3" t="inlineStr">
        <is>
          <t>단독</t>
        </is>
      </c>
      <c r="F299" s="3" t="inlineStr">
        <is>
          <t>전세</t>
        </is>
      </c>
      <c r="G299" s="4" t="n">
        <v>80000</v>
      </c>
      <c r="H299" s="4" t="n">
        <v>0</v>
      </c>
      <c r="I299" s="4" t="n">
        <v>726</v>
      </c>
      <c r="J299" s="4" t="n">
        <v>220</v>
      </c>
      <c r="K299" s="5" t="n">
        <v>363.6</v>
      </c>
      <c r="L299" s="4" t="n">
        <v>191</v>
      </c>
      <c r="M299" s="4" t="n">
        <v>58</v>
      </c>
      <c r="N299" s="5" t="n">
        <v>1379.3</v>
      </c>
      <c r="O299" s="3" t="inlineStr">
        <is>
          <t>B타입 전세8억 즉시입주가능 새롬동 최고위치 타운하우스 학군 좋아요</t>
        </is>
      </c>
      <c r="P299" s="6">
        <f>HYPERLINK("https://fin.land.naver.com/articles/2646960442", "매물Link")</f>
        <v/>
      </c>
      <c r="Q299" s="6">
        <f>HYPERLINK("https://map.naver.com/p/search/세종특별자치시 새롬동 569", "지도Link")</f>
        <v/>
      </c>
      <c r="R299" s="6">
        <f>HYPERLINK("http://www.eum.go.kr/web/ar/lu/luLandDet.jsp?pnu=3611010800105690000&amp;isNoScr=script&amp;mode=search", "토지이음")</f>
        <v/>
      </c>
      <c r="S299" s="3" t="inlineStr">
        <is>
          <t>국제</t>
        </is>
      </c>
      <c r="T299" s="3" t="n">
        <v>1</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세종특별자치시 새롬동 569</t>
        </is>
      </c>
      <c r="B300" s="3" t="inlineStr">
        <is>
          <t>제1종전용주거지역</t>
        </is>
      </c>
      <c r="C300" s="3" t="inlineStr">
        <is>
          <t>대</t>
        </is>
      </c>
      <c r="D300" s="3" t="inlineStr">
        <is>
          <t>0</t>
        </is>
      </c>
      <c r="E300" s="3" t="inlineStr">
        <is>
          <t>단독</t>
        </is>
      </c>
      <c r="F300" s="3" t="inlineStr">
        <is>
          <t>월세</t>
        </is>
      </c>
      <c r="G300" s="4" t="n">
        <v>50000</v>
      </c>
      <c r="H300" s="4" t="n">
        <v>150</v>
      </c>
      <c r="I300" s="4" t="n">
        <v>0</v>
      </c>
      <c r="J300" s="4" t="n">
        <v>0</v>
      </c>
      <c r="K300" s="5" t="n">
        <v>0</v>
      </c>
      <c r="L300" s="4" t="n">
        <v>191</v>
      </c>
      <c r="M300" s="4" t="n">
        <v>58</v>
      </c>
      <c r="N300" s="5" t="n">
        <v>2.6</v>
      </c>
      <c r="O300" s="3" t="inlineStr">
        <is>
          <t>매매도 가능, 신축 새입주, 개별 엘레베이터, 지하창고</t>
        </is>
      </c>
      <c r="P300" s="6">
        <f>HYPERLINK("https://fin.land.naver.com/articles/2647420447", "매물Link")</f>
        <v/>
      </c>
      <c r="Q300" s="6">
        <f>HYPERLINK("https://map.naver.com/p/search/세종특별자치시 새롬동 569", "지도Link")</f>
        <v/>
      </c>
      <c r="R300" s="6">
        <f>HYPERLINK("http://www.eum.go.kr/web/ar/lu/luLandDet.jsp?pnu=3611010800105690000&amp;isNoScr=script&amp;mode=search", "토지이음")</f>
        <v/>
      </c>
      <c r="S300" s="3" t="inlineStr">
        <is>
          <t>명진</t>
        </is>
      </c>
      <c r="T300" s="3" t="n">
        <v>1</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세종특별자치시 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HYPERLINK("https://map.naver.com/p/search/세종특별자치시 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세종특별자치시 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HYPERLINK("https://map.naver.com/p/search/세종특별자치시 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세종특별자치시 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HYPERLINK("https://map.naver.com/p/search/세종특별자치시 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세종특별자치시 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남향집으로 따뜻한 집 입니다. 입주는 협의 가능하며 가격절충가능합니다.</t>
        </is>
      </c>
      <c r="P304" s="6">
        <f>HYPERLINK("https://fin.land.naver.com/articles/2647499785", "매물Link")</f>
        <v/>
      </c>
      <c r="Q304" s="6">
        <f>HYPERLINK("https://map.naver.com/p/search/세종특별자치시 아름동 1148", "지도Link")</f>
        <v/>
      </c>
      <c r="R304" s="6">
        <f>HYPERLINK("http://www.eum.go.kr/web/ar/lu/luLandDet.jsp?pnu=3611011300111480000&amp;isNoScr=script&amp;mode=search", "토지이음")</f>
        <v/>
      </c>
      <c r="S304" s="3" t="inlineStr">
        <is>
          <t>주황푸르지오</t>
        </is>
      </c>
      <c r="T304" s="3" t="n">
        <v>1</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세종특별자치시 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조율가능 국제고인근 정남향 아이들의 놀이터같은 특색주택</t>
        </is>
      </c>
      <c r="P305" s="6">
        <f>HYPERLINK("https://fin.land.naver.com/articles/2648716323", "매물Link")</f>
        <v/>
      </c>
      <c r="Q305" s="6">
        <f>HYPERLINK("https://map.naver.com/p/search/세종특별자치시 아름동 1148", "지도Link")</f>
        <v/>
      </c>
      <c r="R305" s="6">
        <f>HYPERLINK("http://www.eum.go.kr/web/ar/lu/luLandDet.jsp?pnu=3611011300111480000&amp;isNoScr=script&amp;mode=search", "토지이음")</f>
        <v/>
      </c>
      <c r="S305" s="3" t="inlineStr">
        <is>
          <t>세종스타</t>
        </is>
      </c>
      <c r="T305" s="3" t="n">
        <v>2</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세종특별자치시 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벽난로,태양광, 어린이 를 위한 공간, 가격절충</t>
        </is>
      </c>
      <c r="P306" s="6">
        <f>HYPERLINK("https://fin.land.naver.com/articles/2646426563", "매물Link")</f>
        <v/>
      </c>
      <c r="Q306" s="6">
        <f>HYPERLINK("https://map.naver.com/p/search/세종특별자치시 아름동 1148", "지도Link")</f>
        <v/>
      </c>
      <c r="R306" s="6">
        <f>HYPERLINK("http://www.eum.go.kr/web/ar/lu/luLandDet.jsp?pnu=3611011300111480000&amp;isNoScr=script&amp;mode=search", "토지이음")</f>
        <v/>
      </c>
      <c r="S306" s="3" t="inlineStr">
        <is>
          <t>세종삼촌</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세종특별자치시 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HYPERLINK("https://map.naver.com/p/search/세종특별자치시 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세종특별자치시 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353</v>
      </c>
      <c r="J308" s="4" t="n">
        <v>107</v>
      </c>
      <c r="K308" s="5" t="n">
        <v>1308.4</v>
      </c>
      <c r="L308" s="4" t="n">
        <v>160</v>
      </c>
      <c r="M308" s="4" t="n">
        <v>48</v>
      </c>
      <c r="N308" s="5" t="n">
        <v>2916.7</v>
      </c>
      <c r="O308" s="3" t="inlineStr">
        <is>
          <t>전용 48.6p, 1.2층 단독주택, 시스템에어컨풀, 협의입주</t>
        </is>
      </c>
      <c r="P308" s="6">
        <f>HYPERLINK("https://fin.land.naver.com/articles/2648906147", "매물Link")</f>
        <v/>
      </c>
      <c r="Q308" s="6">
        <f>HYPERLINK("https://map.naver.com/p/search/세종특별자치시 아름동 1241", "지도Link")</f>
        <v/>
      </c>
      <c r="R308" s="6">
        <f>HYPERLINK("http://www.eum.go.kr/web/ar/lu/luLandDet.jsp?pnu=3611011300112410000&amp;isNoScr=script&amp;mode=search", "토지이음")</f>
        <v/>
      </c>
      <c r="S308" s="3" t="inlineStr">
        <is>
          <t>명진</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세종특별자치시 아름동 1241</t>
        </is>
      </c>
      <c r="B309" s="3" t="inlineStr">
        <is>
          <t>제1종전용주거지역</t>
        </is>
      </c>
      <c r="C309" s="3" t="inlineStr">
        <is>
          <t>대</t>
        </is>
      </c>
      <c r="D309" s="3" t="inlineStr">
        <is>
          <t>2</t>
        </is>
      </c>
      <c r="E309" s="3" t="inlineStr">
        <is>
          <t>단독</t>
        </is>
      </c>
      <c r="F309" s="3" t="inlineStr">
        <is>
          <t>매매</t>
        </is>
      </c>
      <c r="G309" s="4" t="n">
        <v>145000</v>
      </c>
      <c r="H309" s="4" t="n">
        <v>0</v>
      </c>
      <c r="I309" s="4" t="n">
        <v>353</v>
      </c>
      <c r="J309" s="4" t="n">
        <v>107</v>
      </c>
      <c r="K309" s="5" t="n">
        <v>1355.1</v>
      </c>
      <c r="L309" s="4" t="n">
        <v>160</v>
      </c>
      <c r="M309" s="4" t="n">
        <v>48</v>
      </c>
      <c r="N309" s="5" t="n">
        <v>3020.8</v>
      </c>
      <c r="O309" s="3" t="inlineStr">
        <is>
          <t>정원있는 조용한 전원주택 매매</t>
        </is>
      </c>
      <c r="P309" s="6">
        <f>HYPERLINK("https://fin.land.naver.com/articles/2643938676", "매물Link")</f>
        <v/>
      </c>
      <c r="Q309" s="6">
        <f>HYPERLINK("https://map.naver.com/p/search/세종특별자치시 아름동 1241", "지도Link")</f>
        <v/>
      </c>
      <c r="R309" s="6">
        <f>HYPERLINK("http://www.eum.go.kr/web/ar/lu/luLandDet.jsp?pnu=3611011300112410000&amp;isNoScr=script&amp;mode=search", "토지이음")</f>
        <v/>
      </c>
      <c r="S309" s="3" t="inlineStr">
        <is>
          <t>인서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세종특별자치시 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시스템에어컨풀, 주인거주, 협의입주, 1.2층 단독주택</t>
        </is>
      </c>
      <c r="P310" s="6">
        <f>HYPERLINK("https://fin.land.naver.com/articles/2646689830", "매물Link")</f>
        <v/>
      </c>
      <c r="Q310" s="6">
        <f>HYPERLINK("https://map.naver.com/p/search/세종특별자치시 아름동 1241", "지도Link")</f>
        <v/>
      </c>
      <c r="R310" s="6">
        <f>HYPERLINK("http://www.eum.go.kr/web/ar/lu/luLandDet.jsp?pnu=3611011300112410000&amp;isNoScr=script&amp;mode=search", "토지이음")</f>
        <v/>
      </c>
      <c r="S310" s="3" t="inlineStr">
        <is>
          <t>세종무지개</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세종특별자치시 아름동 1241</t>
        </is>
      </c>
      <c r="B311" s="3" t="inlineStr">
        <is>
          <t>제1종전용주거지역</t>
        </is>
      </c>
      <c r="C311" s="3" t="inlineStr">
        <is>
          <t>대</t>
        </is>
      </c>
      <c r="D311" s="3" t="inlineStr">
        <is>
          <t>2</t>
        </is>
      </c>
      <c r="E311" s="3" t="inlineStr">
        <is>
          <t>단독</t>
        </is>
      </c>
      <c r="F311" s="3" t="inlineStr">
        <is>
          <t>매매</t>
        </is>
      </c>
      <c r="G311" s="4" t="n">
        <v>140000</v>
      </c>
      <c r="H311" s="4" t="n">
        <v>0</v>
      </c>
      <c r="I311" s="4" t="n">
        <v>160</v>
      </c>
      <c r="J311" s="4" t="n">
        <v>48</v>
      </c>
      <c r="K311" s="5" t="n">
        <v>2916.7</v>
      </c>
      <c r="L311" s="4" t="n">
        <v>160</v>
      </c>
      <c r="M311" s="4" t="n">
        <v>48</v>
      </c>
      <c r="N311" s="5" t="n">
        <v>2916.7</v>
      </c>
      <c r="O311" s="3" t="inlineStr">
        <is>
          <t>2층주택, 현재 주인거주로 잘 관리된 집</t>
        </is>
      </c>
      <c r="P311" s="6">
        <f>HYPERLINK("https://fin.land.naver.com/articles/2646823725", "매물Link")</f>
        <v/>
      </c>
      <c r="Q311" s="6">
        <f>HYPERLINK("https://map.naver.com/p/search/세종특별자치시 아름동 1241", "지도Link")</f>
        <v/>
      </c>
      <c r="R311" s="6">
        <f>HYPERLINK("http://www.eum.go.kr/web/ar/lu/luLandDet.jsp?pnu=3611011300112410000&amp;isNoScr=script&amp;mode=search", "토지이음")</f>
        <v/>
      </c>
      <c r="S311" s="3" t="inlineStr">
        <is>
          <t>강아지풀</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세종특별자치시 아름동 1241</t>
        </is>
      </c>
      <c r="B312" s="3" t="inlineStr">
        <is>
          <t>제1종전용주거지역</t>
        </is>
      </c>
      <c r="C312" s="3" t="inlineStr">
        <is>
          <t>대</t>
        </is>
      </c>
      <c r="D312" s="3" t="inlineStr">
        <is>
          <t>2</t>
        </is>
      </c>
      <c r="E312" s="3" t="inlineStr">
        <is>
          <t>전원주택</t>
        </is>
      </c>
      <c r="F312" s="3" t="inlineStr">
        <is>
          <t>매매</t>
        </is>
      </c>
      <c r="G312" s="4" t="n">
        <v>145000</v>
      </c>
      <c r="H312" s="4" t="n">
        <v>0</v>
      </c>
      <c r="I312" s="4" t="n">
        <v>353</v>
      </c>
      <c r="J312" s="4" t="n">
        <v>107</v>
      </c>
      <c r="K312" s="5" t="n">
        <v>1355.1</v>
      </c>
      <c r="L312" s="4" t="n">
        <v>160</v>
      </c>
      <c r="M312" s="4" t="n">
        <v>48</v>
      </c>
      <c r="N312" s="5" t="n">
        <v>3020.8</v>
      </c>
      <c r="O312" s="3" t="inlineStr">
        <is>
          <t>철근콘크리트 튼튼  시스템에어컨 5대 단독 매매</t>
        </is>
      </c>
      <c r="P312" s="6">
        <f>HYPERLINK("https://fin.land.naver.com/articles/2644280535", "매물Link")</f>
        <v/>
      </c>
      <c r="Q312" s="6">
        <f>HYPERLINK("https://map.naver.com/p/search/세종특별자치시 아름동 1241", "지도Link")</f>
        <v/>
      </c>
      <c r="R312" s="6">
        <f>HYPERLINK("http://www.eum.go.kr/web/ar/lu/luLandDet.jsp?pnu=3611011300112410000&amp;isNoScr=script&amp;mode=search", "토지이음")</f>
        <v/>
      </c>
      <c r="S312" s="3" t="inlineStr">
        <is>
          <t>THE행복</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세종특별자치시 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HYPERLINK("https://map.naver.com/p/search/세종특별자치시 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세종특별자치시 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HYPERLINK("https://map.naver.com/p/search/세종특별자치시 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세종특별자치시 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아름동 입지좋은 단독주택 매매, 올리모델링</t>
        </is>
      </c>
      <c r="P315" s="6">
        <f>HYPERLINK("https://fin.land.naver.com/articles/2648835163", "매물Link")</f>
        <v/>
      </c>
      <c r="Q315" s="6">
        <f>HYPERLINK("https://map.naver.com/p/search/세종특별자치시 아름동 856", "지도Link")</f>
        <v/>
      </c>
      <c r="R315" s="6">
        <f>HYPERLINK("http://www.eum.go.kr/web/ar/lu/luLandDet.jsp?pnu=3611011300108560000&amp;isNoScr=script&amp;mode=search", "토지이음")</f>
        <v/>
      </c>
      <c r="S315" s="3" t="inlineStr">
        <is>
          <t>세종무지개</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세종특별자치시 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HYPERLINK("https://map.naver.com/p/search/세종특별자치시 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세종특별자치시 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HYPERLINK("https://map.naver.com/p/search/세종특별자치시 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세종특별자치시 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올 리모델링. 풀에어컨, 코너 입지</t>
        </is>
      </c>
      <c r="P318" s="6">
        <f>HYPERLINK("https://fin.land.naver.com/articles/2649459333", "매물Link")</f>
        <v/>
      </c>
      <c r="Q318" s="6">
        <f>HYPERLINK("https://map.naver.com/p/search/세종특별자치시 아름동 856", "지도Link")</f>
        <v/>
      </c>
      <c r="R318" s="6">
        <f>HYPERLINK("http://www.eum.go.kr/web/ar/lu/luLandDet.jsp?pnu=3611011300108560000&amp;isNoScr=script&amp;mode=search", "토지이음")</f>
        <v/>
      </c>
      <c r="S318" s="3" t="inlineStr">
        <is>
          <t>세종삼촌</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세종특별자치시 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HYPERLINK("https://map.naver.com/p/search/세종특별자치시 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세종특별자치시 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HYPERLINK("https://map.naver.com/p/search/세종특별자치시 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세종특별자치시 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nan</t>
        </is>
      </c>
      <c r="P321" s="6">
        <f>HYPERLINK("https://fin.land.naver.com/articles/2645959810", "매물Link")</f>
        <v/>
      </c>
      <c r="Q321" s="6">
        <f>HYPERLINK("https://map.naver.com/p/search/세종특별자치시 아름동 875", "지도Link")</f>
        <v/>
      </c>
      <c r="R321" s="6">
        <f>HYPERLINK("http://www.eum.go.kr/web/ar/lu/luLandDet.jsp?pnu=3611011300108750000&amp;isNoScr=script&amp;mode=search", "토지이음")</f>
        <v/>
      </c>
      <c r="S321" s="3" t="inlineStr">
        <is>
          <t>세종갑부</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세종특별자치시 아름동 875</t>
        </is>
      </c>
      <c r="B322" s="3" t="inlineStr">
        <is>
          <t>제1종전용주거지역</t>
        </is>
      </c>
      <c r="C322" s="3" t="inlineStr">
        <is>
          <t>대</t>
        </is>
      </c>
      <c r="D322" s="3" t="inlineStr">
        <is>
          <t>2</t>
        </is>
      </c>
      <c r="E322" s="3" t="inlineStr">
        <is>
          <t>전원주택</t>
        </is>
      </c>
      <c r="F322" s="3" t="inlineStr">
        <is>
          <t>매매</t>
        </is>
      </c>
      <c r="G322" s="4" t="n">
        <v>160000</v>
      </c>
      <c r="H322" s="4" t="n">
        <v>0</v>
      </c>
      <c r="I322" s="4" t="n">
        <v>340</v>
      </c>
      <c r="J322" s="4" t="n">
        <v>103</v>
      </c>
      <c r="K322" s="5" t="n">
        <v>1553.4</v>
      </c>
      <c r="L322" s="4" t="n">
        <v>192</v>
      </c>
      <c r="M322" s="4" t="n">
        <v>58</v>
      </c>
      <c r="N322" s="5" t="n">
        <v>2758.6</v>
      </c>
      <c r="O322" s="3" t="inlineStr">
        <is>
          <t>잘 지어지고 관리가 잘된 집</t>
        </is>
      </c>
      <c r="P322" s="6">
        <f>HYPERLINK("https://fin.land.naver.com/articles/2649006146", "매물Link")</f>
        <v/>
      </c>
      <c r="Q322" s="6">
        <f>HYPERLINK("https://map.naver.com/p/search/세종특별자치시 아름동 875", "지도Link")</f>
        <v/>
      </c>
      <c r="R322" s="6">
        <f>HYPERLINK("http://www.eum.go.kr/web/ar/lu/luLandDet.jsp?pnu=3611011300108750000&amp;isNoScr=script&amp;mode=search", "토지이음")</f>
        <v/>
      </c>
      <c r="S322" s="3" t="inlineStr">
        <is>
          <t>세종푸르지오</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세종특별자치시 아름동 875</t>
        </is>
      </c>
      <c r="B323" s="3" t="inlineStr">
        <is>
          <t>제1종전용주거지역</t>
        </is>
      </c>
      <c r="C323" s="3" t="inlineStr">
        <is>
          <t>대</t>
        </is>
      </c>
      <c r="D323" s="3" t="inlineStr">
        <is>
          <t>2</t>
        </is>
      </c>
      <c r="E323" s="3" t="inlineStr">
        <is>
          <t>단독</t>
        </is>
      </c>
      <c r="F323" s="3" t="inlineStr">
        <is>
          <t>매매</t>
        </is>
      </c>
      <c r="G323" s="4" t="n">
        <v>160000</v>
      </c>
      <c r="H323" s="4" t="n">
        <v>0</v>
      </c>
      <c r="I323" s="4" t="n">
        <v>340</v>
      </c>
      <c r="J323" s="4" t="n">
        <v>103</v>
      </c>
      <c r="K323" s="5" t="n">
        <v>1553.4</v>
      </c>
      <c r="L323" s="4" t="n">
        <v>192</v>
      </c>
      <c r="M323" s="4" t="n">
        <v>58</v>
      </c>
      <c r="N323" s="5" t="n">
        <v>2758.6</v>
      </c>
      <c r="O323" s="3" t="inlineStr">
        <is>
          <t>입주협의 위치좋은 단독주택 관리상태굿 가격조정가능</t>
        </is>
      </c>
      <c r="P323" s="6">
        <f>HYPERLINK("https://fin.land.naver.com/articles/2644599103", "매물Link")</f>
        <v/>
      </c>
      <c r="Q323" s="6">
        <f>HYPERLINK("https://map.naver.com/p/search/세종특별자치시 아름동 875", "지도Link")</f>
        <v/>
      </c>
      <c r="R323" s="6">
        <f>HYPERLINK("http://www.eum.go.kr/web/ar/lu/luLandDet.jsp?pnu=3611011300108750000&amp;isNoScr=script&amp;mode=search", "토지이음")</f>
        <v/>
      </c>
      <c r="S323" s="3" t="inlineStr">
        <is>
          <t>고운동리치세종</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세종특별자치시 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HYPERLINK("https://map.naver.com/p/search/세종특별자치시 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세종특별자치시 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HYPERLINK("https://map.naver.com/p/search/세종특별자치시 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세종특별자치시 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HYPERLINK("https://map.naver.com/p/search/세종특별자치시 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세종특별자치시 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HYPERLINK("https://map.naver.com/p/search/세종특별자치시 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세종특별자치시 연기면 눌왕리 679</t>
        </is>
      </c>
      <c r="B328" s="3" t="inlineStr">
        <is>
          <t>계획관리지역</t>
        </is>
      </c>
      <c r="C328" s="3" t="inlineStr">
        <is>
          <t>대</t>
        </is>
      </c>
      <c r="D328" s="3" t="inlineStr">
        <is>
          <t>1</t>
        </is>
      </c>
      <c r="E328" s="3" t="inlineStr">
        <is>
          <t>전원주택</t>
        </is>
      </c>
      <c r="F328" s="3" t="inlineStr">
        <is>
          <t>매매</t>
        </is>
      </c>
      <c r="G328" s="4" t="n">
        <v>102700</v>
      </c>
      <c r="H328" s="4" t="n">
        <v>0</v>
      </c>
      <c r="I328" s="4" t="n">
        <v>1494</v>
      </c>
      <c r="J328" s="4" t="n">
        <v>452</v>
      </c>
      <c r="K328" s="5" t="n">
        <v>227.2</v>
      </c>
      <c r="L328" s="4" t="n">
        <v>19</v>
      </c>
      <c r="M328" s="4" t="n">
        <v>6</v>
      </c>
      <c r="N328" s="5" t="n">
        <v>17116.7</v>
      </c>
      <c r="O328" s="3" t="inlineStr">
        <is>
          <t>nan</t>
        </is>
      </c>
      <c r="P328" s="6">
        <f>HYPERLINK("https://fin.land.naver.com/articles/2646194528", "매물Link")</f>
        <v/>
      </c>
      <c r="Q328" s="6">
        <f>HYPERLINK("https://map.naver.com/p/search/세종특별자치시 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세종특별자치시 연기면 눌왕리 679</t>
        </is>
      </c>
      <c r="B329" s="3" t="inlineStr">
        <is>
          <t>계획관리지역</t>
        </is>
      </c>
      <c r="C329" s="3" t="inlineStr">
        <is>
          <t>대</t>
        </is>
      </c>
      <c r="D329" s="3" t="inlineStr">
        <is>
          <t>1</t>
        </is>
      </c>
      <c r="E329" s="3" t="inlineStr">
        <is>
          <t>단독</t>
        </is>
      </c>
      <c r="F329" s="3" t="inlineStr">
        <is>
          <t>매매</t>
        </is>
      </c>
      <c r="G329" s="4" t="n">
        <v>100000</v>
      </c>
      <c r="H329" s="4" t="n">
        <v>0</v>
      </c>
      <c r="I329" s="4" t="n">
        <v>10306</v>
      </c>
      <c r="J329" s="4" t="n">
        <v>3118</v>
      </c>
      <c r="K329" s="5" t="n">
        <v>32.1</v>
      </c>
      <c r="L329" s="4" t="n">
        <v>19</v>
      </c>
      <c r="M329" s="4" t="n">
        <v>6</v>
      </c>
      <c r="N329" s="5" t="n">
        <v>16666.7</v>
      </c>
      <c r="O329" s="3" t="inlineStr">
        <is>
          <t>nan</t>
        </is>
      </c>
      <c r="P329" s="6">
        <f>HYPERLINK("https://fin.land.naver.com/articles/2647013668", "매물Link")</f>
        <v/>
      </c>
      <c r="Q329" s="6">
        <f>HYPERLINK("https://map.naver.com/p/search/세종특별자치시 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세종특별자치시 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HYPERLINK("https://map.naver.com/p/search/세종특별자치시 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세종특별자치시 연기면 보통리 387-4</t>
        </is>
      </c>
      <c r="B331" s="3" t="inlineStr">
        <is>
          <t>계획관리지역</t>
        </is>
      </c>
      <c r="C331" s="3" t="inlineStr">
        <is>
          <t>대</t>
        </is>
      </c>
      <c r="D331" s="3" t="inlineStr">
        <is>
          <t>4</t>
        </is>
      </c>
      <c r="E331" s="3" t="inlineStr">
        <is>
          <t>다가구</t>
        </is>
      </c>
      <c r="F331" s="3" t="inlineStr">
        <is>
          <t>매매</t>
        </is>
      </c>
      <c r="G331" s="4" t="n">
        <v>175000</v>
      </c>
      <c r="H331" s="4" t="n">
        <v>0</v>
      </c>
      <c r="I331" s="4" t="n">
        <v>568</v>
      </c>
      <c r="J331" s="4" t="n">
        <v>172</v>
      </c>
      <c r="K331" s="5" t="n">
        <v>1017.4</v>
      </c>
      <c r="L331" s="4" t="n">
        <v>597</v>
      </c>
      <c r="M331" s="4" t="n">
        <v>181</v>
      </c>
      <c r="N331" s="5" t="n">
        <v>966.9</v>
      </c>
      <c r="O331" s="3" t="inlineStr">
        <is>
          <t>공실제로 신축 스마트산업단지 예정 초입위치 다가구주택 통매매</t>
        </is>
      </c>
      <c r="P331" s="6">
        <f>HYPERLINK("https://fin.land.naver.com/articles/2647190679", "매물Link")</f>
        <v/>
      </c>
      <c r="Q331" s="6">
        <f>HYPERLINK("https://map.naver.com/p/search/세종특별자치시 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세종특별자치시 연기면 보통리 387-4</t>
        </is>
      </c>
      <c r="B332" s="3" t="inlineStr">
        <is>
          <t>계획관리지역</t>
        </is>
      </c>
      <c r="C332" s="3" t="inlineStr">
        <is>
          <t>대</t>
        </is>
      </c>
      <c r="D332" s="3" t="inlineStr">
        <is>
          <t>4</t>
        </is>
      </c>
      <c r="E332" s="3" t="inlineStr">
        <is>
          <t>다가구</t>
        </is>
      </c>
      <c r="F332" s="3" t="inlineStr">
        <is>
          <t>월세</t>
        </is>
      </c>
      <c r="G332" s="4" t="n">
        <v>1000</v>
      </c>
      <c r="H332" s="4" t="n">
        <v>40</v>
      </c>
      <c r="I332" s="4" t="n">
        <v>568</v>
      </c>
      <c r="J332" s="4" t="n">
        <v>172</v>
      </c>
      <c r="K332" s="5" t="n">
        <v>0.2</v>
      </c>
      <c r="L332" s="4" t="n">
        <v>597</v>
      </c>
      <c r="M332" s="4" t="n">
        <v>181</v>
      </c>
      <c r="N332" s="5" t="n">
        <v>0.2</v>
      </c>
      <c r="O332" s="3" t="inlineStr">
        <is>
          <t>신축 분리형원룸, 풀옵션, 엘레베이터, 주차大, 보증금월세조정가능</t>
        </is>
      </c>
      <c r="P332" s="6">
        <f>HYPERLINK("https://fin.land.naver.com/articles/2646839110", "매물Link")</f>
        <v/>
      </c>
      <c r="Q332" s="6">
        <f>HYPERLINK("https://map.naver.com/p/search/세종특별자치시 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세종특별자치시 연기면 보통리 387-7</t>
        </is>
      </c>
      <c r="B333" s="3" t="inlineStr">
        <is>
          <t>계획관리지역</t>
        </is>
      </c>
      <c r="C333" s="3" t="inlineStr">
        <is>
          <t>대</t>
        </is>
      </c>
      <c r="D333" s="3" t="inlineStr">
        <is>
          <t>4</t>
        </is>
      </c>
      <c r="E333" s="3" t="inlineStr">
        <is>
          <t>다가구</t>
        </is>
      </c>
      <c r="F333" s="3" t="inlineStr">
        <is>
          <t>월세</t>
        </is>
      </c>
      <c r="G333" s="4" t="n">
        <v>8000</v>
      </c>
      <c r="H333" s="4" t="n">
        <v>50</v>
      </c>
      <c r="I333" s="4" t="n">
        <v>178</v>
      </c>
      <c r="J333" s="4" t="n">
        <v>54</v>
      </c>
      <c r="K333" s="5" t="n">
        <v>0.9</v>
      </c>
      <c r="L333" s="4" t="n">
        <v>60</v>
      </c>
      <c r="M333" s="4" t="n">
        <v>18</v>
      </c>
      <c r="N333" s="5" t="n">
        <v>2.8</v>
      </c>
      <c r="O333" s="3" t="inlineStr">
        <is>
          <t>o합리적인가격o최상의컨디션o수납부자o개인테라스o</t>
        </is>
      </c>
      <c r="P333" s="6">
        <f>HYPERLINK("https://fin.land.naver.com/articles/2649020230", "매물Link")</f>
        <v/>
      </c>
      <c r="Q333" s="6">
        <f>HYPERLINK("https://map.naver.com/p/search/세종특별자치시 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세종특별자치시 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HYPERLINK("https://map.naver.com/p/search/세종특별자치시 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세종특별자치시 연기면 보통리 387-7</t>
        </is>
      </c>
      <c r="B335" s="3" t="inlineStr">
        <is>
          <t>계획관리지역</t>
        </is>
      </c>
      <c r="C335" s="3" t="inlineStr">
        <is>
          <t>대</t>
        </is>
      </c>
      <c r="D335" s="3" t="inlineStr">
        <is>
          <t>3</t>
        </is>
      </c>
      <c r="E335" s="3" t="inlineStr">
        <is>
          <t>일반원룸</t>
        </is>
      </c>
      <c r="F335" s="3" t="inlineStr">
        <is>
          <t>월세</t>
        </is>
      </c>
      <c r="G335" s="4" t="n">
        <v>4000</v>
      </c>
      <c r="H335" s="4" t="n">
        <v>30</v>
      </c>
      <c r="I335" s="4" t="n">
        <v>179</v>
      </c>
      <c r="J335" s="4" t="n">
        <v>54</v>
      </c>
      <c r="K335" s="5" t="n">
        <v>0.6</v>
      </c>
      <c r="L335" s="4" t="n">
        <v>26</v>
      </c>
      <c r="M335" s="4" t="n">
        <v>8</v>
      </c>
      <c r="N335" s="5" t="n">
        <v>3.8</v>
      </c>
      <c r="O335" s="3" t="inlineStr">
        <is>
          <t>신축 풀옵션1.5룸 엘베 중문.스타일러 최고급</t>
        </is>
      </c>
      <c r="P335" s="6">
        <f>HYPERLINK("https://fin.land.naver.com/articles/2649048621", "매물Link")</f>
        <v/>
      </c>
      <c r="Q335" s="6">
        <f>HYPERLINK("https://map.naver.com/p/search/세종특별자치시 연기면 보통리 387-7", "지도Link")</f>
        <v/>
      </c>
      <c r="R335" s="6">
        <f>HYPERLINK("http://www.eum.go.kr/web/ar/lu/luLandDet.jsp?pnu=3611031022103870007&amp;isNoScr=script&amp;mode=search", "토지이음")</f>
        <v/>
      </c>
      <c r="S335" s="3" t="inlineStr">
        <is>
          <t>연기더조은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세종특별자치시 연기면 보통리 387-7</t>
        </is>
      </c>
      <c r="B336" s="3" t="inlineStr">
        <is>
          <t>계획관리지역</t>
        </is>
      </c>
      <c r="C336" s="3" t="inlineStr">
        <is>
          <t>대</t>
        </is>
      </c>
      <c r="D336" s="3" t="inlineStr">
        <is>
          <t>4</t>
        </is>
      </c>
      <c r="E336" s="3" t="inlineStr">
        <is>
          <t>다가구</t>
        </is>
      </c>
      <c r="F336" s="3" t="inlineStr">
        <is>
          <t>월세</t>
        </is>
      </c>
      <c r="G336" s="4" t="n">
        <v>10000</v>
      </c>
      <c r="H336" s="4" t="n">
        <v>30</v>
      </c>
      <c r="I336" s="4" t="n">
        <v>178</v>
      </c>
      <c r="J336" s="4" t="n">
        <v>54</v>
      </c>
      <c r="K336" s="5" t="n">
        <v>0.6</v>
      </c>
      <c r="L336" s="4" t="n">
        <v>60</v>
      </c>
      <c r="M336" s="4" t="n">
        <v>18</v>
      </c>
      <c r="N336" s="5" t="n">
        <v>1.7</v>
      </c>
      <c r="O336" s="3" t="inlineStr">
        <is>
          <t>o합리적인가격o최상의컨디션o수납부자o개인테라스o</t>
        </is>
      </c>
      <c r="P336" s="6">
        <f>HYPERLINK("https://fin.land.naver.com/articles/2649029211", "매물Link")</f>
        <v/>
      </c>
      <c r="Q336" s="6">
        <f>HYPERLINK("https://map.naver.com/p/search/세종특별자치시 연기면 보통리 387-7", "지도Link")</f>
        <v/>
      </c>
      <c r="R336" s="6">
        <f>HYPERLINK("http://www.eum.go.kr/web/ar/lu/luLandDet.jsp?pnu=3611031022103870007&amp;isNoScr=script&amp;mode=search", "토지이음")</f>
        <v/>
      </c>
      <c r="S336" s="3" t="inlineStr">
        <is>
          <t>뉴펜트라움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세종특별자치시 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HYPERLINK("https://map.naver.com/p/search/세종특별자치시 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세종특별자치시 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HYPERLINK("https://map.naver.com/p/search/세종특별자치시 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세종특별자치시 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HYPERLINK("https://map.naver.com/p/search/세종특별자치시 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세종특별자치시 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HYPERLINK("https://map.naver.com/p/search/세종특별자치시 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세종특별자치시 연기면 수산리 534-16</t>
        </is>
      </c>
      <c r="B341" s="3" t="inlineStr">
        <is>
          <t>보전관리지역</t>
        </is>
      </c>
      <c r="C341" s="3" t="inlineStr">
        <is>
          <t>대</t>
        </is>
      </c>
      <c r="D341" s="3" t="inlineStr">
        <is>
          <t>1</t>
        </is>
      </c>
      <c r="E341" s="3" t="inlineStr">
        <is>
          <t>단독</t>
        </is>
      </c>
      <c r="F341" s="3" t="inlineStr">
        <is>
          <t>매매</t>
        </is>
      </c>
      <c r="G341" s="4" t="n">
        <v>43000</v>
      </c>
      <c r="H341" s="4" t="n">
        <v>0</v>
      </c>
      <c r="I341" s="4" t="n">
        <v>456</v>
      </c>
      <c r="J341" s="4" t="n">
        <v>138</v>
      </c>
      <c r="K341" s="5" t="n">
        <v>311.6</v>
      </c>
      <c r="L341" s="4" t="n">
        <v>50</v>
      </c>
      <c r="M341" s="4" t="n">
        <v>15</v>
      </c>
      <c r="N341" s="5" t="n">
        <v>2866.7</v>
      </c>
      <c r="O341" s="3" t="inlineStr">
        <is>
          <t>수산리 독일마을 내 세컨하우스로 좋은 집. 자갈마당.</t>
        </is>
      </c>
      <c r="P341" s="6">
        <f>HYPERLINK("https://fin.land.naver.com/articles/2645605222", "매물Link")</f>
        <v/>
      </c>
      <c r="Q341" s="6">
        <f>HYPERLINK("https://map.naver.com/p/search/세종특별자치시 연기면 수산리 534-16", "지도Link")</f>
        <v/>
      </c>
      <c r="R341" s="6">
        <f>HYPERLINK("http://www.eum.go.kr/web/ar/lu/luLandDet.jsp?pnu=3611031024105340016&amp;isNoScr=script&amp;mode=search", "토지이음")</f>
        <v/>
      </c>
      <c r="S341" s="3" t="inlineStr">
        <is>
          <t>미스터홈즈강남지사</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세종특별자치시 연기면 수산리 534-16</t>
        </is>
      </c>
      <c r="B342" s="3" t="inlineStr">
        <is>
          <t>보전관리지역</t>
        </is>
      </c>
      <c r="C342" s="3" t="inlineStr">
        <is>
          <t>대</t>
        </is>
      </c>
      <c r="D342" s="3" t="inlineStr">
        <is>
          <t>1</t>
        </is>
      </c>
      <c r="E342" s="3" t="inlineStr">
        <is>
          <t>전원주택</t>
        </is>
      </c>
      <c r="F342" s="3" t="inlineStr">
        <is>
          <t>매매</t>
        </is>
      </c>
      <c r="G342" s="4" t="n">
        <v>43000</v>
      </c>
      <c r="H342" s="4" t="n">
        <v>0</v>
      </c>
      <c r="I342" s="4" t="n">
        <v>456</v>
      </c>
      <c r="J342" s="4" t="n">
        <v>138</v>
      </c>
      <c r="K342" s="5" t="n">
        <v>311.6</v>
      </c>
      <c r="L342" s="4" t="n">
        <v>50</v>
      </c>
      <c r="M342" s="4" t="n">
        <v>15</v>
      </c>
      <c r="N342" s="5" t="n">
        <v>2866.7</v>
      </c>
      <c r="O342" s="3" t="inlineStr">
        <is>
          <t>세종행복도시인근 전원단지내 세컨하우스단독주택</t>
        </is>
      </c>
      <c r="P342" s="6">
        <f>HYPERLINK("https://fin.land.naver.com/articles/2646007782", "매물Link")</f>
        <v/>
      </c>
      <c r="Q342" s="6">
        <f>HYPERLINK("https://map.naver.com/p/search/세종특별자치시 연기면 수산리 534-16", "지도Link")</f>
        <v/>
      </c>
      <c r="R342" s="6">
        <f>HYPERLINK("http://www.eum.go.kr/web/ar/lu/luLandDet.jsp?pnu=3611031024105340016&amp;isNoScr=script&amp;mode=search", "토지이음")</f>
        <v/>
      </c>
      <c r="S342" s="3" t="inlineStr">
        <is>
          <t>세종대박</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세종특별자치시 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HYPERLINK("https://map.naver.com/p/search/세종특별자치시 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세종특별자치시 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HYPERLINK("https://map.naver.com/p/search/세종특별자치시 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세종특별자치시 연기면 연기리 1-61</t>
        </is>
      </c>
      <c r="B345" s="3" t="inlineStr">
        <is>
          <t>계획관리지역</t>
        </is>
      </c>
      <c r="C345" s="3" t="inlineStr">
        <is>
          <t>대</t>
        </is>
      </c>
      <c r="D345" s="3" t="inlineStr">
        <is>
          <t>3</t>
        </is>
      </c>
      <c r="E345" s="3" t="inlineStr">
        <is>
          <t>다가구</t>
        </is>
      </c>
      <c r="F345" s="3" t="inlineStr">
        <is>
          <t>단기임대</t>
        </is>
      </c>
      <c r="G345" s="4" t="n">
        <v>200</v>
      </c>
      <c r="H345" s="4" t="n">
        <v>40</v>
      </c>
      <c r="I345" s="4" t="n">
        <v>132</v>
      </c>
      <c r="J345" s="4" t="n">
        <v>40</v>
      </c>
      <c r="K345" s="5" t="n">
        <v>5</v>
      </c>
      <c r="L345" s="4" t="n">
        <v>39</v>
      </c>
      <c r="M345" s="4" t="n">
        <v>12</v>
      </c>
      <c r="N345" s="5" t="n">
        <v>16.7</v>
      </c>
      <c r="O345" s="3" t="inlineStr">
        <is>
          <t>nan</t>
        </is>
      </c>
      <c r="P345" s="6">
        <f>HYPERLINK("https://fin.land.naver.com/articles/2649058393", "매물Link")</f>
        <v/>
      </c>
      <c r="Q345" s="6">
        <f>HYPERLINK("https://map.naver.com/p/search/세종특별자치시 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세종특별자치시 연기면 연기리 1-61</t>
        </is>
      </c>
      <c r="B346" s="3" t="inlineStr">
        <is>
          <t>계획관리지역</t>
        </is>
      </c>
      <c r="C346" s="3" t="inlineStr">
        <is>
          <t>대</t>
        </is>
      </c>
      <c r="D346" s="3" t="inlineStr">
        <is>
          <t>3</t>
        </is>
      </c>
      <c r="E346" s="3" t="inlineStr">
        <is>
          <t>일반원룸</t>
        </is>
      </c>
      <c r="F346" s="3" t="inlineStr">
        <is>
          <t>전세</t>
        </is>
      </c>
      <c r="G346" s="4" t="n">
        <v>4500</v>
      </c>
      <c r="H346" s="4" t="n">
        <v>0</v>
      </c>
      <c r="I346" s="4" t="n">
        <v>128</v>
      </c>
      <c r="J346" s="4" t="n">
        <v>39</v>
      </c>
      <c r="K346" s="5" t="n">
        <v>115.4</v>
      </c>
      <c r="L346" s="4" t="n">
        <v>39</v>
      </c>
      <c r="M346" s="4" t="n">
        <v>12</v>
      </c>
      <c r="N346" s="5" t="n">
        <v>375</v>
      </c>
      <c r="O346" s="3" t="inlineStr">
        <is>
          <t>10.8일이후,6달도가능방1개,거실별도,1.5,산울동차량5분정도도시가스</t>
        </is>
      </c>
      <c r="P346" s="6">
        <f>HYPERLINK("https://fin.land.naver.com/articles/2649059895", "매물Link")</f>
        <v/>
      </c>
      <c r="Q346" s="6">
        <f>HYPERLINK("https://map.naver.com/p/search/세종특별자치시 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세종특별자치시 연기면 연기리 1-61</t>
        </is>
      </c>
      <c r="B347" s="3" t="inlineStr">
        <is>
          <t>계획관리지역</t>
        </is>
      </c>
      <c r="C347" s="3" t="inlineStr">
        <is>
          <t>대</t>
        </is>
      </c>
      <c r="D347" s="3" t="inlineStr">
        <is>
          <t>2</t>
        </is>
      </c>
      <c r="E347" s="3" t="inlineStr">
        <is>
          <t>일반원룸</t>
        </is>
      </c>
      <c r="F347" s="3" t="inlineStr">
        <is>
          <t>월세</t>
        </is>
      </c>
      <c r="G347" s="4" t="n">
        <v>200</v>
      </c>
      <c r="H347" s="4" t="n">
        <v>40</v>
      </c>
      <c r="I347" s="4" t="n">
        <v>128</v>
      </c>
      <c r="J347" s="4" t="n">
        <v>39</v>
      </c>
      <c r="K347" s="5" t="n">
        <v>1</v>
      </c>
      <c r="L347" s="4" t="n">
        <v>39</v>
      </c>
      <c r="M347" s="4" t="n">
        <v>12</v>
      </c>
      <c r="N347" s="5" t="n">
        <v>3.3</v>
      </c>
      <c r="O347" s="3" t="inlineStr">
        <is>
          <t>10.8일이후,6달도가능,1개,거실별도1.5,산울동차량5분정도,도시가스</t>
        </is>
      </c>
      <c r="P347" s="6">
        <f>HYPERLINK("https://fin.land.naver.com/articles/2649061903", "매물Link")</f>
        <v/>
      </c>
      <c r="Q347" s="6">
        <f>HYPERLINK("https://map.naver.com/p/search/세종특별자치시 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세종특별자치시 연기면 연기리 1-61</t>
        </is>
      </c>
      <c r="B348" s="3" t="inlineStr">
        <is>
          <t>계획관리지역</t>
        </is>
      </c>
      <c r="C348" s="3" t="inlineStr">
        <is>
          <t>대</t>
        </is>
      </c>
      <c r="D348" s="3" t="inlineStr">
        <is>
          <t>2</t>
        </is>
      </c>
      <c r="E348" s="3" t="inlineStr">
        <is>
          <t>일반원룸</t>
        </is>
      </c>
      <c r="F348" s="3" t="inlineStr">
        <is>
          <t>단기임대</t>
        </is>
      </c>
      <c r="G348" s="4" t="n">
        <v>200</v>
      </c>
      <c r="H348" s="4" t="n">
        <v>40</v>
      </c>
      <c r="I348" s="4" t="n">
        <v>128</v>
      </c>
      <c r="J348" s="4" t="n">
        <v>39</v>
      </c>
      <c r="K348" s="5" t="n">
        <v>5.1</v>
      </c>
      <c r="L348" s="4" t="n">
        <v>39</v>
      </c>
      <c r="M348" s="4" t="n">
        <v>12</v>
      </c>
      <c r="N348" s="5" t="n">
        <v>16.7</v>
      </c>
      <c r="O348" s="3" t="inlineStr">
        <is>
          <t>10.8일이후,6달도가능,1개,거실별도1.5,산울동차량5분정도,도시가스</t>
        </is>
      </c>
      <c r="P348" s="6">
        <f>HYPERLINK("https://fin.land.naver.com/articles/2650029442", "매물Link")</f>
        <v/>
      </c>
      <c r="Q348" s="6">
        <f>HYPERLINK("https://map.naver.com/p/search/세종특별자치시 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세종특별자치시 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HYPERLINK("https://map.naver.com/p/search/세종특별자치시 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세종특별자치시 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HYPERLINK("https://map.naver.com/p/search/세종특별자치시 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세종특별자치시 연기면 연기리 135-11</t>
        </is>
      </c>
      <c r="B351" s="3" t="inlineStr">
        <is>
          <t>계획관리지역</t>
        </is>
      </c>
      <c r="C351" s="3" t="inlineStr">
        <is>
          <t>대</t>
        </is>
      </c>
      <c r="D351" s="3" t="inlineStr">
        <is>
          <t>3</t>
        </is>
      </c>
      <c r="E351" s="3" t="inlineStr">
        <is>
          <t>다가구</t>
        </is>
      </c>
      <c r="F351" s="3" t="inlineStr">
        <is>
          <t>전세</t>
        </is>
      </c>
      <c r="G351" s="4" t="n">
        <v>5000</v>
      </c>
      <c r="H351" s="4" t="n">
        <v>0</v>
      </c>
      <c r="I351" s="4" t="n">
        <v>39</v>
      </c>
      <c r="J351" s="4" t="n">
        <v>12</v>
      </c>
      <c r="K351" s="5" t="n">
        <v>416.7</v>
      </c>
      <c r="L351" s="4" t="n">
        <v>29</v>
      </c>
      <c r="M351" s="4" t="n">
        <v>9</v>
      </c>
      <c r="N351" s="5" t="n">
        <v>555.6</v>
      </c>
      <c r="O351" s="3" t="inlineStr">
        <is>
          <t>넓은1.5룸.답답한방 싫다면.조용한이방</t>
        </is>
      </c>
      <c r="P351" s="6">
        <f>HYPERLINK("https://fin.land.naver.com/articles/2649949362", "매물Link")</f>
        <v/>
      </c>
      <c r="Q351" s="6">
        <f>HYPERLINK("https://map.naver.com/p/search/세종특별자치시 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세종특별자치시 연기면 연기리 135-11</t>
        </is>
      </c>
      <c r="B352" s="3" t="inlineStr">
        <is>
          <t>계획관리지역</t>
        </is>
      </c>
      <c r="C352" s="3" t="inlineStr">
        <is>
          <t>대</t>
        </is>
      </c>
      <c r="D352" s="3" t="inlineStr">
        <is>
          <t>2</t>
        </is>
      </c>
      <c r="E352" s="3" t="inlineStr">
        <is>
          <t>단독</t>
        </is>
      </c>
      <c r="F352" s="3" t="inlineStr">
        <is>
          <t>전세</t>
        </is>
      </c>
      <c r="G352" s="4" t="n">
        <v>4000</v>
      </c>
      <c r="H352" s="4" t="n">
        <v>0</v>
      </c>
      <c r="I352" s="4" t="n">
        <v>30</v>
      </c>
      <c r="J352" s="4" t="n">
        <v>9</v>
      </c>
      <c r="K352" s="5" t="n">
        <v>444.4</v>
      </c>
      <c r="L352" s="4" t="n">
        <v>21</v>
      </c>
      <c r="M352" s="4" t="n">
        <v>6</v>
      </c>
      <c r="N352" s="5" t="n">
        <v>666.7</v>
      </c>
      <c r="O352" s="3" t="inlineStr">
        <is>
          <t>보증보험 가입중.깔끔한방찾으시면.주차편한 991번 버스정류장5분</t>
        </is>
      </c>
      <c r="P352" s="6">
        <f>HYPERLINK("https://fin.land.naver.com/articles/2649448490", "매물Link")</f>
        <v/>
      </c>
      <c r="Q352" s="6">
        <f>HYPERLINK("https://map.naver.com/p/search/세종특별자치시 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세종특별자치시 연기면 연기리 135-9</t>
        </is>
      </c>
      <c r="B353" s="3" t="inlineStr">
        <is>
          <t>계획관리지역</t>
        </is>
      </c>
      <c r="C353" s="3" t="inlineStr">
        <is>
          <t>대</t>
        </is>
      </c>
      <c r="D353" s="3" t="inlineStr">
        <is>
          <t>4</t>
        </is>
      </c>
      <c r="E353" s="3" t="inlineStr">
        <is>
          <t>일반원룸</t>
        </is>
      </c>
      <c r="F353" s="3" t="inlineStr">
        <is>
          <t>전세</t>
        </is>
      </c>
      <c r="G353" s="4" t="n">
        <v>4000</v>
      </c>
      <c r="H353" s="4" t="n">
        <v>0</v>
      </c>
      <c r="I353" s="4" t="n">
        <v>143</v>
      </c>
      <c r="J353" s="4" t="n">
        <v>43</v>
      </c>
      <c r="K353" s="5" t="n">
        <v>93</v>
      </c>
      <c r="L353" s="4" t="n">
        <v>26</v>
      </c>
      <c r="M353" s="4" t="n">
        <v>8</v>
      </c>
      <c r="N353" s="5" t="n">
        <v>500</v>
      </c>
      <c r="O353" s="3" t="inlineStr">
        <is>
          <t>nan</t>
        </is>
      </c>
      <c r="P353" s="6">
        <f>HYPERLINK("https://fin.land.naver.com/articles/2645587548", "매물Link")</f>
        <v/>
      </c>
      <c r="Q353" s="6">
        <f>HYPERLINK("https://map.naver.com/p/search/세종특별자치시 연기면 연기리 135-9", "지도Link")</f>
        <v/>
      </c>
      <c r="R353" s="6">
        <f>HYPERLINK("http://www.eum.go.kr/web/ar/lu/luLandDet.jsp?pnu=3611031021101350009&amp;isNoScr=script&amp;mode=search", "토지이음")</f>
        <v/>
      </c>
      <c r="S353" s="3" t="inlineStr">
        <is>
          <t>동서남북</t>
        </is>
      </c>
      <c r="T353" s="3" t="n">
        <v>1</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세종특별자치시 연기면 연기리 135-9</t>
        </is>
      </c>
      <c r="B354" s="3" t="inlineStr">
        <is>
          <t>계획관리지역</t>
        </is>
      </c>
      <c r="C354" s="3" t="inlineStr">
        <is>
          <t>대</t>
        </is>
      </c>
      <c r="D354" s="3" t="inlineStr">
        <is>
          <t>4</t>
        </is>
      </c>
      <c r="E354" s="3" t="inlineStr">
        <is>
          <t>다가구</t>
        </is>
      </c>
      <c r="F354" s="3" t="inlineStr">
        <is>
          <t>단기임대</t>
        </is>
      </c>
      <c r="G354" s="4" t="n">
        <v>200</v>
      </c>
      <c r="H354" s="4" t="n">
        <v>33</v>
      </c>
      <c r="I354" s="4" t="n">
        <v>143</v>
      </c>
      <c r="J354" s="4" t="n">
        <v>43</v>
      </c>
      <c r="K354" s="5" t="n">
        <v>4.7</v>
      </c>
      <c r="L354" s="4" t="n">
        <v>39</v>
      </c>
      <c r="M354" s="4" t="n">
        <v>12</v>
      </c>
      <c r="N354" s="5" t="n">
        <v>16.7</v>
      </c>
      <c r="O354" s="3" t="inlineStr">
        <is>
          <t>9.29일이후 주방분리형구조 ,연기리 행정복지센터인근,주차편리</t>
        </is>
      </c>
      <c r="P354" s="6">
        <f>HYPERLINK("https://fin.land.naver.com/articles/2648132438", "매물Link")</f>
        <v/>
      </c>
      <c r="Q354" s="6">
        <f>HYPERLINK("https://map.naver.com/p/search/세종특별자치시 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세종특별자치시 연기면 연기리 135-9</t>
        </is>
      </c>
      <c r="B355" s="3" t="inlineStr">
        <is>
          <t>계획관리지역</t>
        </is>
      </c>
      <c r="C355" s="3" t="inlineStr">
        <is>
          <t>대</t>
        </is>
      </c>
      <c r="D355" s="3" t="inlineStr">
        <is>
          <t>4</t>
        </is>
      </c>
      <c r="E355" s="3" t="inlineStr">
        <is>
          <t>다가구</t>
        </is>
      </c>
      <c r="F355" s="3" t="inlineStr">
        <is>
          <t>월세</t>
        </is>
      </c>
      <c r="G355" s="4" t="n">
        <v>200</v>
      </c>
      <c r="H355" s="4" t="n">
        <v>33</v>
      </c>
      <c r="I355" s="4" t="n">
        <v>143</v>
      </c>
      <c r="J355" s="4" t="n">
        <v>43</v>
      </c>
      <c r="K355" s="5" t="n">
        <v>0.8</v>
      </c>
      <c r="L355" s="4" t="n">
        <v>39</v>
      </c>
      <c r="M355" s="4" t="n">
        <v>12</v>
      </c>
      <c r="N355" s="5" t="n">
        <v>2.8</v>
      </c>
      <c r="O355" s="3" t="inlineStr">
        <is>
          <t>9.29일이후 주방분리형구조 ,연기리 행정복지센터인근,주차편리</t>
        </is>
      </c>
      <c r="P355" s="6">
        <f>HYPERLINK("https://fin.land.naver.com/articles/2649000122", "매물Link")</f>
        <v/>
      </c>
      <c r="Q355" s="6">
        <f>HYPERLINK("https://map.naver.com/p/search/세종특별자치시 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세종특별자치시 연기면 연기리 135-9</t>
        </is>
      </c>
      <c r="B356" s="3" t="inlineStr">
        <is>
          <t>계획관리지역</t>
        </is>
      </c>
      <c r="C356" s="3" t="inlineStr">
        <is>
          <t>대</t>
        </is>
      </c>
      <c r="D356" s="3" t="inlineStr">
        <is>
          <t>4</t>
        </is>
      </c>
      <c r="E356" s="3" t="inlineStr">
        <is>
          <t>일반원룸</t>
        </is>
      </c>
      <c r="F356" s="3" t="inlineStr">
        <is>
          <t>월세</t>
        </is>
      </c>
      <c r="G356" s="4" t="n">
        <v>200</v>
      </c>
      <c r="H356" s="4" t="n">
        <v>33</v>
      </c>
      <c r="I356" s="4" t="n">
        <v>142</v>
      </c>
      <c r="J356" s="4" t="n">
        <v>43</v>
      </c>
      <c r="K356" s="5" t="n">
        <v>0.8</v>
      </c>
      <c r="L356" s="4" t="n">
        <v>26</v>
      </c>
      <c r="M356" s="4" t="n">
        <v>8</v>
      </c>
      <c r="N356" s="5" t="n">
        <v>4.1</v>
      </c>
      <c r="O356" s="3" t="inlineStr">
        <is>
          <t>9.28일이후,산울동차량3분 ,대중교통은 보통이나 주차는 편리합니다.</t>
        </is>
      </c>
      <c r="P356" s="6">
        <f>HYPERLINK("https://fin.land.naver.com/articles/2646318936", "매물Link")</f>
        <v/>
      </c>
      <c r="Q356" s="6">
        <f>HYPERLINK("https://map.naver.com/p/search/세종특별자치시 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세종특별자치시 연기면 연기리 135-9</t>
        </is>
      </c>
      <c r="B357" s="3" t="inlineStr">
        <is>
          <t>계획관리지역</t>
        </is>
      </c>
      <c r="C357" s="3" t="inlineStr">
        <is>
          <t>대</t>
        </is>
      </c>
      <c r="D357" s="3" t="inlineStr">
        <is>
          <t>4</t>
        </is>
      </c>
      <c r="E357" s="3" t="inlineStr">
        <is>
          <t>일반원룸</t>
        </is>
      </c>
      <c r="F357" s="3" t="inlineStr">
        <is>
          <t>단기임대</t>
        </is>
      </c>
      <c r="G357" s="4" t="n">
        <v>200</v>
      </c>
      <c r="H357" s="4" t="n">
        <v>33</v>
      </c>
      <c r="I357" s="4" t="n">
        <v>142</v>
      </c>
      <c r="J357" s="4" t="n">
        <v>43</v>
      </c>
      <c r="K357" s="5" t="n">
        <v>4.7</v>
      </c>
      <c r="L357" s="4" t="n">
        <v>26</v>
      </c>
      <c r="M357" s="4" t="n">
        <v>8</v>
      </c>
      <c r="N357" s="5" t="n">
        <v>25</v>
      </c>
      <c r="O357" s="3" t="inlineStr">
        <is>
          <t>9.28일이후,산울동차량3분 ,대중교통은 보통이나 주차는 편리합니다.</t>
        </is>
      </c>
      <c r="P357" s="6">
        <f>HYPERLINK("https://fin.land.naver.com/articles/2646319724", "매물Link")</f>
        <v/>
      </c>
      <c r="Q357" s="6">
        <f>HYPERLINK("https://map.naver.com/p/search/세종특별자치시 연기면 연기리 135-9", "지도Link")</f>
        <v/>
      </c>
      <c r="R357" s="6">
        <f>HYPERLINK("http://www.eum.go.kr/web/ar/lu/luLandDet.jsp?pnu=3611031021101350009&amp;isNoScr=script&amp;mode=search", "토지이음")</f>
        <v/>
      </c>
      <c r="S357" s="3" t="inlineStr">
        <is>
          <t>신동서남북</t>
        </is>
      </c>
      <c r="T357" s="3" t="n">
        <v>2</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세종특별자치시 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HYPERLINK("https://map.naver.com/p/search/세종특별자치시 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세종특별자치시 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HYPERLINK("https://map.naver.com/p/search/세종특별자치시 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세종특별자치시 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HYPERLINK("https://map.naver.com/p/search/세종특별자치시 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세종특별자치시 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HYPERLINK("https://map.naver.com/p/search/세종특별자치시 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세종특별자치시 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HYPERLINK("https://map.naver.com/p/search/세종특별자치시 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세종특별자치시 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HYPERLINK("https://map.naver.com/p/search/세종특별자치시 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세종특별자치시 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HYPERLINK("https://map.naver.com/p/search/세종특별자치시 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세종특별자치시 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HYPERLINK("https://map.naver.com/p/search/세종특별자치시 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세종특별자치시 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HYPERLINK("https://map.naver.com/p/search/세종특별자치시 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세종특별자치시 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HYPERLINK("https://map.naver.com/p/search/세종특별자치시 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세종특별자치시 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HYPERLINK("https://map.naver.com/p/search/세종특별자치시 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세종특별자치시 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HYPERLINK("https://map.naver.com/p/search/세종특별자치시 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세종특별자치시 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HYPERLINK("https://map.naver.com/p/search/세종특별자치시 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세종특별자치시 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HYPERLINK("https://map.naver.com/p/search/세종특별자치시 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세종특별자치시 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HYPERLINK("https://map.naver.com/p/search/세종특별자치시 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세종특별자치시 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HYPERLINK("https://map.naver.com/p/search/세종특별자치시 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세종특별자치시 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HYPERLINK("https://map.naver.com/p/search/세종특별자치시 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세종특별자치시 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HYPERLINK("https://map.naver.com/p/search/세종특별자치시 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세종특별자치시 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HYPERLINK("https://map.naver.com/p/search/세종특별자치시 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세종특별자치시 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HYPERLINK("https://map.naver.com/p/search/세종특별자치시 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세종특별자치시 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HYPERLINK("https://map.naver.com/p/search/세종특별자치시 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세종특별자치시 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HYPERLINK("https://map.naver.com/p/search/세종특별자치시 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세종특별자치시 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HYPERLINK("https://map.naver.com/p/search/세종특별자치시 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세종특별자치시 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HYPERLINK("https://map.naver.com/p/search/세종특별자치시 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세종특별자치시 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HYPERLINK("https://map.naver.com/p/search/세종특별자치시 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세종특별자치시 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HYPERLINK("https://map.naver.com/p/search/세종특별자치시 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세종특별자치시 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HYPERLINK("https://map.naver.com/p/search/세종특별자치시 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세종특별자치시 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HYPERLINK("https://map.naver.com/p/search/세종특별자치시 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세종특별자치시 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HYPERLINK("https://map.naver.com/p/search/세종특별자치시 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세종특별자치시 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360</v>
      </c>
      <c r="J387" s="4" t="n">
        <v>109</v>
      </c>
      <c r="K387" s="5" t="n">
        <v>917.4</v>
      </c>
      <c r="L387" s="4" t="n">
        <v>490</v>
      </c>
      <c r="M387" s="4" t="n">
        <v>148</v>
      </c>
      <c r="N387" s="5" t="n">
        <v>675.7</v>
      </c>
      <c r="O387" s="3" t="inlineStr">
        <is>
          <t>nan</t>
        </is>
      </c>
      <c r="P387" s="6">
        <f>HYPERLINK("https://fin.land.naver.com/articles/2645645528", "매물Link")</f>
        <v/>
      </c>
      <c r="Q387" s="6">
        <f>HYPERLINK("https://map.naver.com/p/search/세종특별자치시 연서면 봉암리 54-89", "지도Link")</f>
        <v/>
      </c>
      <c r="R387" s="6">
        <f>HYPERLINK("http://www.eum.go.kr/web/ar/lu/luLandDet.jsp?pnu=3611036033100540089&amp;isNoScr=script&amp;mode=search", "토지이음")</f>
        <v/>
      </c>
      <c r="S387" s="3" t="inlineStr">
        <is>
          <t>엄지척</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세종특별자치시 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359</v>
      </c>
      <c r="J388" s="4" t="n">
        <v>109</v>
      </c>
      <c r="K388" s="5" t="n">
        <v>917.4</v>
      </c>
      <c r="L388" s="4" t="n">
        <v>490</v>
      </c>
      <c r="M388" s="4" t="n">
        <v>148</v>
      </c>
      <c r="N388" s="5" t="n">
        <v>675.7</v>
      </c>
      <c r="O388" s="3" t="inlineStr">
        <is>
          <t>세종시 인접  19실  수익형 다가구매매</t>
        </is>
      </c>
      <c r="P388" s="6">
        <f>HYPERLINK("https://fin.land.naver.com/articles/2646955761", "매물Link")</f>
        <v/>
      </c>
      <c r="Q388" s="6">
        <f>HYPERLINK("https://map.naver.com/p/search/세종특별자치시 연서면 봉암리 54-89", "지도Link")</f>
        <v/>
      </c>
      <c r="R388" s="6">
        <f>HYPERLINK("http://www.eum.go.kr/web/ar/lu/luLandDet.jsp?pnu=3611036033100540089&amp;isNoScr=script&amp;mode=search", "토지이음")</f>
        <v/>
      </c>
      <c r="S388" s="3" t="inlineStr">
        <is>
          <t>연서</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세종특별자치시 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HYPERLINK("https://map.naver.com/p/search/세종특별자치시 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세종특별자치시 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HYPERLINK("https://fin.land.naver.com/articles/2645609323", "매물Link")</f>
        <v/>
      </c>
      <c r="Q390" s="6">
        <f>HYPERLINK("https://map.naver.com/p/search/세종특별자치시 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세종특별자치시 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HYPERLINK("https://map.naver.com/p/search/세종특별자치시 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세종특별자치시 연서면 봉암리 58-3</t>
        </is>
      </c>
      <c r="B392" s="3" t="inlineStr">
        <is>
          <t>계획관리지역</t>
        </is>
      </c>
      <c r="C392" s="3" t="inlineStr">
        <is>
          <t>대</t>
        </is>
      </c>
      <c r="D392" s="3" t="inlineStr">
        <is>
          <t>2</t>
        </is>
      </c>
      <c r="E392" s="3" t="inlineStr">
        <is>
          <t>일반원룸</t>
        </is>
      </c>
      <c r="F392" s="3" t="inlineStr">
        <is>
          <t>단기임대</t>
        </is>
      </c>
      <c r="G392" s="4" t="n">
        <v>300</v>
      </c>
      <c r="H392" s="4" t="n">
        <v>45</v>
      </c>
      <c r="I392" s="4" t="n">
        <v>139</v>
      </c>
      <c r="J392" s="4" t="n">
        <v>42</v>
      </c>
      <c r="K392" s="5" t="n">
        <v>7.1</v>
      </c>
      <c r="L392" s="4" t="n">
        <v>39</v>
      </c>
      <c r="M392" s="4" t="n">
        <v>12</v>
      </c>
      <c r="N392" s="5" t="n">
        <v>25</v>
      </c>
      <c r="O392" s="3" t="inlineStr">
        <is>
          <t>nan</t>
        </is>
      </c>
      <c r="P392" s="6">
        <f>HYPERLINK("https://fin.land.naver.com/articles/2647001229", "매물Link")</f>
        <v/>
      </c>
      <c r="Q392" s="6">
        <f>HYPERLINK("https://map.naver.com/p/search/세종특별자치시 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세종특별자치시 연서면 봉암리 58-3</t>
        </is>
      </c>
      <c r="B393" s="3" t="inlineStr">
        <is>
          <t>계획관리지역</t>
        </is>
      </c>
      <c r="C393" s="3" t="inlineStr">
        <is>
          <t>대</t>
        </is>
      </c>
      <c r="D393" s="3" t="inlineStr">
        <is>
          <t>2</t>
        </is>
      </c>
      <c r="E393" s="3" t="inlineStr">
        <is>
          <t>다가구</t>
        </is>
      </c>
      <c r="F393" s="3" t="inlineStr">
        <is>
          <t>월세</t>
        </is>
      </c>
      <c r="G393" s="4" t="n">
        <v>300</v>
      </c>
      <c r="H393" s="4" t="n">
        <v>45</v>
      </c>
      <c r="I393" s="4" t="n">
        <v>139</v>
      </c>
      <c r="J393" s="4" t="n">
        <v>42</v>
      </c>
      <c r="K393" s="5" t="n">
        <v>1.1</v>
      </c>
      <c r="L393" s="4" t="n">
        <v>39</v>
      </c>
      <c r="M393" s="4" t="n">
        <v>12</v>
      </c>
      <c r="N393" s="5" t="n">
        <v>3.8</v>
      </c>
      <c r="O393" s="3" t="inlineStr">
        <is>
          <t>nan</t>
        </is>
      </c>
      <c r="P393" s="6">
        <f>HYPERLINK("https://fin.land.naver.com/articles/2648794253", "매물Link")</f>
        <v/>
      </c>
      <c r="Q393" s="6">
        <f>HYPERLINK("https://map.naver.com/p/search/세종특별자치시 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세종특별자치시 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HYPERLINK("https://map.naver.com/p/search/세종특별자치시 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세종특별자치시 연서면 봉암리 58-3</t>
        </is>
      </c>
      <c r="B395" s="3" t="inlineStr">
        <is>
          <t>계획관리지역</t>
        </is>
      </c>
      <c r="C395" s="3" t="inlineStr">
        <is>
          <t>대</t>
        </is>
      </c>
      <c r="D395" s="3" t="inlineStr">
        <is>
          <t>2</t>
        </is>
      </c>
      <c r="E395" s="3" t="inlineStr">
        <is>
          <t>일반원룸</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HYPERLINK("https://fin.land.naver.com/articles/2646744402", "매물Link")</f>
        <v/>
      </c>
      <c r="Q395" s="6">
        <f>HYPERLINK("https://map.naver.com/p/search/세종특별자치시 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세종특별자치시 연서면 봉암리 58-4</t>
        </is>
      </c>
      <c r="B396" s="3" t="inlineStr">
        <is>
          <t>계획관리지역</t>
        </is>
      </c>
      <c r="C396" s="3" t="inlineStr">
        <is>
          <t>대</t>
        </is>
      </c>
      <c r="D396" s="3" t="inlineStr">
        <is>
          <t>4</t>
        </is>
      </c>
      <c r="E396" s="3" t="inlineStr">
        <is>
          <t>다가구</t>
        </is>
      </c>
      <c r="F396" s="3" t="inlineStr">
        <is>
          <t>매매</t>
        </is>
      </c>
      <c r="G396" s="4" t="n">
        <v>100000</v>
      </c>
      <c r="H396" s="4" t="n">
        <v>0</v>
      </c>
      <c r="I396" s="4" t="n">
        <v>435</v>
      </c>
      <c r="J396" s="4" t="n">
        <v>132</v>
      </c>
      <c r="K396" s="5" t="n">
        <v>757.6</v>
      </c>
      <c r="L396" s="4" t="n">
        <v>434</v>
      </c>
      <c r="M396" s="4" t="n">
        <v>131</v>
      </c>
      <c r="N396" s="5" t="n">
        <v>763.4</v>
      </c>
      <c r="O396" s="3" t="inlineStr">
        <is>
          <t>nan</t>
        </is>
      </c>
      <c r="P396" s="6">
        <f>HYPERLINK("https://fin.land.naver.com/articles/2646738010", "매물Link")</f>
        <v/>
      </c>
      <c r="Q396" s="6">
        <f>HYPERLINK("https://map.naver.com/p/search/세종특별자치시 연서면 봉암리 58-4", "지도Link")</f>
        <v/>
      </c>
      <c r="R396" s="6">
        <f>HYPERLINK("http://www.eum.go.kr/web/ar/lu/luLandDet.jsp?pnu=3611036033100580004&amp;isNoScr=script&amp;mode=search", "토지이음")</f>
        <v/>
      </c>
      <c r="S396" s="3" t="inlineStr">
        <is>
          <t>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세종특별자치시 연서면 봉암리 58-4</t>
        </is>
      </c>
      <c r="B397" s="3" t="inlineStr">
        <is>
          <t>계획관리지역</t>
        </is>
      </c>
      <c r="C397" s="3" t="inlineStr">
        <is>
          <t>대</t>
        </is>
      </c>
      <c r="D397" s="3" t="inlineStr">
        <is>
          <t>4</t>
        </is>
      </c>
      <c r="E397" s="3" t="inlineStr">
        <is>
          <t>일반원룸</t>
        </is>
      </c>
      <c r="F397" s="3" t="inlineStr">
        <is>
          <t>월세</t>
        </is>
      </c>
      <c r="G397" s="4" t="n">
        <v>200</v>
      </c>
      <c r="H397" s="4" t="n">
        <v>30</v>
      </c>
      <c r="I397" s="4" t="n">
        <v>139</v>
      </c>
      <c r="J397" s="4" t="n">
        <v>42</v>
      </c>
      <c r="K397" s="5" t="n">
        <v>0.7</v>
      </c>
      <c r="L397" s="4" t="n">
        <v>23</v>
      </c>
      <c r="M397" s="4" t="n">
        <v>7</v>
      </c>
      <c r="N397" s="5" t="n">
        <v>4.3</v>
      </c>
      <c r="O397" s="3" t="inlineStr">
        <is>
          <t>nan</t>
        </is>
      </c>
      <c r="P397" s="6">
        <f>HYPERLINK("https://fin.land.naver.com/articles/2650172865", "매물Link")</f>
        <v/>
      </c>
      <c r="Q397" s="6">
        <f>HYPERLINK("https://map.naver.com/p/search/세종특별자치시 연서면 봉암리 58-4", "지도Link")</f>
        <v/>
      </c>
      <c r="R397" s="6">
        <f>HYPERLINK("http://www.eum.go.kr/web/ar/lu/luLandDet.jsp?pnu=3611036033100580004&amp;isNoScr=script&amp;mode=search", "토지이음")</f>
        <v/>
      </c>
      <c r="S397" s="3" t="inlineStr">
        <is>
          <t>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세종특별자치시 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HYPERLINK("https://map.naver.com/p/search/세종특별자치시 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세종특별자치시 연서면 봉암리 58-4</t>
        </is>
      </c>
      <c r="B399" s="3" t="inlineStr">
        <is>
          <t>계획관리지역</t>
        </is>
      </c>
      <c r="C399" s="3" t="inlineStr">
        <is>
          <t>대</t>
        </is>
      </c>
      <c r="D399" s="3" t="inlineStr">
        <is>
          <t>4</t>
        </is>
      </c>
      <c r="E399" s="3" t="inlineStr">
        <is>
          <t>다가구</t>
        </is>
      </c>
      <c r="F399" s="3" t="inlineStr">
        <is>
          <t>월세</t>
        </is>
      </c>
      <c r="G399" s="4" t="n">
        <v>200</v>
      </c>
      <c r="H399" s="4" t="n">
        <v>30</v>
      </c>
      <c r="I399" s="4" t="n">
        <v>139</v>
      </c>
      <c r="J399" s="4" t="n">
        <v>42</v>
      </c>
      <c r="K399" s="5" t="n">
        <v>0.7</v>
      </c>
      <c r="L399" s="4" t="n">
        <v>23</v>
      </c>
      <c r="M399" s="4" t="n">
        <v>7</v>
      </c>
      <c r="N399" s="5" t="n">
        <v>4.3</v>
      </c>
      <c r="O399" s="3" t="inlineStr">
        <is>
          <t>즉시입주,6달가능,주방분리형,대중교통우수,도시가스</t>
        </is>
      </c>
      <c r="P399" s="6">
        <f>HYPERLINK("https://fin.land.naver.com/articles/2650173555", "매물Link")</f>
        <v/>
      </c>
      <c r="Q399" s="6">
        <f>HYPERLINK("https://map.naver.com/p/search/세종특별자치시 연서면 봉암리 58-4", "지도Link")</f>
        <v/>
      </c>
      <c r="R399" s="6">
        <f>HYPERLINK("http://www.eum.go.kr/web/ar/lu/luLandDet.jsp?pnu=3611036033100580004&amp;isNoScr=script&amp;mode=search", "토지이음")</f>
        <v/>
      </c>
      <c r="S399" s="3" t="inlineStr">
        <is>
          <t>신동서남북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세종특별자치시 연서면 봉암리 58-4</t>
        </is>
      </c>
      <c r="B400" s="3" t="inlineStr">
        <is>
          <t>계획관리지역</t>
        </is>
      </c>
      <c r="C400" s="3" t="inlineStr">
        <is>
          <t>대</t>
        </is>
      </c>
      <c r="D400" s="3" t="inlineStr">
        <is>
          <t>4</t>
        </is>
      </c>
      <c r="E400" s="3" t="inlineStr">
        <is>
          <t>다가구</t>
        </is>
      </c>
      <c r="F400" s="3" t="inlineStr">
        <is>
          <t>단기임대</t>
        </is>
      </c>
      <c r="G400" s="4" t="n">
        <v>200</v>
      </c>
      <c r="H400" s="4" t="n">
        <v>30</v>
      </c>
      <c r="I400" s="4" t="n">
        <v>139</v>
      </c>
      <c r="J400" s="4" t="n">
        <v>42</v>
      </c>
      <c r="K400" s="5" t="n">
        <v>4.8</v>
      </c>
      <c r="L400" s="4" t="n">
        <v>23</v>
      </c>
      <c r="M400" s="4" t="n">
        <v>7</v>
      </c>
      <c r="N400" s="5" t="n">
        <v>28.6</v>
      </c>
      <c r="O400" s="3" t="inlineStr">
        <is>
          <t>즉시입주,6달가능,주방분리형,대중교통우수,도시가스</t>
        </is>
      </c>
      <c r="P400" s="6">
        <f>HYPERLINK("https://fin.land.naver.com/articles/2650173786", "매물Link")</f>
        <v/>
      </c>
      <c r="Q400" s="6">
        <f>HYPERLINK("https://map.naver.com/p/search/세종특별자치시 연서면 봉암리 58-4", "지도Link")</f>
        <v/>
      </c>
      <c r="R400" s="6">
        <f>HYPERLINK("http://www.eum.go.kr/web/ar/lu/luLandDet.jsp?pnu=3611036033100580004&amp;isNoScr=script&amp;mode=search", "토지이음")</f>
        <v/>
      </c>
      <c r="S400" s="3" t="inlineStr">
        <is>
          <t>신동서남북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세종특별자치시 연서면 봉암리 58-4</t>
        </is>
      </c>
      <c r="B401" s="3" t="inlineStr">
        <is>
          <t>계획관리지역</t>
        </is>
      </c>
      <c r="C401" s="3" t="inlineStr">
        <is>
          <t>대</t>
        </is>
      </c>
      <c r="D401" s="3" t="inlineStr">
        <is>
          <t>4</t>
        </is>
      </c>
      <c r="E401" s="3" t="inlineStr">
        <is>
          <t>일반원룸</t>
        </is>
      </c>
      <c r="F401" s="3" t="inlineStr">
        <is>
          <t>전세</t>
        </is>
      </c>
      <c r="G401" s="4" t="n">
        <v>5000</v>
      </c>
      <c r="H401" s="4" t="n">
        <v>0</v>
      </c>
      <c r="I401" s="4" t="n">
        <v>139</v>
      </c>
      <c r="J401" s="4" t="n">
        <v>42</v>
      </c>
      <c r="K401" s="5" t="n">
        <v>119</v>
      </c>
      <c r="L401" s="4" t="n">
        <v>23</v>
      </c>
      <c r="M401" s="4" t="n">
        <v>7</v>
      </c>
      <c r="N401" s="5" t="n">
        <v>714.3</v>
      </c>
      <c r="O401" s="3" t="inlineStr">
        <is>
          <t>nan</t>
        </is>
      </c>
      <c r="P401" s="6">
        <f>HYPERLINK("https://fin.land.naver.com/articles/2650174228", "매물Link")</f>
        <v/>
      </c>
      <c r="Q401" s="6">
        <f>HYPERLINK("https://map.naver.com/p/search/세종특별자치시 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세종특별자치시 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HYPERLINK("https://map.naver.com/p/search/세종특별자치시 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세종특별자치시 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HYPERLINK("https://map.naver.com/p/search/세종특별자치시 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세종특별자치시 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HYPERLINK("https://map.naver.com/p/search/세종특별자치시 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세종특별자치시 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594</v>
      </c>
      <c r="M405" s="4" t="n">
        <v>180</v>
      </c>
      <c r="N405" s="5" t="n">
        <v>1055.6</v>
      </c>
      <c r="O405" s="3" t="inlineStr">
        <is>
          <t>신축다가구  가격조정가능 엘리베이터 와촌국가산업단지 인근</t>
        </is>
      </c>
      <c r="P405" s="6">
        <f>HYPERLINK("https://fin.land.naver.com/articles/2645022936", "매물Link")</f>
        <v/>
      </c>
      <c r="Q405" s="6">
        <f>HYPERLINK("https://map.naver.com/p/search/세종특별자치시 연서면 봉암리 73-8", "지도Link")</f>
        <v/>
      </c>
      <c r="R405" s="6">
        <f>HYPERLINK("http://www.eum.go.kr/web/ar/lu/luLandDet.jsp?pnu=3611036033100730008&amp;isNoScr=script&amp;mode=search", "토지이음")</f>
        <v/>
      </c>
      <c r="S405" s="3" t="inlineStr">
        <is>
          <t>그래그</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세종특별자치시 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568</v>
      </c>
      <c r="M406" s="4" t="n">
        <v>172</v>
      </c>
      <c r="N406" s="5" t="n">
        <v>1104.7</v>
      </c>
      <c r="O406" s="3" t="inlineStr">
        <is>
          <t>신축다가구건물, 엘리베이터 1층 카페,23층 원룸,투룸,1.5룸으로구성</t>
        </is>
      </c>
      <c r="P406" s="6">
        <f>HYPERLINK("https://fin.land.naver.com/articles/2644295374", "매물Link")</f>
        <v/>
      </c>
      <c r="Q406" s="6">
        <f>HYPERLINK("https://map.naver.com/p/search/세종특별자치시 연서면 봉암리 73-8", "지도Link")</f>
        <v/>
      </c>
      <c r="R406" s="6">
        <f>HYPERLINK("http://www.eum.go.kr/web/ar/lu/luLandDet.jsp?pnu=3611036033100730008&amp;isNoScr=script&amp;mode=search", "토지이음")</f>
        <v/>
      </c>
      <c r="S406" s="3" t="inlineStr">
        <is>
          <t>담뜰</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세종특별자치시 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HYPERLINK("https://map.naver.com/p/search/세종특별자치시 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세종특별자치시 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HYPERLINK("https://map.naver.com/p/search/세종특별자치시 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세종특별자치시 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HYPERLINK("https://map.naver.com/p/search/세종특별자치시 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세종특별자치시 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HYPERLINK("https://map.naver.com/p/search/세종특별자치시 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세종특별자치시 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HYPERLINK("https://map.naver.com/p/search/세종특별자치시 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세종특별자치시 연서면 월하리 1008-5</t>
        </is>
      </c>
      <c r="B412" s="3" t="inlineStr">
        <is>
          <t>제1종일반주거지역</t>
        </is>
      </c>
      <c r="C412" s="3" t="inlineStr">
        <is>
          <t>대</t>
        </is>
      </c>
      <c r="D412" s="3" t="inlineStr">
        <is>
          <t>3</t>
        </is>
      </c>
      <c r="E412" s="3" t="inlineStr">
        <is>
          <t>단독</t>
        </is>
      </c>
      <c r="F412" s="3" t="inlineStr">
        <is>
          <t>전세</t>
        </is>
      </c>
      <c r="G412" s="4" t="n">
        <v>17000</v>
      </c>
      <c r="H412" s="4" t="n">
        <v>0</v>
      </c>
      <c r="I412" s="4" t="n">
        <v>84</v>
      </c>
      <c r="J412" s="4" t="n">
        <v>25</v>
      </c>
      <c r="K412" s="5" t="n">
        <v>680</v>
      </c>
      <c r="L412" s="4" t="n">
        <v>84</v>
      </c>
      <c r="M412" s="4" t="n">
        <v>25</v>
      </c>
      <c r="N412" s="5" t="n">
        <v>680</v>
      </c>
      <c r="O412" s="3" t="inlineStr">
        <is>
          <t>nan</t>
        </is>
      </c>
      <c r="P412" s="6">
        <f>HYPERLINK("https://fin.land.naver.com/articles/2649752267", "매물Link")</f>
        <v/>
      </c>
      <c r="Q412" s="6">
        <f>HYPERLINK("https://map.naver.com/p/search/세종특별자치시 연서면 월하리 1008-5", "지도Link")</f>
        <v/>
      </c>
      <c r="R412" s="6">
        <f>HYPERLINK("http://www.eum.go.kr/web/ar/lu/luLandDet.jsp?pnu=3611036021110080005&amp;isNoScr=script&amp;mode=search", "토지이음")</f>
        <v/>
      </c>
      <c r="S412" s="3" t="inlineStr">
        <is>
          <t>뉴스카이</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세종특별자치시 연서면 월하리 1008-5</t>
        </is>
      </c>
      <c r="B413" s="3" t="inlineStr">
        <is>
          <t>제1종일반주거지역</t>
        </is>
      </c>
      <c r="C413" s="3" t="inlineStr">
        <is>
          <t>대</t>
        </is>
      </c>
      <c r="D413" s="3" t="inlineStr">
        <is>
          <t>2</t>
        </is>
      </c>
      <c r="E413" s="3" t="inlineStr">
        <is>
          <t>전원주택</t>
        </is>
      </c>
      <c r="F413" s="3" t="inlineStr">
        <is>
          <t>매매</t>
        </is>
      </c>
      <c r="G413" s="4" t="n">
        <v>30000</v>
      </c>
      <c r="H413" s="4" t="n">
        <v>0</v>
      </c>
      <c r="I413" s="4" t="n">
        <v>144</v>
      </c>
      <c r="J413" s="4" t="n">
        <v>44</v>
      </c>
      <c r="K413" s="5" t="n">
        <v>681.8</v>
      </c>
      <c r="L413" s="4" t="n">
        <v>84</v>
      </c>
      <c r="M413" s="4" t="n">
        <v>25</v>
      </c>
      <c r="N413" s="5" t="n">
        <v>1200</v>
      </c>
      <c r="O413" s="3" t="inlineStr">
        <is>
          <t>빠른입주, 전망 좋은 주택</t>
        </is>
      </c>
      <c r="P413" s="6">
        <f>HYPERLINK("https://fin.land.naver.com/articles/2645171950", "매물Link")</f>
        <v/>
      </c>
      <c r="Q413" s="6">
        <f>HYPERLINK("https://map.naver.com/p/search/세종특별자치시 연서면 월하리 1008-5", "지도Link")</f>
        <v/>
      </c>
      <c r="R413" s="6">
        <f>HYPERLINK("http://www.eum.go.kr/web/ar/lu/luLandDet.jsp?pnu=3611036021110080005&amp;isNoScr=script&amp;mode=search", "토지이음")</f>
        <v/>
      </c>
      <c r="S413" s="3" t="inlineStr">
        <is>
          <t>정인</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세종특별자치시 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HYPERLINK("https://map.naver.com/p/search/세종특별자치시 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세종특별자치시 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HYPERLINK("https://map.naver.com/p/search/세종특별자치시 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세종특별자치시 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HYPERLINK("https://map.naver.com/p/search/세종특별자치시 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세종특별자치시 장군면 금암리 302-84</t>
        </is>
      </c>
      <c r="B417" s="3" t="inlineStr">
        <is>
          <t>계획관리지역</t>
        </is>
      </c>
      <c r="C417" s="3" t="inlineStr">
        <is>
          <t>대</t>
        </is>
      </c>
      <c r="D417" s="3" t="inlineStr">
        <is>
          <t>2</t>
        </is>
      </c>
      <c r="E417" s="3" t="inlineStr">
        <is>
          <t>단독</t>
        </is>
      </c>
      <c r="F417" s="3" t="inlineStr">
        <is>
          <t>매매</t>
        </is>
      </c>
      <c r="G417" s="4" t="n">
        <v>75000</v>
      </c>
      <c r="H417" s="4" t="n">
        <v>0</v>
      </c>
      <c r="I417" s="4" t="n">
        <v>327</v>
      </c>
      <c r="J417" s="4" t="n">
        <v>99</v>
      </c>
      <c r="K417" s="5" t="n">
        <v>757.6</v>
      </c>
      <c r="L417" s="4" t="n">
        <v>157</v>
      </c>
      <c r="M417" s="4" t="n">
        <v>47</v>
      </c>
      <c r="N417" s="5" t="n">
        <v>1595.7</v>
      </c>
      <c r="O417" s="3" t="inlineStr">
        <is>
          <t>조용하고 쾌적한 전원마을, 근접한 세종시 인프라 그대로 누릴수 있음</t>
        </is>
      </c>
      <c r="P417" s="6">
        <f>HYPERLINK("https://fin.land.naver.com/articles/2643921940", "매물Link")</f>
        <v/>
      </c>
      <c r="Q417" s="6">
        <f>HYPERLINK("https://map.naver.com/p/search/세종특별자치시 장군면 금암리 302-84", "지도Link")</f>
        <v/>
      </c>
      <c r="R417" s="6">
        <f>HYPERLINK("http://www.eum.go.kr/web/ar/lu/luLandDet.jsp?pnu=3611035025103020084&amp;isNoScr=script&amp;mode=search", "토지이음")</f>
        <v/>
      </c>
      <c r="S417" s="3" t="inlineStr">
        <is>
          <t>the다올</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세종특별자치시 장군면 금암리 302-84</t>
        </is>
      </c>
      <c r="B418" s="3" t="inlineStr">
        <is>
          <t>계획관리지역</t>
        </is>
      </c>
      <c r="C418" s="3" t="inlineStr">
        <is>
          <t>대</t>
        </is>
      </c>
      <c r="D418" s="3" t="inlineStr">
        <is>
          <t>2</t>
        </is>
      </c>
      <c r="E418" s="3" t="inlineStr">
        <is>
          <t>다가구</t>
        </is>
      </c>
      <c r="F418" s="3" t="inlineStr">
        <is>
          <t>전세</t>
        </is>
      </c>
      <c r="G418" s="4" t="n">
        <v>16000</v>
      </c>
      <c r="H418" s="4" t="n">
        <v>0</v>
      </c>
      <c r="I418" s="4" t="n">
        <v>0</v>
      </c>
      <c r="J418" s="4" t="n">
        <v>0</v>
      </c>
      <c r="K418" s="5" t="n">
        <v>0</v>
      </c>
      <c r="L418" s="4" t="n">
        <v>98</v>
      </c>
      <c r="M418" s="4" t="n">
        <v>30</v>
      </c>
      <c r="N418" s="5" t="n">
        <v>533.3</v>
      </c>
      <c r="O418" s="3" t="inlineStr">
        <is>
          <t>즉시입주,전원마을인근, 2세대  다가구,행복청인프라이용 편리</t>
        </is>
      </c>
      <c r="P418" s="6">
        <f>HYPERLINK("https://fin.land.naver.com/articles/2647184844", "매물Link")</f>
        <v/>
      </c>
      <c r="Q418" s="6">
        <f>HYPERLINK("https://map.naver.com/p/search/세종특별자치시 장군면 금암리 302-84", "지도Link")</f>
        <v/>
      </c>
      <c r="R418" s="6">
        <f>HYPERLINK("http://www.eum.go.kr/web/ar/lu/luLandDet.jsp?pnu=3611035025103020084&amp;isNoScr=script&amp;mode=search", "토지이음")</f>
        <v/>
      </c>
      <c r="S418" s="3" t="inlineStr">
        <is>
          <t>동백</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세종특별자치시 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HYPERLINK("https://map.naver.com/p/search/세종특별자치시 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세종특별자치시 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HYPERLINK("https://map.naver.com/p/search/세종특별자치시 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세종특별자치시 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HYPERLINK("https://map.naver.com/p/search/세종특별자치시 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세종특별자치시 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HYPERLINK("https://map.naver.com/p/search/세종특별자치시 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세종특별자치시 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HYPERLINK("https://map.naver.com/p/search/세종특별자치시 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세종특별자치시 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HYPERLINK("https://map.naver.com/p/search/세종특별자치시 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세종특별자치시 장군면 대교리 596-3</t>
        </is>
      </c>
      <c r="B425" s="3" t="inlineStr">
        <is>
          <t>계획관리지역</t>
        </is>
      </c>
      <c r="C425" s="3" t="inlineStr">
        <is>
          <t>대</t>
        </is>
      </c>
      <c r="D425" s="3" t="inlineStr">
        <is>
          <t>2</t>
        </is>
      </c>
      <c r="E425" s="3" t="inlineStr">
        <is>
          <t>일반원룸</t>
        </is>
      </c>
      <c r="F425" s="3" t="inlineStr">
        <is>
          <t>월세</t>
        </is>
      </c>
      <c r="G425" s="4" t="n">
        <v>100</v>
      </c>
      <c r="H425" s="4" t="n">
        <v>27</v>
      </c>
      <c r="I425" s="4" t="n">
        <v>24</v>
      </c>
      <c r="J425" s="4" t="n">
        <v>7</v>
      </c>
      <c r="K425" s="5" t="n">
        <v>3.9</v>
      </c>
      <c r="L425" s="4" t="n">
        <v>20</v>
      </c>
      <c r="M425" s="4" t="n">
        <v>6</v>
      </c>
      <c r="N425" s="5" t="n">
        <v>4.5</v>
      </c>
      <c r="O425" s="3" t="inlineStr">
        <is>
          <t>000 남향 원룸   000</t>
        </is>
      </c>
      <c r="P425" s="6">
        <f>HYPERLINK("https://fin.land.naver.com/articles/2645533798", "매물Link")</f>
        <v/>
      </c>
      <c r="Q425" s="6">
        <f>HYPERLINK("https://map.naver.com/p/search/세종특별자치시 장군면 대교리 596-3", "지도Link")</f>
        <v/>
      </c>
      <c r="R425" s="6">
        <f>HYPERLINK("http://www.eum.go.kr/web/ar/lu/luLandDet.jsp?pnu=3611035023105960003&amp;isNoScr=script&amp;mode=search", "토지이음")</f>
        <v/>
      </c>
      <c r="S425" s="3" t="inlineStr">
        <is>
          <t>신황제</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세종특별자치시 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수납좋은 원룸  000</t>
        </is>
      </c>
      <c r="P426" s="6">
        <f>HYPERLINK("https://fin.land.naver.com/articles/2645530556", "매물Link")</f>
        <v/>
      </c>
      <c r="Q426" s="6">
        <f>HYPERLINK("https://map.naver.com/p/search/세종특별자치시 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세종특별자치시 장군면 대교리 596-3</t>
        </is>
      </c>
      <c r="B427" s="3" t="inlineStr">
        <is>
          <t>계획관리지역</t>
        </is>
      </c>
      <c r="C427" s="3" t="inlineStr">
        <is>
          <t>대</t>
        </is>
      </c>
      <c r="D427" s="3" t="inlineStr">
        <is>
          <t>3</t>
        </is>
      </c>
      <c r="E427" s="3" t="inlineStr">
        <is>
          <t>일반원룸</t>
        </is>
      </c>
      <c r="F427" s="3" t="inlineStr">
        <is>
          <t>월세</t>
        </is>
      </c>
      <c r="G427" s="4" t="n">
        <v>100</v>
      </c>
      <c r="H427" s="4" t="n">
        <v>27</v>
      </c>
      <c r="I427" s="4" t="n">
        <v>21</v>
      </c>
      <c r="J427" s="4" t="n">
        <v>6</v>
      </c>
      <c r="K427" s="5" t="n">
        <v>4.5</v>
      </c>
      <c r="L427" s="4" t="n">
        <v>18</v>
      </c>
      <c r="M427" s="4" t="n">
        <v>5</v>
      </c>
      <c r="N427" s="5" t="n">
        <v>5.4</v>
      </c>
      <c r="O427" s="3" t="inlineStr">
        <is>
          <t>세종시 장군면 원룸 월세 풀옵션</t>
        </is>
      </c>
      <c r="P427" s="6">
        <f>HYPERLINK("https://fin.land.naver.com/articles/2649624200", "매물Link")</f>
        <v/>
      </c>
      <c r="Q427" s="6">
        <f>HYPERLINK("https://map.naver.com/p/search/세종특별자치시 장군면 대교리 596-3", "지도Link")</f>
        <v/>
      </c>
      <c r="R427" s="6">
        <f>HYPERLINK("http://www.eum.go.kr/web/ar/lu/luLandDet.jsp?pnu=3611035023105960003&amp;isNoScr=script&amp;mode=search", "토지이음")</f>
        <v/>
      </c>
      <c r="S427" s="3" t="inlineStr">
        <is>
          <t>황금</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세종특별자치시 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조용한 원룸 수납최고 000</t>
        </is>
      </c>
      <c r="P428" s="6">
        <f>HYPERLINK("https://fin.land.naver.com/articles/2645529061", "매물Link")</f>
        <v/>
      </c>
      <c r="Q428" s="6">
        <f>HYPERLINK("https://map.naver.com/p/search/세종특별자치시 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세종특별자치시 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476</v>
      </c>
      <c r="J429" s="4" t="n">
        <v>144</v>
      </c>
      <c r="K429" s="5" t="n">
        <v>277.8</v>
      </c>
      <c r="L429" s="4" t="n">
        <v>83</v>
      </c>
      <c r="M429" s="4" t="n">
        <v>25</v>
      </c>
      <c r="N429" s="5" t="n">
        <v>1600</v>
      </c>
      <c r="O429" s="3" t="inlineStr">
        <is>
          <t>신도시가 내려다 보이는 국사봉마을 전원주택단지</t>
        </is>
      </c>
      <c r="P429" s="6">
        <f>HYPERLINK("https://fin.land.naver.com/articles/2647792817", "매물Link")</f>
        <v/>
      </c>
      <c r="Q429" s="6">
        <f>HYPERLINK("https://map.naver.com/p/search/세종특별자치시 장군면 대교리 74-27", "지도Link")</f>
        <v/>
      </c>
      <c r="R429" s="6">
        <f>HYPERLINK("http://www.eum.go.kr/web/ar/lu/luLandDet.jsp?pnu=3611035023100740027&amp;isNoScr=script&amp;mode=search", "토지이음")</f>
        <v/>
      </c>
      <c r="S429" s="3" t="inlineStr">
        <is>
          <t>온뜰</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세종특별자치시 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1015</v>
      </c>
      <c r="J430" s="4" t="n">
        <v>307</v>
      </c>
      <c r="K430" s="5" t="n">
        <v>130.3</v>
      </c>
      <c r="L430" s="4" t="n">
        <v>83</v>
      </c>
      <c r="M430" s="4" t="n">
        <v>25</v>
      </c>
      <c r="N430" s="5" t="n">
        <v>1600</v>
      </c>
      <c r="O430" s="3" t="inlineStr">
        <is>
          <t>세종시내 5분 거리 국사봉마을 전원주택,세컨하우스,토지 투자 적극 추천</t>
        </is>
      </c>
      <c r="P430" s="6">
        <f>HYPERLINK("https://fin.land.naver.com/articles/2650200636", "매물Link")</f>
        <v/>
      </c>
      <c r="Q430" s="6">
        <f>HYPERLINK("https://map.naver.com/p/search/세종특별자치시 장군면 대교리 74-27", "지도Link")</f>
        <v/>
      </c>
      <c r="R430" s="6">
        <f>HYPERLINK("http://www.eum.go.kr/web/ar/lu/luLandDet.jsp?pnu=3611035023100740027&amp;isNoScr=script&amp;mode=search", "토지이음")</f>
        <v/>
      </c>
      <c r="S430" s="3" t="inlineStr">
        <is>
          <t>세종신한</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세종특별자치시 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HYPERLINK("https://map.naver.com/p/search/세종특별자치시 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세종특별자치시 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HYPERLINK("https://map.naver.com/p/search/세종특별자치시 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세종특별자치시 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HYPERLINK("https://map.naver.com/p/search/세종특별자치시 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세종특별자치시 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HYPERLINK("https://map.naver.com/p/search/세종특별자치시 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세종특별자치시 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HYPERLINK("https://map.naver.com/p/search/세종특별자치시 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세종특별자치시 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HYPERLINK("https://map.naver.com/p/search/세종특별자치시 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세종특별자치시 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HYPERLINK("https://map.naver.com/p/search/세종특별자치시 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세종특별자치시 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HYPERLINK("https://map.naver.com/p/search/세종특별자치시 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세종특별자치시 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HYPERLINK("https://map.naver.com/p/search/세종특별자치시 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세종특별자치시 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HYPERLINK("https://map.naver.com/p/search/세종특별자치시 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세종특별자치시 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HYPERLINK("https://map.naver.com/p/search/세종특별자치시 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세종특별자치시 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HYPERLINK("https://map.naver.com/p/search/세종특별자치시 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세종특별자치시 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HYPERLINK("https://map.naver.com/p/search/세종특별자치시 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세종특별자치시 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nan</t>
        </is>
      </c>
      <c r="P444" s="6">
        <f>HYPERLINK("https://fin.land.naver.com/articles/2648678554", "매물Link")</f>
        <v/>
      </c>
      <c r="Q444" s="6">
        <f>HYPERLINK("https://map.naver.com/p/search/세종특별자치시 장군면 도계리 282-31", "지도Link")</f>
        <v/>
      </c>
      <c r="R444" s="6">
        <f>HYPERLINK("http://www.eum.go.kr/web/ar/lu/luLandDet.jsp?pnu=3611035021102820031&amp;isNoScr=script&amp;mode=search", "토지이음")</f>
        <v/>
      </c>
      <c r="S444" s="3" t="inlineStr">
        <is>
          <t>링크</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세종특별자치시 장군면 도계리 282-31</t>
        </is>
      </c>
      <c r="B445" s="3" t="inlineStr">
        <is>
          <t>보전관리지역</t>
        </is>
      </c>
      <c r="C445" s="3" t="inlineStr">
        <is>
          <t>대</t>
        </is>
      </c>
      <c r="D445" s="3" t="inlineStr">
        <is>
          <t>2</t>
        </is>
      </c>
      <c r="E445" s="3" t="inlineStr">
        <is>
          <t>단독</t>
        </is>
      </c>
      <c r="F445" s="3" t="inlineStr">
        <is>
          <t>매매</t>
        </is>
      </c>
      <c r="G445" s="4" t="n">
        <v>59000</v>
      </c>
      <c r="H445" s="4" t="n">
        <v>0</v>
      </c>
      <c r="I445" s="4" t="n">
        <v>570</v>
      </c>
      <c r="J445" s="4" t="n">
        <v>172</v>
      </c>
      <c r="K445" s="5" t="n">
        <v>343</v>
      </c>
      <c r="L445" s="4" t="n">
        <v>196</v>
      </c>
      <c r="M445" s="4" t="n">
        <v>59</v>
      </c>
      <c r="N445" s="5" t="n">
        <v>1000</v>
      </c>
      <c r="O445" s="3" t="inlineStr">
        <is>
          <t>급매,도계리 조망권 뷰 최상의  벙커형 파인빌리지 태양열 전원주택</t>
        </is>
      </c>
      <c r="P445" s="6">
        <f>HYPERLINK("https://fin.land.naver.com/articles/2644213154", "매물Link")</f>
        <v/>
      </c>
      <c r="Q445" s="6">
        <f>HYPERLINK("https://map.naver.com/p/search/세종특별자치시 장군면 도계리 282-31", "지도Link")</f>
        <v/>
      </c>
      <c r="R445" s="6">
        <f>HYPERLINK("http://www.eum.go.kr/web/ar/lu/luLandDet.jsp?pnu=3611035021102820031&amp;isNoScr=script&amp;mode=search", "토지이음")</f>
        <v/>
      </c>
      <c r="S445" s="3" t="inlineStr">
        <is>
          <t>고운맘</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세종특별자치시 장군면 도계리 282-31</t>
        </is>
      </c>
      <c r="B446" s="3" t="inlineStr">
        <is>
          <t>보전관리지역</t>
        </is>
      </c>
      <c r="C446" s="3" t="inlineStr">
        <is>
          <t>대</t>
        </is>
      </c>
      <c r="D446" s="3" t="inlineStr">
        <is>
          <t>2</t>
        </is>
      </c>
      <c r="E446" s="3" t="inlineStr">
        <is>
          <t>전원주택</t>
        </is>
      </c>
      <c r="F446" s="3" t="inlineStr">
        <is>
          <t>매매</t>
        </is>
      </c>
      <c r="G446" s="4" t="n">
        <v>59000</v>
      </c>
      <c r="H446" s="4" t="n">
        <v>0</v>
      </c>
      <c r="I446" s="4" t="n">
        <v>570</v>
      </c>
      <c r="J446" s="4" t="n">
        <v>172</v>
      </c>
      <c r="K446" s="5" t="n">
        <v>343</v>
      </c>
      <c r="L446" s="4" t="n">
        <v>196</v>
      </c>
      <c r="M446" s="4" t="n">
        <v>59</v>
      </c>
      <c r="N446" s="5" t="n">
        <v>1000</v>
      </c>
      <c r="O446" s="3" t="inlineStr">
        <is>
          <t>도계리 전원주택 , 조망권 최상</t>
        </is>
      </c>
      <c r="P446" s="6">
        <f>HYPERLINK("https://fin.land.naver.com/articles/2645855899", "매물Link")</f>
        <v/>
      </c>
      <c r="Q446" s="6">
        <f>HYPERLINK("https://map.naver.com/p/search/세종특별자치시 장군면 도계리 282-31", "지도Link")</f>
        <v/>
      </c>
      <c r="R446" s="6">
        <f>HYPERLINK("http://www.eum.go.kr/web/ar/lu/luLandDet.jsp?pnu=3611035021102820031&amp;isNoScr=script&amp;mode=search", "토지이음")</f>
        <v/>
      </c>
      <c r="S446" s="3" t="inlineStr">
        <is>
          <t>THE다온</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세종특별자치시 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HYPERLINK("https://map.naver.com/p/search/세종특별자치시 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세종특별자치시 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HYPERLINK("https://map.naver.com/p/search/세종특별자치시 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세종특별자치시 장군면 봉안리 210-5</t>
        </is>
      </c>
      <c r="B449" s="3" t="inlineStr">
        <is>
          <t>계획관리지역</t>
        </is>
      </c>
      <c r="C449" s="3" t="inlineStr">
        <is>
          <t>대</t>
        </is>
      </c>
      <c r="D449" s="3" t="inlineStr">
        <is>
          <t>4</t>
        </is>
      </c>
      <c r="E449" s="3" t="inlineStr">
        <is>
          <t>다가구</t>
        </is>
      </c>
      <c r="F449" s="3" t="inlineStr">
        <is>
          <t>매매</t>
        </is>
      </c>
      <c r="G449" s="4" t="n">
        <v>125000</v>
      </c>
      <c r="H449" s="4" t="n">
        <v>0</v>
      </c>
      <c r="I449" s="4" t="n">
        <v>430</v>
      </c>
      <c r="J449" s="4" t="n">
        <v>130</v>
      </c>
      <c r="K449" s="5" t="n">
        <v>961.5</v>
      </c>
      <c r="L449" s="4" t="n">
        <v>425</v>
      </c>
      <c r="M449" s="4" t="n">
        <v>129</v>
      </c>
      <c r="N449" s="5" t="n">
        <v>969</v>
      </c>
      <c r="O449" s="3" t="inlineStr">
        <is>
          <t>엘리베이터, 풀옵션, 관리최상</t>
        </is>
      </c>
      <c r="P449" s="6">
        <f>HYPERLINK("https://fin.land.naver.com/articles/2648622021", "매물Link")</f>
        <v/>
      </c>
      <c r="Q449" s="6">
        <f>HYPERLINK("https://map.naver.com/p/search/세종특별자치시 장군면 봉안리 210-5", "지도Link")</f>
        <v/>
      </c>
      <c r="R449" s="6">
        <f>HYPERLINK("http://www.eum.go.kr/web/ar/lu/luLandDet.jsp?pnu=3611035024102100005&amp;isNoScr=script&amp;mode=search", "토지이음")</f>
        <v/>
      </c>
      <c r="S449" s="3" t="inlineStr">
        <is>
          <t>한뜰금빛</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세종특별자치시 장군면 봉안리 210-5</t>
        </is>
      </c>
      <c r="B450" s="3" t="inlineStr">
        <is>
          <t>계획관리지역</t>
        </is>
      </c>
      <c r="C450" s="3" t="inlineStr">
        <is>
          <t>대</t>
        </is>
      </c>
      <c r="D450" s="3" t="inlineStr">
        <is>
          <t>4</t>
        </is>
      </c>
      <c r="E450" s="3" t="inlineStr">
        <is>
          <t>다가구</t>
        </is>
      </c>
      <c r="F450" s="3" t="inlineStr">
        <is>
          <t>매매</t>
        </is>
      </c>
      <c r="G450" s="4" t="n">
        <v>123000</v>
      </c>
      <c r="H450" s="4" t="n">
        <v>0</v>
      </c>
      <c r="I450" s="4" t="n">
        <v>430</v>
      </c>
      <c r="J450" s="4" t="n">
        <v>130</v>
      </c>
      <c r="K450" s="5" t="n">
        <v>946.2</v>
      </c>
      <c r="L450" s="4" t="n">
        <v>425</v>
      </c>
      <c r="M450" s="4" t="n">
        <v>129</v>
      </c>
      <c r="N450" s="5" t="n">
        <v>953.5</v>
      </c>
      <c r="O450" s="3" t="inlineStr">
        <is>
          <t>000 주인세대있는매물 1층상가,엘리베이터가동 000</t>
        </is>
      </c>
      <c r="P450" s="6">
        <f>HYPERLINK("https://fin.land.naver.com/articles/2644936328", "매물Link")</f>
        <v/>
      </c>
      <c r="Q450" s="6">
        <f>HYPERLINK("https://map.naver.com/p/search/세종특별자치시 장군면 봉안리 210-5", "지도Link")</f>
        <v/>
      </c>
      <c r="R450" s="6">
        <f>HYPERLINK("http://www.eum.go.kr/web/ar/lu/luLandDet.jsp?pnu=3611035024102100005&amp;isNoScr=script&amp;mode=search", "토지이음")</f>
        <v/>
      </c>
      <c r="S450" s="3" t="inlineStr">
        <is>
          <t>신황제</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세종특별자치시 장군면 봉안리 210-5</t>
        </is>
      </c>
      <c r="B451" s="3" t="inlineStr">
        <is>
          <t>계획관리지역</t>
        </is>
      </c>
      <c r="C451" s="3" t="inlineStr">
        <is>
          <t>대</t>
        </is>
      </c>
      <c r="D451" s="3" t="inlineStr">
        <is>
          <t>2</t>
        </is>
      </c>
      <c r="E451" s="3" t="inlineStr">
        <is>
          <t>일반원룸</t>
        </is>
      </c>
      <c r="F451" s="3" t="inlineStr">
        <is>
          <t>월세</t>
        </is>
      </c>
      <c r="G451" s="4" t="n">
        <v>200</v>
      </c>
      <c r="H451" s="4" t="n">
        <v>30</v>
      </c>
      <c r="I451" s="4" t="n">
        <v>23</v>
      </c>
      <c r="J451" s="4" t="n">
        <v>7</v>
      </c>
      <c r="K451" s="5" t="n">
        <v>4.3</v>
      </c>
      <c r="L451" s="4" t="n">
        <v>22</v>
      </c>
      <c r="M451" s="4" t="n">
        <v>7</v>
      </c>
      <c r="N451" s="5" t="n">
        <v>4.3</v>
      </c>
      <c r="O451" s="3" t="inlineStr">
        <is>
          <t>승강기있는 면소재지 근처 주변편의 시설완비 환기잘되는 원룸</t>
        </is>
      </c>
      <c r="P451" s="6">
        <f>HYPERLINK("https://fin.land.naver.com/articles/2647273277", "매물Link")</f>
        <v/>
      </c>
      <c r="Q451" s="6">
        <f>HYPERLINK("https://map.naver.com/p/search/세종특별자치시 장군면 봉안리 210-5", "지도Link")</f>
        <v/>
      </c>
      <c r="R451" s="6">
        <f>HYPERLINK("http://www.eum.go.kr/web/ar/lu/luLandDet.jsp?pnu=3611035024102100005&amp;isNoScr=script&amp;mode=search", "토지이음")</f>
        <v/>
      </c>
      <c r="S451" s="3" t="inlineStr">
        <is>
          <t>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세종특별자치시 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HYPERLINK("https://map.naver.com/p/search/세종특별자치시 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세종특별자치시 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HYPERLINK("https://map.naver.com/p/search/세종특별자치시 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세종특별자치시 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HYPERLINK("https://map.naver.com/p/search/세종특별자치시 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세종특별자치시 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HYPERLINK("https://map.naver.com/p/search/세종특별자치시 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세종특별자치시 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HYPERLINK("https://map.naver.com/p/search/세종특별자치시 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세종특별자치시 장군면 봉안리 315-11</t>
        </is>
      </c>
      <c r="B457" s="3" t="inlineStr">
        <is>
          <t>계획관리지역</t>
        </is>
      </c>
      <c r="C457" s="3" t="inlineStr">
        <is>
          <t>대</t>
        </is>
      </c>
      <c r="D457" s="3" t="inlineStr">
        <is>
          <t>1</t>
        </is>
      </c>
      <c r="E457" s="3" t="inlineStr">
        <is>
          <t>일반원룸</t>
        </is>
      </c>
      <c r="F457" s="3" t="inlineStr">
        <is>
          <t>월세</t>
        </is>
      </c>
      <c r="G457" s="4" t="n">
        <v>200</v>
      </c>
      <c r="H457" s="4" t="n">
        <v>30</v>
      </c>
      <c r="I457" s="4" t="n">
        <v>24</v>
      </c>
      <c r="J457" s="4" t="n">
        <v>7</v>
      </c>
      <c r="K457" s="5" t="n">
        <v>4.3</v>
      </c>
      <c r="L457" s="4" t="n">
        <v>20</v>
      </c>
      <c r="M457" s="4" t="n">
        <v>6</v>
      </c>
      <c r="N457" s="5" t="n">
        <v>5</v>
      </c>
      <c r="O457" s="3" t="inlineStr">
        <is>
          <t>000   내국인전용타운 원룸 000</t>
        </is>
      </c>
      <c r="P457" s="6">
        <f>HYPERLINK("https://fin.land.naver.com/articles/2648264195", "매물Link")</f>
        <v/>
      </c>
      <c r="Q457" s="6">
        <f>HYPERLINK("https://map.naver.com/p/search/세종특별자치시 장군면 봉안리 315-11", "지도Link")</f>
        <v/>
      </c>
      <c r="R457" s="6">
        <f>HYPERLINK("http://www.eum.go.kr/web/ar/lu/luLandDet.jsp?pnu=3611035024103150011&amp;isNoScr=script&amp;mode=search", "토지이음")</f>
        <v/>
      </c>
      <c r="S457" s="3" t="inlineStr">
        <is>
          <t>신황제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세종특별자치시 장군면 봉안리 315-11</t>
        </is>
      </c>
      <c r="B458" s="3" t="inlineStr">
        <is>
          <t>계획관리지역</t>
        </is>
      </c>
      <c r="C458" s="3" t="inlineStr">
        <is>
          <t>대</t>
        </is>
      </c>
      <c r="D458" s="3" t="inlineStr">
        <is>
          <t>2</t>
        </is>
      </c>
      <c r="E458" s="3" t="inlineStr">
        <is>
          <t>일반원룸</t>
        </is>
      </c>
      <c r="F458" s="3" t="inlineStr">
        <is>
          <t>월세</t>
        </is>
      </c>
      <c r="G458" s="4" t="n">
        <v>200</v>
      </c>
      <c r="H458" s="4" t="n">
        <v>30</v>
      </c>
      <c r="I458" s="4" t="n">
        <v>23</v>
      </c>
      <c r="J458" s="4" t="n">
        <v>7</v>
      </c>
      <c r="K458" s="5" t="n">
        <v>4.3</v>
      </c>
      <c r="L458" s="4" t="n">
        <v>22</v>
      </c>
      <c r="M458" s="4" t="n">
        <v>7</v>
      </c>
      <c r="N458" s="5" t="n">
        <v>4.3</v>
      </c>
      <c r="O458" s="3" t="inlineStr">
        <is>
          <t>내국인전용 세종청사10분고운동,종촌동7분 옵션 좋은 원룸</t>
        </is>
      </c>
      <c r="P458" s="6">
        <f>HYPERLINK("https://fin.land.naver.com/articles/2648279607", "매물Link")</f>
        <v/>
      </c>
      <c r="Q458" s="6">
        <f>HYPERLINK("https://map.naver.com/p/search/세종특별자치시 장군면 봉안리 315-11", "지도Link")</f>
        <v/>
      </c>
      <c r="R458" s="6">
        <f>HYPERLINK("http://www.eum.go.kr/web/ar/lu/luLandDet.jsp?pnu=3611035024103150011&amp;isNoScr=script&amp;mode=search", "토지이음")</f>
        <v/>
      </c>
      <c r="S458" s="3" t="inlineStr">
        <is>
          <t>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세종특별자치시 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HYPERLINK("https://map.naver.com/p/search/세종특별자치시 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세종특별자치시 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HYPERLINK("https://map.naver.com/p/search/세종특별자치시 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세종특별자치시 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HYPERLINK("https://map.naver.com/p/search/세종특별자치시 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세종특별자치시 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HYPERLINK("https://map.naver.com/p/search/세종특별자치시 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세종특별자치시 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HYPERLINK("https://map.naver.com/p/search/세종특별자치시 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세종특별자치시 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nan</t>
        </is>
      </c>
      <c r="P464" s="6">
        <f>HYPERLINK("https://fin.land.naver.com/articles/2649665684", "매물Link")</f>
        <v/>
      </c>
      <c r="Q464" s="6">
        <f>HYPERLINK("https://map.naver.com/p/search/세종특별자치시 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세종특별자치시 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HYPERLINK("https://map.naver.com/p/search/세종특별자치시 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세종특별자치시 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HYPERLINK("https://map.naver.com/p/search/세종특별자치시 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세종특별자치시 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000 단기가능 버스 승강장 앞 분리형 원룸입니다 000</t>
        </is>
      </c>
      <c r="P467" s="6">
        <f>HYPERLINK("https://fin.land.naver.com/articles/2649031178", "매물Link")</f>
        <v/>
      </c>
      <c r="Q467" s="6">
        <f>HYPERLINK("https://map.naver.com/p/search/세종특별자치시 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세종특별자치시 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HYPERLINK("https://map.naver.com/p/search/세종특별자치시 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세종특별자치시 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HYPERLINK("https://map.naver.com/p/search/세종특별자치시 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세종특별자치시 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HYPERLINK("https://map.naver.com/p/search/세종특별자치시 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세종특별자치시 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HYPERLINK("https://map.naver.com/p/search/세종특별자치시 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세종특별자치시 장군면 용암리 390-1</t>
        </is>
      </c>
      <c r="B472" s="3" t="inlineStr">
        <is>
          <t>생산관리지역</t>
        </is>
      </c>
      <c r="C472" s="3" t="inlineStr">
        <is>
          <t>대</t>
        </is>
      </c>
      <c r="D472" s="3" t="inlineStr">
        <is>
          <t>1</t>
        </is>
      </c>
      <c r="E472" s="3" t="inlineStr">
        <is>
          <t>단독</t>
        </is>
      </c>
      <c r="F472" s="3" t="inlineStr">
        <is>
          <t>매매</t>
        </is>
      </c>
      <c r="G472" s="4" t="n">
        <v>39000</v>
      </c>
      <c r="H472" s="4" t="n">
        <v>0</v>
      </c>
      <c r="I472" s="4" t="n">
        <v>810</v>
      </c>
      <c r="J472" s="4" t="n">
        <v>245</v>
      </c>
      <c r="K472" s="5" t="n">
        <v>159.2</v>
      </c>
      <c r="L472" s="4" t="n">
        <v>97</v>
      </c>
      <c r="M472" s="4" t="n">
        <v>29</v>
      </c>
      <c r="N472" s="5" t="n">
        <v>1344.8</v>
      </c>
      <c r="O472" s="3" t="inlineStr">
        <is>
          <t>조용히 전원생활 최적지,조망 트임,송선동택지개발지구 아주 근접</t>
        </is>
      </c>
      <c r="P472" s="6">
        <f>HYPERLINK("https://fin.land.naver.com/articles/2648100099", "매물Link")</f>
        <v/>
      </c>
      <c r="Q472" s="6">
        <f>HYPERLINK("https://map.naver.com/p/search/세종특별자치시 장군면 용암리 390-1", "지도Link")</f>
        <v/>
      </c>
      <c r="R472" s="6">
        <f>HYPERLINK("http://www.eum.go.kr/web/ar/lu/luLandDet.jsp?pnu=3611035033103900001&amp;isNoScr=script&amp;mode=search", "토지이음")</f>
        <v/>
      </c>
      <c r="S472" s="3" t="inlineStr">
        <is>
          <t>세종공주제일</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세종특별자치시 장군면 용암리 390-1</t>
        </is>
      </c>
      <c r="B473" s="3" t="inlineStr">
        <is>
          <t>생산관리지역</t>
        </is>
      </c>
      <c r="C473" s="3" t="inlineStr">
        <is>
          <t>대</t>
        </is>
      </c>
      <c r="D473" s="3" t="inlineStr">
        <is>
          <t>1</t>
        </is>
      </c>
      <c r="E473" s="3" t="inlineStr">
        <is>
          <t>전원주택</t>
        </is>
      </c>
      <c r="F473" s="3" t="inlineStr">
        <is>
          <t>매매</t>
        </is>
      </c>
      <c r="G473" s="4" t="n">
        <v>39000</v>
      </c>
      <c r="H473" s="4" t="n">
        <v>0</v>
      </c>
      <c r="I473" s="4" t="n">
        <v>810</v>
      </c>
      <c r="J473" s="4" t="n">
        <v>245</v>
      </c>
      <c r="K473" s="5" t="n">
        <v>159.2</v>
      </c>
      <c r="L473" s="4" t="n">
        <v>97</v>
      </c>
      <c r="M473" s="4" t="n">
        <v>29</v>
      </c>
      <c r="N473" s="5" t="n">
        <v>1344.8</v>
      </c>
      <c r="O473" s="3" t="inlineStr">
        <is>
          <t>정남향 조용하고 쾌적한 단독 주택 매매</t>
        </is>
      </c>
      <c r="P473" s="6">
        <f>HYPERLINK("https://fin.land.naver.com/articles/2646109667", "매물Link")</f>
        <v/>
      </c>
      <c r="Q473" s="6">
        <f>HYPERLINK("https://map.naver.com/p/search/세종특별자치시 장군면 용암리 390-1", "지도Link")</f>
        <v/>
      </c>
      <c r="R473" s="6">
        <f>HYPERLINK("http://www.eum.go.kr/web/ar/lu/luLandDet.jsp?pnu=3611035033103900001&amp;isNoScr=script&amp;mode=search", "토지이음")</f>
        <v/>
      </c>
      <c r="S473" s="3" t="inlineStr">
        <is>
          <t>THE행복</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세종특별자치시 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HYPERLINK("https://map.naver.com/p/search/세종특별자치시 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세종특별자치시 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HYPERLINK("https://map.naver.com/p/search/세종특별자치시 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세종특별자치시 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HYPERLINK("https://map.naver.com/p/search/세종특별자치시 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세종특별자치시 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HYPERLINK("https://map.naver.com/p/search/세종특별자치시 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세종특별자치시 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HYPERLINK("https://map.naver.com/p/search/세종특별자치시 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세종특별자치시 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HYPERLINK("https://map.naver.com/p/search/세종특별자치시 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세종특별자치시 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HYPERLINK("https://map.naver.com/p/search/세종특별자치시 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세종특별자치시 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HYPERLINK("https://map.naver.com/p/search/세종특별자치시 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세종특별자치시 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HYPERLINK("https://map.naver.com/p/search/세종특별자치시 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세종특별자치시 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HYPERLINK("https://map.naver.com/p/search/세종특별자치시 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세종특별자치시 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HYPERLINK("https://map.naver.com/p/search/세종특별자치시 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세종특별자치시 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HYPERLINK("https://map.naver.com/p/search/세종특별자치시 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세종특별자치시 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HYPERLINK("https://map.naver.com/p/search/세종특별자치시 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세종특별자치시 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HYPERLINK("https://map.naver.com/p/search/세종특별자치시 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세종특별자치시 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HYPERLINK("https://map.naver.com/p/search/세종특별자치시 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세종특별자치시 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HYPERLINK("https://map.naver.com/p/search/세종특별자치시 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세종특별자치시 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HYPERLINK("https://map.naver.com/p/search/세종특별자치시 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세종특별자치시 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HYPERLINK("https://map.naver.com/p/search/세종특별자치시 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세종특별자치시 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HYPERLINK("https://map.naver.com/p/search/세종특별자치시 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세종특별자치시 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HYPERLINK("https://map.naver.com/p/search/세종특별자치시 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세종특별자치시 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HYPERLINK("https://map.naver.com/p/search/세종특별자치시 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세종특별자치시 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HYPERLINK("https://map.naver.com/p/search/세종특별자치시 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세종특별자치시 조치원읍 남리 371-1</t>
        </is>
      </c>
      <c r="B496" s="3" t="inlineStr">
        <is>
          <t>제2종일반주거지역</t>
        </is>
      </c>
      <c r="C496" s="3" t="inlineStr">
        <is>
          <t>대</t>
        </is>
      </c>
      <c r="D496" s="3" t="inlineStr">
        <is>
          <t>3</t>
        </is>
      </c>
      <c r="E496" s="3" t="inlineStr">
        <is>
          <t>일반원룸</t>
        </is>
      </c>
      <c r="F496" s="3" t="inlineStr">
        <is>
          <t>월세</t>
        </is>
      </c>
      <c r="G496" s="4" t="n">
        <v>200</v>
      </c>
      <c r="H496" s="4" t="n">
        <v>31</v>
      </c>
      <c r="I496" s="4" t="n">
        <v>23</v>
      </c>
      <c r="J496" s="4" t="n">
        <v>7</v>
      </c>
      <c r="K496" s="5" t="n">
        <v>4.4</v>
      </c>
      <c r="L496" s="4" t="n">
        <v>23</v>
      </c>
      <c r="M496" s="4" t="n">
        <v>7</v>
      </c>
      <c r="N496" s="5" t="n">
        <v>4.4</v>
      </c>
      <c r="O496" s="3" t="inlineStr">
        <is>
          <t>남리 원룸 넓은방 전통시장 편의시설 도보이용가능합니다</t>
        </is>
      </c>
      <c r="P496" s="6">
        <f>HYPERLINK("https://fin.land.naver.com/articles/2645236588", "매물Link")</f>
        <v/>
      </c>
      <c r="Q496" s="6">
        <f>HYPERLINK("https://map.naver.com/p/search/세종특별자치시 조치원읍 남리 371-1", "지도Link")</f>
        <v/>
      </c>
      <c r="R496" s="6">
        <f>HYPERLINK("http://www.eum.go.kr/web/ar/lu/luLandDet.jsp?pnu=3611025027103710001&amp;isNoScr=script&amp;mode=search", "토지이음")</f>
        <v/>
      </c>
      <c r="S496" s="3" t="inlineStr">
        <is>
          <t>OK수</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세종특별자치시 조치원읍 남리 371-1</t>
        </is>
      </c>
      <c r="B497" s="3" t="inlineStr">
        <is>
          <t>제2종일반주거지역</t>
        </is>
      </c>
      <c r="C497" s="3" t="inlineStr">
        <is>
          <t>대</t>
        </is>
      </c>
      <c r="D497" s="3" t="inlineStr">
        <is>
          <t>4</t>
        </is>
      </c>
      <c r="E497" s="3" t="inlineStr">
        <is>
          <t>일반원룸</t>
        </is>
      </c>
      <c r="F497" s="3" t="inlineStr">
        <is>
          <t>월세</t>
        </is>
      </c>
      <c r="G497" s="4" t="n">
        <v>200</v>
      </c>
      <c r="H497" s="4" t="n">
        <v>30</v>
      </c>
      <c r="I497" s="4" t="n">
        <v>0</v>
      </c>
      <c r="J497" s="4" t="n">
        <v>0</v>
      </c>
      <c r="K497" s="5" t="n">
        <v>0</v>
      </c>
      <c r="L497" s="4" t="n">
        <v>20</v>
      </c>
      <c r="M497" s="4" t="n">
        <v>6</v>
      </c>
      <c r="N497" s="5" t="n">
        <v>5</v>
      </c>
      <c r="O497" s="3" t="inlineStr">
        <is>
          <t>조용하게 살기좋은 주차 및 엘베있는 원룸</t>
        </is>
      </c>
      <c r="P497" s="6">
        <f>HYPERLINK("https://fin.land.naver.com/articles/2647381250", "매물Link")</f>
        <v/>
      </c>
      <c r="Q497" s="6">
        <f>HYPERLINK("https://map.naver.com/p/search/세종특별자치시 조치원읍 남리 371-1", "지도Link")</f>
        <v/>
      </c>
      <c r="R497" s="6">
        <f>HYPERLINK("http://www.eum.go.kr/web/ar/lu/luLandDet.jsp?pnu=3611025027103710001&amp;isNoScr=script&amp;mode=search", "토지이음")</f>
        <v/>
      </c>
      <c r="S497" s="3" t="inlineStr">
        <is>
          <t>무지개</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세종특별자치시 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HYPERLINK("https://map.naver.com/p/search/세종특별자치시 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세종특별자치시 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HYPERLINK("https://map.naver.com/p/search/세종특별자치시 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세종특별자치시 조치원읍 남리 62-6</t>
        </is>
      </c>
      <c r="B500" s="3" t="inlineStr">
        <is>
          <t>제2종일반주거지역</t>
        </is>
      </c>
      <c r="C500" s="3" t="inlineStr">
        <is>
          <t>대</t>
        </is>
      </c>
      <c r="D500" s="3" t="inlineStr">
        <is>
          <t>4</t>
        </is>
      </c>
      <c r="E500" s="3" t="inlineStr">
        <is>
          <t>일반원룸</t>
        </is>
      </c>
      <c r="F500" s="3" t="inlineStr">
        <is>
          <t>전세</t>
        </is>
      </c>
      <c r="G500" s="4" t="n">
        <v>4000</v>
      </c>
      <c r="H500" s="4" t="n">
        <v>0</v>
      </c>
      <c r="I500" s="4" t="n">
        <v>26</v>
      </c>
      <c r="J500" s="4" t="n">
        <v>8</v>
      </c>
      <c r="K500" s="5" t="n">
        <v>500</v>
      </c>
      <c r="L500" s="4" t="n">
        <v>19</v>
      </c>
      <c r="M500" s="4" t="n">
        <v>6</v>
      </c>
      <c r="N500" s="5" t="n">
        <v>666.7</v>
      </c>
      <c r="O500" s="3" t="inlineStr">
        <is>
          <t>조치원역도보5분 근저당없는 전세 풀옵션 큰방</t>
        </is>
      </c>
      <c r="P500" s="6">
        <f>HYPERLINK("https://fin.land.naver.com/articles/2649101403", "매물Link")</f>
        <v/>
      </c>
      <c r="Q500" s="6">
        <f>HYPERLINK("https://map.naver.com/p/search/세종특별자치시 조치원읍 남리 62-6", "지도Link")</f>
        <v/>
      </c>
      <c r="R500" s="6">
        <f>HYPERLINK("http://www.eum.go.kr/web/ar/lu/luLandDet.jsp?pnu=3611025027100620006&amp;isNoScr=script&amp;mode=search", "토지이음")</f>
        <v/>
      </c>
      <c r="S500" s="3" t="inlineStr">
        <is>
          <t>용죽부자</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세종특별자치시 조치원읍 남리 62-6</t>
        </is>
      </c>
      <c r="B501" s="3" t="inlineStr">
        <is>
          <t>제2종일반주거지역</t>
        </is>
      </c>
      <c r="C501" s="3" t="inlineStr">
        <is>
          <t>대</t>
        </is>
      </c>
      <c r="D501" s="3" t="inlineStr">
        <is>
          <t>4</t>
        </is>
      </c>
      <c r="E501" s="3" t="inlineStr">
        <is>
          <t>빌라</t>
        </is>
      </c>
      <c r="F501" s="3" t="inlineStr">
        <is>
          <t>전세</t>
        </is>
      </c>
      <c r="G501" s="4" t="n">
        <v>4000</v>
      </c>
      <c r="H501" s="4" t="n">
        <v>0</v>
      </c>
      <c r="I501" s="4" t="n">
        <v>20</v>
      </c>
      <c r="J501" s="4" t="n">
        <v>6</v>
      </c>
      <c r="K501" s="5" t="n">
        <v>666.7</v>
      </c>
      <c r="L501" s="4" t="n">
        <v>19</v>
      </c>
      <c r="M501" s="4" t="n">
        <v>6</v>
      </c>
      <c r="N501" s="5" t="n">
        <v>666.7</v>
      </c>
      <c r="O501" s="3" t="inlineStr">
        <is>
          <t>LH가능.HUG.서울보증보험가능 .가성비갑.시장1분 역5분.</t>
        </is>
      </c>
      <c r="P501" s="6">
        <f>HYPERLINK("https://fin.land.naver.com/articles/2647397073", "매물Link")</f>
        <v/>
      </c>
      <c r="Q501" s="6">
        <f>HYPERLINK("https://map.naver.com/p/search/세종특별자치시 조치원읍 남리 62-6", "지도Link")</f>
        <v/>
      </c>
      <c r="R501" s="6">
        <f>HYPERLINK("http://www.eum.go.kr/web/ar/lu/luLandDet.jsp?pnu=3611025027100620006&amp;isNoScr=script&amp;mode=search", "토지이음")</f>
        <v/>
      </c>
      <c r="S501" s="3" t="inlineStr">
        <is>
          <t>마이룸</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세종특별자치시 조치원읍 남리 62-6</t>
        </is>
      </c>
      <c r="B502" s="3" t="inlineStr">
        <is>
          <t>제2종일반주거지역</t>
        </is>
      </c>
      <c r="C502" s="3" t="inlineStr">
        <is>
          <t>대</t>
        </is>
      </c>
      <c r="D502" s="3" t="inlineStr">
        <is>
          <t>3</t>
        </is>
      </c>
      <c r="E502" s="3" t="inlineStr">
        <is>
          <t>도시형생활주택</t>
        </is>
      </c>
      <c r="F502" s="3" t="inlineStr">
        <is>
          <t>전세</t>
        </is>
      </c>
      <c r="G502" s="4" t="n">
        <v>3900</v>
      </c>
      <c r="H502" s="4" t="n">
        <v>0</v>
      </c>
      <c r="I502" s="4" t="n">
        <v>26</v>
      </c>
      <c r="J502" s="4" t="n">
        <v>8</v>
      </c>
      <c r="K502" s="5" t="n">
        <v>487.5</v>
      </c>
      <c r="L502" s="4" t="n">
        <v>23</v>
      </c>
      <c r="M502" s="4" t="n">
        <v>7</v>
      </c>
      <c r="N502" s="5" t="n">
        <v>557.1</v>
      </c>
      <c r="O502" s="3" t="inlineStr">
        <is>
          <t>남리 원룸 전통시장 조치원역 도보가능합니다</t>
        </is>
      </c>
      <c r="P502" s="6">
        <f>HYPERLINK("https://fin.land.naver.com/articles/2649008339", "매물Link")</f>
        <v/>
      </c>
      <c r="Q502" s="6">
        <f>HYPERLINK("https://map.naver.com/p/search/세종특별자치시 조치원읍 남리 62-6", "지도Link")</f>
        <v/>
      </c>
      <c r="R502" s="6">
        <f>HYPERLINK("http://www.eum.go.kr/web/ar/lu/luLandDet.jsp?pnu=3611025027100620006&amp;isNoScr=script&amp;mode=search", "토지이음")</f>
        <v/>
      </c>
      <c r="S502" s="3" t="inlineStr">
        <is>
          <t>OK수</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세종특별자치시 조치원읍 남리 62-6</t>
        </is>
      </c>
      <c r="B503" s="3" t="inlineStr">
        <is>
          <t>제2종일반주거지역</t>
        </is>
      </c>
      <c r="C503" s="3" t="inlineStr">
        <is>
          <t>대</t>
        </is>
      </c>
      <c r="D503" s="3" t="inlineStr">
        <is>
          <t>4</t>
        </is>
      </c>
      <c r="E503" s="3" t="inlineStr">
        <is>
          <t>다가구</t>
        </is>
      </c>
      <c r="F503" s="3" t="inlineStr">
        <is>
          <t>전세</t>
        </is>
      </c>
      <c r="G503" s="4" t="n">
        <v>3800</v>
      </c>
      <c r="H503" s="4" t="n">
        <v>0</v>
      </c>
      <c r="I503" s="4" t="n">
        <v>39</v>
      </c>
      <c r="J503" s="4" t="n">
        <v>12</v>
      </c>
      <c r="K503" s="5" t="n">
        <v>316.7</v>
      </c>
      <c r="L503" s="4" t="n">
        <v>26</v>
      </c>
      <c r="M503" s="4" t="n">
        <v>8</v>
      </c>
      <c r="N503" s="5" t="n">
        <v>475</v>
      </c>
      <c r="O503" s="3" t="inlineStr">
        <is>
          <t>조치원역도보거리.융자없음.깔끔한전세.즉시입주</t>
        </is>
      </c>
      <c r="P503" s="6">
        <f>HYPERLINK("https://fin.land.naver.com/articles/2645524964", "매물Link")</f>
        <v/>
      </c>
      <c r="Q503" s="6">
        <f>HYPERLINK("https://map.naver.com/p/search/세종특별자치시 조치원읍 남리 62-6", "지도Link")</f>
        <v/>
      </c>
      <c r="R503" s="6">
        <f>HYPERLINK("http://www.eum.go.kr/web/ar/lu/luLandDet.jsp?pnu=3611025027100620006&amp;isNoScr=script&amp;mode=search", "토지이음")</f>
        <v/>
      </c>
      <c r="S503" s="3" t="inlineStr">
        <is>
          <t>척척</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세종특별자치시 조치원읍 남리 62-6</t>
        </is>
      </c>
      <c r="B504" s="3" t="inlineStr">
        <is>
          <t>제2종일반주거지역</t>
        </is>
      </c>
      <c r="C504" s="3" t="inlineStr">
        <is>
          <t>대</t>
        </is>
      </c>
      <c r="D504" s="3" t="inlineStr">
        <is>
          <t>4</t>
        </is>
      </c>
      <c r="E504" s="3" t="inlineStr">
        <is>
          <t>일반원룸</t>
        </is>
      </c>
      <c r="F504" s="3" t="inlineStr">
        <is>
          <t>전세</t>
        </is>
      </c>
      <c r="G504" s="4" t="n">
        <v>4000</v>
      </c>
      <c r="H504" s="4" t="n">
        <v>0</v>
      </c>
      <c r="I504" s="4" t="n">
        <v>39</v>
      </c>
      <c r="J504" s="4" t="n">
        <v>12</v>
      </c>
      <c r="K504" s="5" t="n">
        <v>333.3</v>
      </c>
      <c r="L504" s="4" t="n">
        <v>26</v>
      </c>
      <c r="M504" s="4" t="n">
        <v>8</v>
      </c>
      <c r="N504" s="5" t="n">
        <v>500</v>
      </c>
      <c r="O504" s="3" t="inlineStr">
        <is>
          <t>nan</t>
        </is>
      </c>
      <c r="P504" s="6">
        <f>HYPERLINK("https://fin.land.naver.com/articles/2648311440", "매물Link")</f>
        <v/>
      </c>
      <c r="Q504" s="6">
        <f>HYPERLINK("https://map.naver.com/p/search/세종특별자치시 조치원읍 남리 62-6", "지도Link")</f>
        <v/>
      </c>
      <c r="R504" s="6">
        <f>HYPERLINK("http://www.eum.go.kr/web/ar/lu/luLandDet.jsp?pnu=3611025027100620006&amp;isNoScr=script&amp;mode=search", "토지이음")</f>
        <v/>
      </c>
      <c r="S504" s="3" t="inlineStr">
        <is>
          <t>척척</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세종특별자치시 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HYPERLINK("https://map.naver.com/p/search/세종특별자치시 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세종특별자치시 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HYPERLINK("https://map.naver.com/p/search/세종특별자치시 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세종특별자치시 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HYPERLINK("https://map.naver.com/p/search/세종특별자치시 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세종특별자치시 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HYPERLINK("https://map.naver.com/p/search/세종특별자치시 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세종특별자치시 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HYPERLINK("https://map.naver.com/p/search/세종특별자치시 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세종특별자치시 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HYPERLINK("https://map.naver.com/p/search/세종특별자치시 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세종특별자치시 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HYPERLINK("https://map.naver.com/p/search/세종특별자치시 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세종특별자치시 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HYPERLINK("https://map.naver.com/p/search/세종특별자치시 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세종특별자치시 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HYPERLINK("https://map.naver.com/p/search/세종특별자치시 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세종특별자치시 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HYPERLINK("https://map.naver.com/p/search/세종특별자치시 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세종특별자치시 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HYPERLINK("https://map.naver.com/p/search/세종특별자치시 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세종특별자치시 조치원읍 상리 79-3</t>
        </is>
      </c>
      <c r="B516" s="3" t="inlineStr">
        <is>
          <t>일반상업지역</t>
        </is>
      </c>
      <c r="C516" s="3" t="inlineStr">
        <is>
          <t>대</t>
        </is>
      </c>
      <c r="D516" s="3" t="inlineStr">
        <is>
          <t>4</t>
        </is>
      </c>
      <c r="E516" s="3" t="inlineStr">
        <is>
          <t>일반원룸</t>
        </is>
      </c>
      <c r="F516" s="3" t="inlineStr">
        <is>
          <t>전세</t>
        </is>
      </c>
      <c r="G516" s="4" t="n">
        <v>4800</v>
      </c>
      <c r="H516" s="4" t="n">
        <v>0</v>
      </c>
      <c r="I516" s="4" t="n">
        <v>26</v>
      </c>
      <c r="J516" s="4" t="n">
        <v>8</v>
      </c>
      <c r="K516" s="5" t="n">
        <v>600</v>
      </c>
      <c r="L516" s="4" t="n">
        <v>18</v>
      </c>
      <c r="M516" s="4" t="n">
        <v>5</v>
      </c>
      <c r="N516" s="5" t="n">
        <v>960</v>
      </c>
      <c r="O516" s="3" t="inlineStr">
        <is>
          <t>깨끗한원룸.넓은방.협의입주가능.보안철저.주차시설완비</t>
        </is>
      </c>
      <c r="P516" s="6">
        <f>HYPERLINK("https://fin.land.naver.com/articles/2644836713", "매물Link")</f>
        <v/>
      </c>
      <c r="Q516" s="6">
        <f>HYPERLINK("https://map.naver.com/p/search/세종특별자치시 조치원읍 상리 79-3", "지도Link")</f>
        <v/>
      </c>
      <c r="R516" s="6">
        <f>HYPERLINK("http://www.eum.go.kr/web/ar/lu/luLandDet.jsp?pnu=3611025022100790003&amp;isNoScr=script&amp;mode=search", "토지이음")</f>
        <v/>
      </c>
      <c r="S516" s="3" t="inlineStr">
        <is>
          <t>척척</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세종특별자치시 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HYPERLINK("https://map.naver.com/p/search/세종특별자치시 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세종특별자치시 조치원읍 상리 79-3</t>
        </is>
      </c>
      <c r="B518" s="3" t="inlineStr">
        <is>
          <t>일반상업지역</t>
        </is>
      </c>
      <c r="C518" s="3" t="inlineStr">
        <is>
          <t>대</t>
        </is>
      </c>
      <c r="D518" s="3" t="inlineStr">
        <is>
          <t>4</t>
        </is>
      </c>
      <c r="E518" s="3" t="inlineStr">
        <is>
          <t>도시형생활주택</t>
        </is>
      </c>
      <c r="F518" s="3" t="inlineStr">
        <is>
          <t>전세</t>
        </is>
      </c>
      <c r="G518" s="4" t="n">
        <v>4200</v>
      </c>
      <c r="H518" s="4" t="n">
        <v>0</v>
      </c>
      <c r="I518" s="4" t="n">
        <v>26</v>
      </c>
      <c r="J518" s="4" t="n">
        <v>8</v>
      </c>
      <c r="K518" s="5" t="n">
        <v>525</v>
      </c>
      <c r="L518" s="4" t="n">
        <v>18</v>
      </c>
      <c r="M518" s="4" t="n">
        <v>5</v>
      </c>
      <c r="N518" s="5" t="n">
        <v>840</v>
      </c>
      <c r="O518" s="3" t="inlineStr">
        <is>
          <t>풀옵션 깔끔한 도시형생활주택 무융자조건</t>
        </is>
      </c>
      <c r="P518" s="6">
        <f>HYPERLINK("https://fin.land.naver.com/articles/2645162863", "매물Link")</f>
        <v/>
      </c>
      <c r="Q518" s="6">
        <f>HYPERLINK("https://map.naver.com/p/search/세종특별자치시 조치원읍 상리 79-3", "지도Link")</f>
        <v/>
      </c>
      <c r="R518" s="6">
        <f>HYPERLINK("http://www.eum.go.kr/web/ar/lu/luLandDet.jsp?pnu=3611025022100790003&amp;isNoScr=script&amp;mode=search", "토지이음")</f>
        <v/>
      </c>
      <c r="S518" s="3" t="inlineStr">
        <is>
          <t>용죽부자</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세종특별자치시 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HYPERLINK("https://map.naver.com/p/search/세종특별자치시 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세종특별자치시 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HYPERLINK("https://map.naver.com/p/search/세종특별자치시 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세종특별자치시 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HYPERLINK("https://map.naver.com/p/search/세종특별자치시 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세종특별자치시 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HYPERLINK("https://map.naver.com/p/search/세종특별자치시 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세종특별자치시 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HYPERLINK("https://map.naver.com/p/search/세종특별자치시 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세종특별자치시 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HYPERLINK("https://map.naver.com/p/search/세종특별자치시 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세종특별자치시 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23</v>
      </c>
      <c r="J525" s="4" t="n">
        <v>7</v>
      </c>
      <c r="K525" s="5" t="n">
        <v>571.4</v>
      </c>
      <c r="L525" s="4" t="n">
        <v>23</v>
      </c>
      <c r="M525" s="4" t="n">
        <v>7</v>
      </c>
      <c r="N525" s="5" t="n">
        <v>571.4</v>
      </c>
      <c r="O525" s="3" t="inlineStr">
        <is>
          <t>서창리 원룸 전세</t>
        </is>
      </c>
      <c r="P525" s="6">
        <f>HYPERLINK("https://fin.land.naver.com/articles/2646197839", "매물Link")</f>
        <v/>
      </c>
      <c r="Q525" s="6">
        <f>HYPERLINK("https://map.naver.com/p/search/세종특별자치시 조치원읍 서창리 292-2", "지도Link")</f>
        <v/>
      </c>
      <c r="R525" s="6">
        <f>HYPERLINK("http://www.eum.go.kr/web/ar/lu/luLandDet.jsp?pnu=3611025034102920002&amp;isNoScr=script&amp;mode=search", "토지이음")</f>
        <v/>
      </c>
      <c r="S525" s="3" t="inlineStr">
        <is>
          <t>김준희</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세종특별자치시 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L리모델링 O풀옵션 O역3분</t>
        </is>
      </c>
      <c r="P526" s="6">
        <f>HYPERLINK("https://fin.land.naver.com/articles/2645063733", "매물Link")</f>
        <v/>
      </c>
      <c r="Q526" s="6">
        <f>HYPERLINK("https://map.naver.com/p/search/세종특별자치시 조치원읍 서창리 292-2", "지도Link")</f>
        <v/>
      </c>
      <c r="R526" s="6">
        <f>HYPERLINK("http://www.eum.go.kr/web/ar/lu/luLandDet.jsp?pnu=3611025034102920002&amp;isNoScr=script&amp;mode=search", "토지이음")</f>
        <v/>
      </c>
      <c r="S526" s="3" t="inlineStr">
        <is>
          <t>바다</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세종특별자치시 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0</v>
      </c>
      <c r="J527" s="4" t="n">
        <v>0</v>
      </c>
      <c r="K527" s="5" t="n">
        <v>0</v>
      </c>
      <c r="L527" s="4" t="n">
        <v>23</v>
      </c>
      <c r="M527" s="4" t="n">
        <v>7</v>
      </c>
      <c r="N527" s="5" t="n">
        <v>571.4</v>
      </c>
      <c r="O527" s="3" t="inlineStr">
        <is>
          <t>세종,오송,청주 출퇴근하기 좋은 위치의 분리형원룸</t>
        </is>
      </c>
      <c r="P527" s="6">
        <f>HYPERLINK("https://fin.land.naver.com/articles/2647378387", "매물Link")</f>
        <v/>
      </c>
      <c r="Q527" s="6">
        <f>HYPERLINK("https://map.naver.com/p/search/세종특별자치시 조치원읍 서창리 292-2", "지도Link")</f>
        <v/>
      </c>
      <c r="R527" s="6">
        <f>HYPERLINK("http://www.eum.go.kr/web/ar/lu/luLandDet.jsp?pnu=3611025034102920002&amp;isNoScr=script&amp;mode=search", "토지이음")</f>
        <v/>
      </c>
      <c r="S527" s="3" t="inlineStr">
        <is>
          <t>무지개</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세종특별자치시 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다가구 매매 실투자금 약 5억</t>
        </is>
      </c>
      <c r="P528" s="6">
        <f>HYPERLINK("https://fin.land.naver.com/articles/2645163465", "매물Link")</f>
        <v/>
      </c>
      <c r="Q528" s="6">
        <f>HYPERLINK("https://map.naver.com/p/search/세종특별자치시 조치원읍 서창리 296-8", "지도Link")</f>
        <v/>
      </c>
      <c r="R528" s="6">
        <f>HYPERLINK("http://www.eum.go.kr/web/ar/lu/luLandDet.jsp?pnu=3611025034102960008&amp;isNoScr=script&amp;mode=search", "토지이음")</f>
        <v/>
      </c>
      <c r="S528" s="3" t="inlineStr">
        <is>
          <t>상희</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세종특별자치시 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nan</t>
        </is>
      </c>
      <c r="P529" s="6">
        <f>HYPERLINK("https://fin.land.naver.com/articles/2645783949", "매물Link")</f>
        <v/>
      </c>
      <c r="Q529" s="6">
        <f>HYPERLINK("https://map.naver.com/p/search/세종특별자치시 조치원읍 서창리 296-8", "지도Link")</f>
        <v/>
      </c>
      <c r="R529" s="6">
        <f>HYPERLINK("http://www.eum.go.kr/web/ar/lu/luLandDet.jsp?pnu=3611025034102960008&amp;isNoScr=script&amp;mode=search", "토지이음")</f>
        <v/>
      </c>
      <c r="S529" s="3" t="inlineStr">
        <is>
          <t>척척</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세종특별자치시 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HYPERLINK("https://map.naver.com/p/search/세종특별자치시 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세종특별자치시 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HYPERLINK("https://map.naver.com/p/search/세종특별자치시 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세종특별자치시 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HYPERLINK("https://map.naver.com/p/search/세종특별자치시 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세종특별자치시 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HYPERLINK("https://map.naver.com/p/search/세종특별자치시 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세종특별자치시 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HYPERLINK("https://map.naver.com/p/search/세종특별자치시 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세종특별자치시 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신안리 올리모델링 30p 빌라.복선전철 수혜 기대.즉시입주 가능</t>
        </is>
      </c>
      <c r="P535" s="6">
        <f>HYPERLINK("https://fin.land.naver.com/articles/2647419659", "매물Link")</f>
        <v/>
      </c>
      <c r="Q535" s="6">
        <f>HYPERLINK("https://map.naver.com/p/search/세종특별자치시 조치원읍 신안리 179-17", "지도Link")</f>
        <v/>
      </c>
      <c r="R535" s="6">
        <f>HYPERLINK("http://www.eum.go.kr/web/ar/lu/luLandDet.jsp?pnu=3611025032101790017&amp;isNoScr=script&amp;mode=search", "토지이음")</f>
        <v/>
      </c>
      <c r="S535" s="3" t="inlineStr">
        <is>
          <t>하늘</t>
        </is>
      </c>
      <c r="T535" s="3" t="n">
        <v>1</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세종특별자치시 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HYPERLINK("https://map.naver.com/p/search/세종특별자치시 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세종특별자치시 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조치원읍 신안리 신축 프리미엄 빌라 급매, 쓰리룸 엘리베이터 주차여유</t>
        </is>
      </c>
      <c r="P537" s="6">
        <f>HYPERLINK("https://fin.land.naver.com/articles/2647624029", "매물Link")</f>
        <v/>
      </c>
      <c r="Q537" s="6">
        <f>HYPERLINK("https://map.naver.com/p/search/세종특별자치시 조치원읍 신안리 179-17", "지도Link")</f>
        <v/>
      </c>
      <c r="R537" s="6">
        <f>HYPERLINK("http://www.eum.go.kr/web/ar/lu/luLandDet.jsp?pnu=3611025032101790017&amp;isNoScr=script&amp;mode=search", "토지이음")</f>
        <v/>
      </c>
      <c r="S537" s="3" t="inlineStr">
        <is>
          <t>빅토리</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세종특별자치시 조치원읍 신안리 179-17</t>
        </is>
      </c>
      <c r="B538" s="3" t="inlineStr">
        <is>
          <t>자연녹지지역</t>
        </is>
      </c>
      <c r="C538" s="3" t="inlineStr">
        <is>
          <t>대</t>
        </is>
      </c>
      <c r="D538" s="3" t="inlineStr">
        <is>
          <t>4</t>
        </is>
      </c>
      <c r="E538" s="3" t="inlineStr">
        <is>
          <t>빌라</t>
        </is>
      </c>
      <c r="F538" s="3" t="inlineStr">
        <is>
          <t>매매</t>
        </is>
      </c>
      <c r="G538" s="4" t="n">
        <v>16500</v>
      </c>
      <c r="H538" s="4" t="n">
        <v>0</v>
      </c>
      <c r="I538" s="4" t="n">
        <v>93</v>
      </c>
      <c r="J538" s="4" t="n">
        <v>28</v>
      </c>
      <c r="K538" s="5" t="n">
        <v>589.3</v>
      </c>
      <c r="L538" s="4" t="n">
        <v>80</v>
      </c>
      <c r="M538" s="4" t="n">
        <v>24</v>
      </c>
      <c r="N538" s="5" t="n">
        <v>687.5</v>
      </c>
      <c r="O538" s="3" t="inlineStr">
        <is>
          <t>신축,즉시입주가능, 홍대근접,엘리베이터 있음 주차장 여유, 조용한 환경</t>
        </is>
      </c>
      <c r="P538" s="6">
        <f>HYPERLINK("https://fin.land.naver.com/articles/2645450946", "매물Link")</f>
        <v/>
      </c>
      <c r="Q538" s="6">
        <f>HYPERLINK("https://map.naver.com/p/search/세종특별자치시 조치원읍 신안리 179-17", "지도Link")</f>
        <v/>
      </c>
      <c r="R538" s="6">
        <f>HYPERLINK("http://www.eum.go.kr/web/ar/lu/luLandDet.jsp?pnu=3611025032101790017&amp;isNoScr=script&amp;mode=search", "토지이음")</f>
        <v/>
      </c>
      <c r="S538" s="3" t="inlineStr">
        <is>
          <t>담뜰</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세종특별자치시 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홍대 신축, 올리모델링,엘베,급매</t>
        </is>
      </c>
      <c r="P539" s="6">
        <f>HYPERLINK("https://fin.land.naver.com/articles/2646910242", "매물Link")</f>
        <v/>
      </c>
      <c r="Q539" s="6">
        <f>HYPERLINK("https://map.naver.com/p/search/세종특별자치시 조치원읍 신안리 179-17", "지도Link")</f>
        <v/>
      </c>
      <c r="R539" s="6">
        <f>HYPERLINK("http://www.eum.go.kr/web/ar/lu/luLandDet.jsp?pnu=3611025032101790017&amp;isNoScr=script&amp;mode=search", "토지이음")</f>
        <v/>
      </c>
      <c r="S539" s="3" t="inlineStr">
        <is>
          <t>다옴</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세종특별자치시 조치원읍 신안리 179-17</t>
        </is>
      </c>
      <c r="B540" s="3" t="inlineStr">
        <is>
          <t>자연녹지지역</t>
        </is>
      </c>
      <c r="C540" s="3" t="inlineStr">
        <is>
          <t>대</t>
        </is>
      </c>
      <c r="D540" s="3" t="inlineStr">
        <is>
          <t>1</t>
        </is>
      </c>
      <c r="E540" s="3" t="inlineStr">
        <is>
          <t>빌라</t>
        </is>
      </c>
      <c r="F540" s="3" t="inlineStr">
        <is>
          <t>매매</t>
        </is>
      </c>
      <c r="G540" s="4" t="n">
        <v>16500</v>
      </c>
      <c r="H540" s="4" t="n">
        <v>0</v>
      </c>
      <c r="I540" s="4" t="n">
        <v>94</v>
      </c>
      <c r="J540" s="4" t="n">
        <v>28</v>
      </c>
      <c r="K540" s="5" t="n">
        <v>589.3</v>
      </c>
      <c r="L540" s="4" t="n">
        <v>80</v>
      </c>
      <c r="M540" s="4" t="n">
        <v>24</v>
      </c>
      <c r="N540" s="5" t="n">
        <v>687.5</v>
      </c>
      <c r="O540" s="3" t="inlineStr">
        <is>
          <t>컨디션최상 신축빌라. 즉시입주가능. 엘레베이터O</t>
        </is>
      </c>
      <c r="P540" s="6">
        <f>HYPERLINK("https://fin.land.naver.com/articles/2649989414", "매물Link")</f>
        <v/>
      </c>
      <c r="Q540" s="6">
        <f>HYPERLINK("https://map.naver.com/p/search/세종특별자치시 조치원읍 신안리 179-17", "지도Link")</f>
        <v/>
      </c>
      <c r="R540" s="6">
        <f>HYPERLINK("http://www.eum.go.kr/web/ar/lu/luLandDet.jsp?pnu=3611025032101790017&amp;isNoScr=script&amp;mode=search", "토지이음")</f>
        <v/>
      </c>
      <c r="S540" s="3" t="inlineStr">
        <is>
          <t>세종금밭</t>
        </is>
      </c>
      <c r="T540" s="3" t="n">
        <v>5</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세종특별자치시 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신안리 홍익대학교 연수원앞, 숲이 우거진 아름다운 집임.</t>
        </is>
      </c>
      <c r="P541" s="6">
        <f>HYPERLINK("https://fin.land.naver.com/articles/2649178224", "매물Link")</f>
        <v/>
      </c>
      <c r="Q541" s="6">
        <f>HYPERLINK("https://map.naver.com/p/search/세종특별자치시 조치원읍 신안리 179-17", "지도Link")</f>
        <v/>
      </c>
      <c r="R541" s="6">
        <f>HYPERLINK("http://www.eum.go.kr/web/ar/lu/luLandDet.jsp?pnu=3611025032101790017&amp;isNoScr=script&amp;mode=search", "토지이음")</f>
        <v/>
      </c>
      <c r="S541" s="3" t="inlineStr">
        <is>
          <t>꿈드림</t>
        </is>
      </c>
      <c r="T541" s="3" t="n">
        <v>2</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세종특별자치시 조치원읍 신안리 179-17</t>
        </is>
      </c>
      <c r="B542" s="3" t="inlineStr">
        <is>
          <t>자연녹지지역</t>
        </is>
      </c>
      <c r="C542" s="3" t="inlineStr">
        <is>
          <t>대</t>
        </is>
      </c>
      <c r="D542" s="3" t="inlineStr">
        <is>
          <t>4</t>
        </is>
      </c>
      <c r="E542" s="3" t="inlineStr">
        <is>
          <t>다가구</t>
        </is>
      </c>
      <c r="F542" s="3" t="inlineStr">
        <is>
          <t>매매</t>
        </is>
      </c>
      <c r="G542" s="4" t="n">
        <v>16500</v>
      </c>
      <c r="H542" s="4" t="n">
        <v>0</v>
      </c>
      <c r="I542" s="4" t="n">
        <v>383</v>
      </c>
      <c r="J542" s="4" t="n">
        <v>116</v>
      </c>
      <c r="K542" s="5" t="n">
        <v>142.2</v>
      </c>
      <c r="L542" s="4" t="n">
        <v>374</v>
      </c>
      <c r="M542" s="4" t="n">
        <v>113</v>
      </c>
      <c r="N542" s="5" t="n">
        <v>146</v>
      </c>
      <c r="O542" s="3" t="inlineStr">
        <is>
          <t>자연과 어우러진 전원형 빌라주거지 세종시와 청주. 오송방면 이동이편리함</t>
        </is>
      </c>
      <c r="P542" s="6">
        <f>HYPERLINK("https://fin.land.naver.com/articles/2649408871", "매물Link")</f>
        <v/>
      </c>
      <c r="Q542" s="6">
        <f>HYPERLINK("https://map.naver.com/p/search/세종특별자치시 조치원읍 신안리 179-17", "지도Link")</f>
        <v/>
      </c>
      <c r="R542" s="6">
        <f>HYPERLINK("http://www.eum.go.kr/web/ar/lu/luLandDet.jsp?pnu=3611025032101790017&amp;isNoScr=script&amp;mode=search", "토지이음")</f>
        <v/>
      </c>
      <c r="S542" s="3" t="inlineStr">
        <is>
          <t>재원</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세종특별자치시 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93</v>
      </c>
      <c r="J543" s="4" t="n">
        <v>28</v>
      </c>
      <c r="K543" s="5" t="n">
        <v>589.3</v>
      </c>
      <c r="L543" s="4" t="n">
        <v>80</v>
      </c>
      <c r="M543" s="4" t="n">
        <v>24</v>
      </c>
      <c r="N543" s="5" t="n">
        <v>687.5</v>
      </c>
      <c r="O543" s="3" t="inlineStr">
        <is>
          <t>전원형 주거지신축빌라, 올리모델링, 급매 1억6500만원, 역세권예정</t>
        </is>
      </c>
      <c r="P543" s="6">
        <f>HYPERLINK("https://fin.land.naver.com/articles/2644847919", "매물Link")</f>
        <v/>
      </c>
      <c r="Q543" s="6">
        <f>HYPERLINK("https://map.naver.com/p/search/세종특별자치시 조치원읍 신안리 179-17", "지도Link")</f>
        <v/>
      </c>
      <c r="R543" s="6">
        <f>HYPERLINK("http://www.eum.go.kr/web/ar/lu/luLandDet.jsp?pnu=3611025032101790017&amp;isNoScr=script&amp;mode=search", "토지이음")</f>
        <v/>
      </c>
      <c r="S543" s="3" t="inlineStr">
        <is>
          <t>대한</t>
        </is>
      </c>
      <c r="T543" s="3" t="n">
        <v>1</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세종특별자치시 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올리모델링, 4층단독세대, 방3욕실2, 승강기, 적극협의</t>
        </is>
      </c>
      <c r="P544" s="6">
        <f>HYPERLINK("https://fin.land.naver.com/articles/2647198591", "매물Link")</f>
        <v/>
      </c>
      <c r="Q544" s="6">
        <f>HYPERLINK("https://map.naver.com/p/search/세종특별자치시 조치원읍 신안리 179-17", "지도Link")</f>
        <v/>
      </c>
      <c r="R544" s="6">
        <f>HYPERLINK("http://www.eum.go.kr/web/ar/lu/luLandDet.jsp?pnu=3611025032101790017&amp;isNoScr=script&amp;mode=search", "토지이음")</f>
        <v/>
      </c>
      <c r="S544" s="3" t="inlineStr">
        <is>
          <t>보배</t>
        </is>
      </c>
      <c r="T544" s="3" t="n">
        <v>2</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세종특별자치시 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HYPERLINK("https://map.naver.com/p/search/세종특별자치시 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세종특별자치시 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HYPERLINK("https://map.naver.com/p/search/세종특별자치시 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세종특별자치시 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HYPERLINK("https://map.naver.com/p/search/세종특별자치시 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세종특별자치시 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HYPERLINK("https://map.naver.com/p/search/세종특별자치시 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세종특별자치시 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HYPERLINK("https://map.naver.com/p/search/세종특별자치시 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세종특별자치시 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HYPERLINK("https://map.naver.com/p/search/세종특별자치시 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세종특별자치시 조치원읍 신안리 353-19</t>
        </is>
      </c>
      <c r="B551" s="3" t="inlineStr">
        <is>
          <t>제2종일반주거지역</t>
        </is>
      </c>
      <c r="C551" s="3" t="inlineStr">
        <is>
          <t>대</t>
        </is>
      </c>
      <c r="D551" s="3" t="inlineStr">
        <is>
          <t>3</t>
        </is>
      </c>
      <c r="E551" s="3" t="inlineStr">
        <is>
          <t>다가구</t>
        </is>
      </c>
      <c r="F551" s="3" t="inlineStr">
        <is>
          <t>매매</t>
        </is>
      </c>
      <c r="G551" s="4" t="n">
        <v>72500</v>
      </c>
      <c r="H551" s="4" t="n">
        <v>0</v>
      </c>
      <c r="I551" s="4" t="n">
        <v>156</v>
      </c>
      <c r="J551" s="4" t="n">
        <v>47</v>
      </c>
      <c r="K551" s="5" t="n">
        <v>1542.6</v>
      </c>
      <c r="L551" s="4" t="n">
        <v>264</v>
      </c>
      <c r="M551" s="4" t="n">
        <v>80</v>
      </c>
      <c r="N551" s="5" t="n">
        <v>906.2</v>
      </c>
      <c r="O551" s="3" t="inlineStr">
        <is>
          <t>고객만족1위, 홍익대부근세종캠, 고려대근방세종캠, 조치원역 부근</t>
        </is>
      </c>
      <c r="P551" s="6">
        <f>HYPERLINK("https://fin.land.naver.com/articles/2645913527", "매물Link")</f>
        <v/>
      </c>
      <c r="Q551" s="6">
        <f>HYPERLINK("https://map.naver.com/p/search/세종특별자치시 조치원읍 신안리 353-19", "지도Link")</f>
        <v/>
      </c>
      <c r="R551" s="6">
        <f>HYPERLINK("http://www.eum.go.kr/web/ar/lu/luLandDet.jsp?pnu=3611025032103530019&amp;isNoScr=script&amp;mode=search", "토지이음")</f>
        <v/>
      </c>
      <c r="S551" s="3" t="inlineStr">
        <is>
          <t>생생</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세종특별자치시 조치원읍 신안리 353-19</t>
        </is>
      </c>
      <c r="B552" s="3" t="inlineStr">
        <is>
          <t>제2종일반주거지역</t>
        </is>
      </c>
      <c r="C552" s="3" t="inlineStr">
        <is>
          <t>대</t>
        </is>
      </c>
      <c r="D552" s="3" t="inlineStr">
        <is>
          <t>3</t>
        </is>
      </c>
      <c r="E552" s="3" t="inlineStr">
        <is>
          <t>다가구</t>
        </is>
      </c>
      <c r="F552" s="3" t="inlineStr">
        <is>
          <t>매매</t>
        </is>
      </c>
      <c r="G552" s="4" t="n">
        <v>62000</v>
      </c>
      <c r="H552" s="4" t="n">
        <v>0</v>
      </c>
      <c r="I552" s="4" t="n">
        <v>158</v>
      </c>
      <c r="J552" s="4" t="n">
        <v>48</v>
      </c>
      <c r="K552" s="5" t="n">
        <v>1291.7</v>
      </c>
      <c r="L552" s="4" t="n">
        <v>264</v>
      </c>
      <c r="M552" s="4" t="n">
        <v>80</v>
      </c>
      <c r="N552" s="5" t="n">
        <v>775</v>
      </c>
      <c r="O552" s="3" t="inlineStr">
        <is>
          <t>nan</t>
        </is>
      </c>
      <c r="P552" s="6">
        <f>HYPERLINK("https://fin.land.naver.com/articles/2644120409", "매물Link")</f>
        <v/>
      </c>
      <c r="Q552" s="6">
        <f>HYPERLINK("https://map.naver.com/p/search/세종특별자치시 조치원읍 신안리 353-19", "지도Link")</f>
        <v/>
      </c>
      <c r="R552" s="6">
        <f>HYPERLINK("http://www.eum.go.kr/web/ar/lu/luLandDet.jsp?pnu=3611025032103530019&amp;isNoScr=script&amp;mode=search", "토지이음")</f>
        <v/>
      </c>
      <c r="S552" s="3" t="inlineStr">
        <is>
          <t>바다</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세종특별자치시 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HYPERLINK("https://map.naver.com/p/search/세종특별자치시 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세종특별자치시 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HYPERLINK("https://map.naver.com/p/search/세종특별자치시 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세종특별자치시 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HYPERLINK("https://map.naver.com/p/search/세종특별자치시 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세종특별자치시 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HYPERLINK("https://map.naver.com/p/search/세종특별자치시 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세종특별자치시 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HYPERLINK("https://map.naver.com/p/search/세종특별자치시 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세종특별자치시 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nan</t>
        </is>
      </c>
      <c r="P558" s="6">
        <f>HYPERLINK("https://fin.land.naver.com/articles/2645783015", "매물Link")</f>
        <v/>
      </c>
      <c r="Q558" s="6">
        <f>HYPERLINK("https://map.naver.com/p/search/세종특별자치시 조치원읍 신안리 385-12", "지도Link")</f>
        <v/>
      </c>
      <c r="R558" s="6">
        <f>HYPERLINK("http://www.eum.go.kr/web/ar/lu/luLandDet.jsp?pnu=3611025032103850012&amp;isNoScr=script&amp;mode=search", "토지이음")</f>
        <v/>
      </c>
      <c r="S558" s="3" t="inlineStr">
        <is>
          <t>척척</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세종특별자치시 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홍익대학교, 고려대학교 후문쪽 위치, 공실없음</t>
        </is>
      </c>
      <c r="P559" s="6">
        <f>HYPERLINK("https://fin.land.naver.com/articles/2647247647", "매물Link")</f>
        <v/>
      </c>
      <c r="Q559" s="6">
        <f>HYPERLINK("https://map.naver.com/p/search/세종특별자치시 조치원읍 신안리 385-12", "지도Link")</f>
        <v/>
      </c>
      <c r="R559" s="6">
        <f>HYPERLINK("http://www.eum.go.kr/web/ar/lu/luLandDet.jsp?pnu=3611025032103850012&amp;isNoScr=script&amp;mode=search", "토지이음")</f>
        <v/>
      </c>
      <c r="S559" s="3" t="inlineStr">
        <is>
          <t>세종공감</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세종특별자치시 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원룸 다가구매매.수익률잘나옴.</t>
        </is>
      </c>
      <c r="P560" s="6">
        <f>HYPERLINK("https://fin.land.naver.com/articles/2644111033", "매물Link")</f>
        <v/>
      </c>
      <c r="Q560" s="6">
        <f>HYPERLINK("https://map.naver.com/p/search/세종특별자치시 조치원읍 신안리 385-12", "지도Link")</f>
        <v/>
      </c>
      <c r="R560" s="6">
        <f>HYPERLINK("http://www.eum.go.kr/web/ar/lu/luLandDet.jsp?pnu=3611025032103850012&amp;isNoScr=script&amp;mode=search", "토지이음")</f>
        <v/>
      </c>
      <c r="S560" s="3" t="inlineStr">
        <is>
          <t>바다</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세종특별자치시 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HYPERLINK("https://map.naver.com/p/search/세종특별자치시 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세종특별자치시 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HYPERLINK("https://map.naver.com/p/search/세종특별자치시 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세종특별자치시 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HYPERLINK("https://map.naver.com/p/search/세종특별자치시 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세종특별자치시 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HYPERLINK("https://map.naver.com/p/search/세종특별자치시 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세종특별자치시 조치원읍 신안리 389-8</t>
        </is>
      </c>
      <c r="B565" s="3" t="inlineStr">
        <is>
          <t>제2종일반주거지역</t>
        </is>
      </c>
      <c r="C565" s="3" t="inlineStr">
        <is>
          <t>대</t>
        </is>
      </c>
      <c r="D565" s="3" t="inlineStr">
        <is>
          <t>0</t>
        </is>
      </c>
      <c r="E565" s="3" t="inlineStr">
        <is>
          <t>일반원룸</t>
        </is>
      </c>
      <c r="F565" s="3" t="inlineStr">
        <is>
          <t>월세</t>
        </is>
      </c>
      <c r="G565" s="4" t="n">
        <v>100</v>
      </c>
      <c r="H565" s="4" t="n">
        <v>20</v>
      </c>
      <c r="I565" s="4" t="n">
        <v>15</v>
      </c>
      <c r="J565" s="4" t="n">
        <v>5</v>
      </c>
      <c r="K565" s="5" t="n">
        <v>4</v>
      </c>
      <c r="L565" s="4" t="n">
        <v>15</v>
      </c>
      <c r="M565" s="4" t="n">
        <v>5</v>
      </c>
      <c r="N565" s="5" t="n">
        <v>4</v>
      </c>
      <c r="O565" s="3" t="inlineStr">
        <is>
          <t>한달28만원에 공과금 모두 포함, 추가금 없음</t>
        </is>
      </c>
      <c r="P565" s="6">
        <f>HYPERLINK("https://fin.land.naver.com/articles/2648554234", "매물Link")</f>
        <v/>
      </c>
      <c r="Q565" s="6">
        <f>HYPERLINK("https://map.naver.com/p/search/세종특별자치시 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세종특별자치시 조치원읍 신안리 389-8</t>
        </is>
      </c>
      <c r="B566" s="3" t="inlineStr">
        <is>
          <t>제2종일반주거지역</t>
        </is>
      </c>
      <c r="C566" s="3" t="inlineStr">
        <is>
          <t>대</t>
        </is>
      </c>
      <c r="D566" s="3" t="inlineStr">
        <is>
          <t>1</t>
        </is>
      </c>
      <c r="E566" s="3" t="inlineStr">
        <is>
          <t>일반원룸</t>
        </is>
      </c>
      <c r="F566" s="3" t="inlineStr">
        <is>
          <t>전세</t>
        </is>
      </c>
      <c r="G566" s="4" t="n">
        <v>4500</v>
      </c>
      <c r="H566" s="4" t="n">
        <v>0</v>
      </c>
      <c r="I566" s="4" t="n">
        <v>25</v>
      </c>
      <c r="J566" s="4" t="n">
        <v>8</v>
      </c>
      <c r="K566" s="5" t="n">
        <v>562.5</v>
      </c>
      <c r="L566" s="4" t="n">
        <v>25</v>
      </c>
      <c r="M566" s="4" t="n">
        <v>8</v>
      </c>
      <c r="N566" s="5" t="n">
        <v>562.5</v>
      </c>
      <c r="O566" s="3" t="inlineStr">
        <is>
          <t>공과금 모두 포함하여 1달 15만원 추가비용없음</t>
        </is>
      </c>
      <c r="P566" s="6">
        <f>HYPERLINK("https://fin.land.naver.com/articles/2647185496", "매물Link")</f>
        <v/>
      </c>
      <c r="Q566" s="6">
        <f>HYPERLINK("https://map.naver.com/p/search/세종특별자치시 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세종특별자치시 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HYPERLINK("https://map.naver.com/p/search/세종특별자치시 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세종특별자치시 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HYPERLINK("https://map.naver.com/p/search/세종특별자치시 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세종특별자치시 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HYPERLINK("https://map.naver.com/p/search/세종특별자치시 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세종특별자치시 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HYPERLINK("https://map.naver.com/p/search/세종특별자치시 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세종특별자치시 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HYPERLINK("https://map.naver.com/p/search/세종특별자치시 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세종특별자치시 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HYPERLINK("https://map.naver.com/p/search/세종특별자치시 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세종특별자치시 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HYPERLINK("https://map.naver.com/p/search/세종특별자치시 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세종특별자치시 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홍대 후문 1분 거리로 선호하는 위치,수익률 좋고 투자 비용 낮음</t>
        </is>
      </c>
      <c r="P574" s="6">
        <f>HYPERLINK("https://fin.land.naver.com/articles/2643931071", "매물Link")</f>
        <v/>
      </c>
      <c r="Q574" s="6">
        <f>HYPERLINK("https://map.naver.com/p/search/세종특별자치시 조치원읍 신안리 445-9", "지도Link")</f>
        <v/>
      </c>
      <c r="R574" s="6">
        <f>HYPERLINK("http://www.eum.go.kr/web/ar/lu/luLandDet.jsp?pnu=3611025032104450009&amp;isNoScr=script&amp;mode=search", "토지이음")</f>
        <v/>
      </c>
      <c r="S574" s="3" t="inlineStr">
        <is>
          <t>유정희</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세종특별자치시 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후문앞. 공실없는 원룸건물. 관리잘됨</t>
        </is>
      </c>
      <c r="P575" s="6">
        <f>HYPERLINK("https://fin.land.naver.com/articles/2644110570", "매물Link")</f>
        <v/>
      </c>
      <c r="Q575" s="6">
        <f>HYPERLINK("https://map.naver.com/p/search/세종특별자치시 조치원읍 신안리 445-9", "지도Link")</f>
        <v/>
      </c>
      <c r="R575" s="6">
        <f>HYPERLINK("http://www.eum.go.kr/web/ar/lu/luLandDet.jsp?pnu=3611025032104450009&amp;isNoScr=script&amp;mode=search", "토지이음")</f>
        <v/>
      </c>
      <c r="S575" s="3" t="inlineStr">
        <is>
          <t>바다</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세종특별자치시 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HYPERLINK("https://map.naver.com/p/search/세종특별자치시 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세종특별자치시 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HYPERLINK("https://map.naver.com/p/search/세종특별자치시 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세종특별자치시 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HYPERLINK("https://map.naver.com/p/search/세종특별자치시 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세종특별자치시 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67</v>
      </c>
      <c r="J579" s="4" t="n">
        <v>20</v>
      </c>
      <c r="K579" s="5" t="n">
        <v>1300</v>
      </c>
      <c r="L579" s="4" t="n">
        <v>139</v>
      </c>
      <c r="M579" s="4" t="n">
        <v>42</v>
      </c>
      <c r="N579" s="5" t="n">
        <v>619</v>
      </c>
      <c r="O579" s="3" t="inlineStr">
        <is>
          <t>원리 서독안경원 골목 먹자골목내 자기상가하면서 거주하실분 추천</t>
        </is>
      </c>
      <c r="P579" s="6">
        <f>HYPERLINK("https://fin.land.naver.com/articles/2646830435", "매물Link")</f>
        <v/>
      </c>
      <c r="Q579" s="6">
        <f>HYPERLINK("https://map.naver.com/p/search/세종특별자치시 조치원읍 원리 15-9", "지도Link")</f>
        <v/>
      </c>
      <c r="R579" s="6">
        <f>HYPERLINK("http://www.eum.go.kr/web/ar/lu/luLandDet.jsp?pnu=3611025021100150009&amp;isNoScr=script&amp;mode=search", "토지이음")</f>
        <v/>
      </c>
      <c r="S579" s="3" t="inlineStr">
        <is>
          <t>OK수</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세종특별자치시 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42</v>
      </c>
      <c r="J580" s="4" t="n">
        <v>13</v>
      </c>
      <c r="K580" s="5" t="n">
        <v>2000</v>
      </c>
      <c r="L580" s="4" t="n">
        <v>139</v>
      </c>
      <c r="M580" s="4" t="n">
        <v>42</v>
      </c>
      <c r="N580" s="5" t="n">
        <v>619</v>
      </c>
      <c r="O580" s="3" t="inlineStr">
        <is>
          <t>소형 상가주택매매,장사하시면서 거주하시기 좋아요.</t>
        </is>
      </c>
      <c r="P580" s="6">
        <f>HYPERLINK("https://fin.land.naver.com/articles/2647881780", "매물Link")</f>
        <v/>
      </c>
      <c r="Q580" s="6">
        <f>HYPERLINK("https://map.naver.com/p/search/세종특별자치시 조치원읍 원리 15-9", "지도Link")</f>
        <v/>
      </c>
      <c r="R580" s="6">
        <f>HYPERLINK("http://www.eum.go.kr/web/ar/lu/luLandDet.jsp?pnu=3611025021100150009&amp;isNoScr=script&amp;mode=search", "토지이음")</f>
        <v/>
      </c>
      <c r="S580" s="3" t="inlineStr">
        <is>
          <t>이음 사무소</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세종특별자치시 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HYPERLINK("https://map.naver.com/p/search/세종특별자치시 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세종특별자치시 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HYPERLINK("https://map.naver.com/p/search/세종특별자치시 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세종특별자치시 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HYPERLINK("https://map.naver.com/p/search/세종특별자치시 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세종특별자치시 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HYPERLINK("https://map.naver.com/p/search/세종특별자치시 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세종특별자치시 조치원읍 죽림리 338-2</t>
        </is>
      </c>
      <c r="B585" s="3" t="inlineStr">
        <is>
          <t>제2종일반주거지역</t>
        </is>
      </c>
      <c r="C585" s="3" t="inlineStr">
        <is>
          <t>대</t>
        </is>
      </c>
      <c r="D585" s="3" t="inlineStr">
        <is>
          <t>4</t>
        </is>
      </c>
      <c r="E585" s="3" t="inlineStr">
        <is>
          <t>다가구</t>
        </is>
      </c>
      <c r="F585" s="3" t="inlineStr">
        <is>
          <t>매매</t>
        </is>
      </c>
      <c r="G585" s="4" t="n">
        <v>130000</v>
      </c>
      <c r="H585" s="4" t="n">
        <v>0</v>
      </c>
      <c r="I585" s="4" t="n">
        <v>502</v>
      </c>
      <c r="J585" s="4" t="n">
        <v>152</v>
      </c>
      <c r="K585" s="5" t="n">
        <v>855.3</v>
      </c>
      <c r="L585" s="4" t="n">
        <v>693</v>
      </c>
      <c r="M585" s="4" t="n">
        <v>210</v>
      </c>
      <c r="N585" s="5" t="n">
        <v>619</v>
      </c>
      <c r="O585" s="3" t="inlineStr">
        <is>
          <t>nan</t>
        </is>
      </c>
      <c r="P585" s="6">
        <f>HYPERLINK("https://fin.land.naver.com/articles/2645781590", "매물Link")</f>
        <v/>
      </c>
      <c r="Q585" s="6">
        <f>HYPERLINK("https://map.naver.com/p/search/세종특별자치시 조치원읍 죽림리 338-2", "지도Link")</f>
        <v/>
      </c>
      <c r="R585" s="6">
        <f>HYPERLINK("http://www.eum.go.kr/web/ar/lu/luLandDet.jsp?pnu=3611025030103380002&amp;isNoScr=script&amp;mode=search", "토지이음")</f>
        <v/>
      </c>
      <c r="S585" s="3" t="inlineStr">
        <is>
          <t>척척</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세종특별자치시 조치원읍 죽림리 338-2</t>
        </is>
      </c>
      <c r="B586" s="3" t="inlineStr">
        <is>
          <t>제2종일반주거지역</t>
        </is>
      </c>
      <c r="C586" s="3" t="inlineStr">
        <is>
          <t>대</t>
        </is>
      </c>
      <c r="D586" s="3" t="inlineStr">
        <is>
          <t>4</t>
        </is>
      </c>
      <c r="E586" s="3" t="inlineStr">
        <is>
          <t>상가주택</t>
        </is>
      </c>
      <c r="F586" s="3" t="inlineStr">
        <is>
          <t>매매</t>
        </is>
      </c>
      <c r="G586" s="4" t="n">
        <v>160000</v>
      </c>
      <c r="H586" s="4" t="n">
        <v>0</v>
      </c>
      <c r="I586" s="4" t="n">
        <v>502</v>
      </c>
      <c r="J586" s="4" t="n">
        <v>152</v>
      </c>
      <c r="K586" s="5" t="n">
        <v>1052.6</v>
      </c>
      <c r="L586" s="4" t="n">
        <v>693</v>
      </c>
      <c r="M586" s="4" t="n">
        <v>210</v>
      </c>
      <c r="N586" s="5" t="n">
        <v>761.9</v>
      </c>
      <c r="O586" s="3" t="inlineStr">
        <is>
          <t>o몽땅o수익률9프로</t>
        </is>
      </c>
      <c r="P586" s="6">
        <f>HYPERLINK("https://fin.land.naver.com/articles/2644377680", "매물Link")</f>
        <v/>
      </c>
      <c r="Q586" s="6">
        <f>HYPERLINK("https://map.naver.com/p/search/세종특별자치시 조치원읍 죽림리 338-2", "지도Link")</f>
        <v/>
      </c>
      <c r="R586" s="6">
        <f>HYPERLINK("http://www.eum.go.kr/web/ar/lu/luLandDet.jsp?pnu=3611025030103380002&amp;isNoScr=script&amp;mode=search", "토지이음")</f>
        <v/>
      </c>
      <c r="S586" s="3" t="inlineStr">
        <is>
          <t>세종몽땅</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세종특별자치시 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HYPERLINK("https://map.naver.com/p/search/세종특별자치시 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세종특별자치시 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HYPERLINK("https://map.naver.com/p/search/세종특별자치시 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세종특별자치시 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HYPERLINK("https://map.naver.com/p/search/세종특별자치시 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세종특별자치시 조치원읍 침산리 148-3</t>
        </is>
      </c>
      <c r="B590" s="3" t="inlineStr">
        <is>
          <t>제2종일반주거지역</t>
        </is>
      </c>
      <c r="C590" s="3" t="inlineStr">
        <is>
          <t>대</t>
        </is>
      </c>
      <c r="D590" s="3" t="inlineStr">
        <is>
          <t>3</t>
        </is>
      </c>
      <c r="E590" s="3" t="inlineStr">
        <is>
          <t>빌라</t>
        </is>
      </c>
      <c r="F590" s="3" t="inlineStr">
        <is>
          <t>전세</t>
        </is>
      </c>
      <c r="G590" s="4" t="n">
        <v>6800</v>
      </c>
      <c r="H590" s="4" t="n">
        <v>0</v>
      </c>
      <c r="I590" s="4" t="n">
        <v>76</v>
      </c>
      <c r="J590" s="4" t="n">
        <v>23</v>
      </c>
      <c r="K590" s="5" t="n">
        <v>295.7</v>
      </c>
      <c r="L590" s="4" t="n">
        <v>76</v>
      </c>
      <c r="M590" s="4" t="n">
        <v>23</v>
      </c>
      <c r="N590" s="5" t="n">
        <v>295.7</v>
      </c>
      <c r="O590" s="3" t="inlineStr">
        <is>
          <t>공실,귀한 전세,보증보험가능,방이 큰 빌라</t>
        </is>
      </c>
      <c r="P590" s="6">
        <f>HYPERLINK("https://fin.land.naver.com/articles/2645805671", "매물Link")</f>
        <v/>
      </c>
      <c r="Q590" s="6">
        <f>HYPERLINK("https://map.naver.com/p/search/세종특별자치시 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세종특별자치시 조치원읍 침산리 148-3</t>
        </is>
      </c>
      <c r="B591" s="3" t="inlineStr">
        <is>
          <t>제2종일반주거지역</t>
        </is>
      </c>
      <c r="C591" s="3" t="inlineStr">
        <is>
          <t>대</t>
        </is>
      </c>
      <c r="D591" s="3" t="inlineStr">
        <is>
          <t>3</t>
        </is>
      </c>
      <c r="E591" s="3" t="inlineStr">
        <is>
          <t>빌라</t>
        </is>
      </c>
      <c r="F591" s="3" t="inlineStr">
        <is>
          <t>매매</t>
        </is>
      </c>
      <c r="G591" s="4" t="n">
        <v>7000</v>
      </c>
      <c r="H591" s="4" t="n">
        <v>0</v>
      </c>
      <c r="I591" s="4" t="n">
        <v>76</v>
      </c>
      <c r="J591" s="4" t="n">
        <v>23</v>
      </c>
      <c r="K591" s="5" t="n">
        <v>304.3</v>
      </c>
      <c r="L591" s="4" t="n">
        <v>76</v>
      </c>
      <c r="M591" s="4" t="n">
        <v>23</v>
      </c>
      <c r="N591" s="5" t="n">
        <v>304.3</v>
      </c>
      <c r="O591" s="3" t="inlineStr">
        <is>
          <t>공실,역세권 빌라,막히지 않은 조망,방이 큰 빌라</t>
        </is>
      </c>
      <c r="P591" s="6">
        <f>HYPERLINK("https://fin.land.naver.com/articles/2647281789", "매물Link")</f>
        <v/>
      </c>
      <c r="Q591" s="6">
        <f>HYPERLINK("https://map.naver.com/p/search/세종특별자치시 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세종특별자치시 조치원읍 침산리 219-5</t>
        </is>
      </c>
      <c r="B592" s="3" t="inlineStr">
        <is>
          <t>제1종일반주거지역</t>
        </is>
      </c>
      <c r="C592" s="3" t="inlineStr">
        <is>
          <t>답</t>
        </is>
      </c>
      <c r="D592" s="3" t="inlineStr">
        <is>
          <t>3</t>
        </is>
      </c>
      <c r="E592" s="3" t="inlineStr">
        <is>
          <t>다가구</t>
        </is>
      </c>
      <c r="F592" s="3" t="inlineStr">
        <is>
          <t>월세</t>
        </is>
      </c>
      <c r="G592" s="4" t="n">
        <v>500</v>
      </c>
      <c r="H592" s="4" t="n">
        <v>55</v>
      </c>
      <c r="I592" s="4" t="n">
        <v>0</v>
      </c>
      <c r="J592" s="4" t="n">
        <v>0</v>
      </c>
      <c r="K592" s="5" t="n">
        <v>0</v>
      </c>
      <c r="L592" s="4" t="n">
        <v>39</v>
      </c>
      <c r="M592" s="4" t="n">
        <v>12</v>
      </c>
      <c r="N592" s="5" t="n">
        <v>4.6</v>
      </c>
      <c r="O592" s="3" t="inlineStr">
        <is>
          <t>침산리 조용한 투룸</t>
        </is>
      </c>
      <c r="P592" s="6">
        <f>HYPERLINK("https://fin.land.naver.com/articles/2650116041", "매물Link")</f>
        <v/>
      </c>
      <c r="Q592" s="6">
        <f>HYPERLINK("https://map.naver.com/p/search/세종특별자치시 조치원읍 침산리 219-5", "지도Link")</f>
        <v/>
      </c>
      <c r="R592" s="6">
        <f>HYPERLINK("http://www.eum.go.kr/web/ar/lu/luLandDet.jsp?pnu=3611025028102190005&amp;isNoScr=script&amp;mode=search", "토지이음")</f>
        <v/>
      </c>
      <c r="S592" s="3" t="inlineStr">
        <is>
          <t>고래</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세종특별자치시 조치원읍 침산리 219-5</t>
        </is>
      </c>
      <c r="B593" s="3" t="inlineStr">
        <is>
          <t>제1종일반주거지역</t>
        </is>
      </c>
      <c r="C593" s="3" t="inlineStr">
        <is>
          <t>답</t>
        </is>
      </c>
      <c r="D593" s="3" t="inlineStr">
        <is>
          <t>0</t>
        </is>
      </c>
      <c r="E593" s="3" t="inlineStr">
        <is>
          <t>일반원룸</t>
        </is>
      </c>
      <c r="F593" s="3" t="inlineStr">
        <is>
          <t>월세</t>
        </is>
      </c>
      <c r="G593" s="4" t="n">
        <v>500</v>
      </c>
      <c r="H593" s="4" t="n">
        <v>65</v>
      </c>
      <c r="I593" s="4" t="n">
        <v>46</v>
      </c>
      <c r="J593" s="4" t="n">
        <v>14</v>
      </c>
      <c r="K593" s="5" t="n">
        <v>4.6</v>
      </c>
      <c r="L593" s="4" t="n">
        <v>39</v>
      </c>
      <c r="M593" s="4" t="n">
        <v>12</v>
      </c>
      <c r="N593" s="5" t="n">
        <v>5.4</v>
      </c>
      <c r="O593" s="3" t="inlineStr">
        <is>
          <t>귀한 투룸.도도리파크앞.즉시입주 가능.</t>
        </is>
      </c>
      <c r="P593" s="6">
        <f>HYPERLINK("https://fin.land.naver.com/articles/2650140429", "매물Link")</f>
        <v/>
      </c>
      <c r="Q593" s="6">
        <f>HYPERLINK("https://map.naver.com/p/search/세종특별자치시 조치원읍 침산리 219-5", "지도Link")</f>
        <v/>
      </c>
      <c r="R593" s="6">
        <f>HYPERLINK("http://www.eum.go.kr/web/ar/lu/luLandDet.jsp?pnu=3611025028102190005&amp;isNoScr=script&amp;mode=search", "토지이음")</f>
        <v/>
      </c>
      <c r="S593" s="3" t="inlineStr">
        <is>
          <t>척척</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세종특별자치시 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HYPERLINK("https://map.naver.com/p/search/세종특별자치시 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세종특별자치시 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50</v>
      </c>
      <c r="I595" s="4" t="n">
        <v>130</v>
      </c>
      <c r="J595" s="4" t="n">
        <v>39</v>
      </c>
      <c r="K595" s="5" t="n">
        <v>1.3</v>
      </c>
      <c r="L595" s="4" t="n">
        <v>30</v>
      </c>
      <c r="M595" s="4" t="n">
        <v>9</v>
      </c>
      <c r="N595" s="5" t="n">
        <v>5.6</v>
      </c>
      <c r="O595" s="3" t="inlineStr">
        <is>
          <t>투룸 방2 월세</t>
        </is>
      </c>
      <c r="P595" s="6">
        <f>HYPERLINK("https://fin.land.naver.com/articles/2647861513", "매물Link")</f>
        <v/>
      </c>
      <c r="Q595" s="6">
        <f>HYPERLINK("https://map.naver.com/p/search/세종특별자치시 조치원읍 침산리 251-6", "지도Link")</f>
        <v/>
      </c>
      <c r="R595" s="6">
        <f>HYPERLINK("http://www.eum.go.kr/web/ar/lu/luLandDet.jsp?pnu=3611025028102510006&amp;isNoScr=script&amp;mode=search", "토지이음")</f>
        <v/>
      </c>
      <c r="S595" s="3" t="inlineStr">
        <is>
          <t>김준희</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세종특별자치시 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HYPERLINK("https://map.naver.com/p/search/세종특별자치시 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세종특별자치시 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55</v>
      </c>
      <c r="I597" s="4" t="n">
        <v>39</v>
      </c>
      <c r="J597" s="4" t="n">
        <v>12</v>
      </c>
      <c r="K597" s="5" t="n">
        <v>4.6</v>
      </c>
      <c r="L597" s="4" t="n">
        <v>39</v>
      </c>
      <c r="M597" s="4" t="n">
        <v>12</v>
      </c>
      <c r="N597" s="5" t="n">
        <v>4.6</v>
      </c>
      <c r="O597" s="3" t="inlineStr">
        <is>
          <t>침산리 투룸 월세 고려대 인접 상권 인프라 완벽한 화성타운</t>
        </is>
      </c>
      <c r="P597" s="6">
        <f>HYPERLINK("https://fin.land.naver.com/articles/2647479834", "매물Link")</f>
        <v/>
      </c>
      <c r="Q597" s="6">
        <f>HYPERLINK("https://map.naver.com/p/search/세종특별자치시 조치원읍 침산리 251-6", "지도Link")</f>
        <v/>
      </c>
      <c r="R597" s="6">
        <f>HYPERLINK("http://www.eum.go.kr/web/ar/lu/luLandDet.jsp?pnu=3611025028102510006&amp;isNoScr=script&amp;mode=search", "토지이음")</f>
        <v/>
      </c>
      <c r="S597" s="3" t="inlineStr">
        <is>
          <t>번암주공</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세종특별자치시 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0</v>
      </c>
      <c r="J598" s="4" t="n">
        <v>0</v>
      </c>
      <c r="K598" s="5" t="n">
        <v>0</v>
      </c>
      <c r="L598" s="4" t="n">
        <v>33</v>
      </c>
      <c r="M598" s="4" t="n">
        <v>10</v>
      </c>
      <c r="N598" s="5" t="n">
        <v>4.5</v>
      </c>
      <c r="O598" s="3" t="inlineStr">
        <is>
          <t>화장실2개 에어컨 2개    2룸</t>
        </is>
      </c>
      <c r="P598" s="6">
        <f>HYPERLINK("https://fin.land.naver.com/articles/2649435819", "매물Link")</f>
        <v/>
      </c>
      <c r="Q598" s="6">
        <f>HYPERLINK("https://map.naver.com/p/search/세종특별자치시 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세종특별자치시 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46</v>
      </c>
      <c r="J599" s="4" t="n">
        <v>14</v>
      </c>
      <c r="K599" s="5" t="n">
        <v>3.2</v>
      </c>
      <c r="L599" s="4" t="n">
        <v>39</v>
      </c>
      <c r="M599" s="4" t="n">
        <v>12</v>
      </c>
      <c r="N599" s="5" t="n">
        <v>3.8</v>
      </c>
      <c r="O599" s="3" t="inlineStr">
        <is>
          <t>원룸 2개구조. 2인숙소 강추.</t>
        </is>
      </c>
      <c r="P599" s="6">
        <f>HYPERLINK("https://fin.land.naver.com/articles/2649229081", "매물Link")</f>
        <v/>
      </c>
      <c r="Q599" s="6">
        <f>HYPERLINK("https://map.naver.com/p/search/세종특별자치시 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세종특별자치시 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HYPERLINK("https://map.naver.com/p/search/세종특별자치시 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세종특별자치시 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HYPERLINK("https://map.naver.com/p/search/세종특별자치시 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세종특별자치시 조치원읍 침산리 265-11</t>
        </is>
      </c>
      <c r="B602" s="3" t="inlineStr">
        <is>
          <t>제2종일반주거지역</t>
        </is>
      </c>
      <c r="C602" s="3" t="inlineStr">
        <is>
          <t>대</t>
        </is>
      </c>
      <c r="D602" s="3" t="inlineStr">
        <is>
          <t>2</t>
        </is>
      </c>
      <c r="E602" s="3" t="inlineStr">
        <is>
          <t>일반원룸</t>
        </is>
      </c>
      <c r="F602" s="3" t="inlineStr">
        <is>
          <t>월세</t>
        </is>
      </c>
      <c r="G602" s="4" t="n">
        <v>200</v>
      </c>
      <c r="H602" s="4" t="n">
        <v>28</v>
      </c>
      <c r="I602" s="4" t="n">
        <v>0</v>
      </c>
      <c r="J602" s="4" t="n">
        <v>0</v>
      </c>
      <c r="K602" s="5" t="n">
        <v>0</v>
      </c>
      <c r="L602" s="4" t="n">
        <v>23</v>
      </c>
      <c r="M602" s="4" t="n">
        <v>7</v>
      </c>
      <c r="N602" s="5" t="n">
        <v>4</v>
      </c>
      <c r="O602" s="3" t="inlineStr">
        <is>
          <t>nan</t>
        </is>
      </c>
      <c r="P602" s="6">
        <f>HYPERLINK("https://fin.land.naver.com/articles/2648302133", "매물Link")</f>
        <v/>
      </c>
      <c r="Q602" s="6">
        <f>HYPERLINK("https://map.naver.com/p/search/세종특별자치시 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세종특별자치시 조치원읍 침산리 265-11</t>
        </is>
      </c>
      <c r="B603" s="3" t="inlineStr">
        <is>
          <t>제2종일반주거지역</t>
        </is>
      </c>
      <c r="C603" s="3" t="inlineStr">
        <is>
          <t>대</t>
        </is>
      </c>
      <c r="D603" s="3" t="inlineStr">
        <is>
          <t>1</t>
        </is>
      </c>
      <c r="E603" s="3" t="inlineStr">
        <is>
          <t>일반원룸</t>
        </is>
      </c>
      <c r="F603" s="3" t="inlineStr">
        <is>
          <t>월세</t>
        </is>
      </c>
      <c r="G603" s="4" t="n">
        <v>150</v>
      </c>
      <c r="H603" s="4" t="n">
        <v>25</v>
      </c>
      <c r="I603" s="4" t="n">
        <v>0</v>
      </c>
      <c r="J603" s="4" t="n">
        <v>0</v>
      </c>
      <c r="K603" s="5" t="n">
        <v>0</v>
      </c>
      <c r="L603" s="4" t="n">
        <v>23</v>
      </c>
      <c r="M603" s="4" t="n">
        <v>7</v>
      </c>
      <c r="N603" s="5" t="n">
        <v>3.6</v>
      </c>
      <c r="O603" s="3" t="inlineStr">
        <is>
          <t>nan</t>
        </is>
      </c>
      <c r="P603" s="6">
        <f>HYPERLINK("https://fin.land.naver.com/articles/2649877584", "매물Link")</f>
        <v/>
      </c>
      <c r="Q603" s="6">
        <f>HYPERLINK("https://map.naver.com/p/search/세종특별자치시 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세종특별자치시 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HYPERLINK("https://map.naver.com/p/search/세종특별자치시 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세종특별자치시 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HYPERLINK("https://map.naver.com/p/search/세종특별자치시 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세종특별자치시 조치원읍 침산리 267-11</t>
        </is>
      </c>
      <c r="B606" s="3" t="inlineStr">
        <is>
          <t>제2종일반주거지역</t>
        </is>
      </c>
      <c r="C606" s="3" t="inlineStr">
        <is>
          <t>대</t>
        </is>
      </c>
      <c r="D606" s="3" t="inlineStr">
        <is>
          <t>2</t>
        </is>
      </c>
      <c r="E606" s="3" t="inlineStr">
        <is>
          <t>일반원룸</t>
        </is>
      </c>
      <c r="F606" s="3" t="inlineStr">
        <is>
          <t>월세</t>
        </is>
      </c>
      <c r="G606" s="4" t="n">
        <v>200</v>
      </c>
      <c r="H606" s="4" t="n">
        <v>30</v>
      </c>
      <c r="I606" s="4" t="n">
        <v>0</v>
      </c>
      <c r="J606" s="4" t="n">
        <v>0</v>
      </c>
      <c r="K606" s="5" t="n">
        <v>0</v>
      </c>
      <c r="L606" s="4" t="n">
        <v>23</v>
      </c>
      <c r="M606" s="4" t="n">
        <v>7</v>
      </c>
      <c r="N606" s="5" t="n">
        <v>4.3</v>
      </c>
      <c r="O606" s="3" t="inlineStr">
        <is>
          <t>욱일앞 생활편의 시설 좋은 위치</t>
        </is>
      </c>
      <c r="P606" s="6">
        <f>HYPERLINK("https://fin.land.naver.com/articles/2648305935", "매물Link")</f>
        <v/>
      </c>
      <c r="Q606" s="6">
        <f>HYPERLINK("https://map.naver.com/p/search/세종특별자치시 조치원읍 침산리 267-11", "지도Link")</f>
        <v/>
      </c>
      <c r="R606" s="6">
        <f>HYPERLINK("http://www.eum.go.kr/web/ar/lu/luLandDet.jsp?pnu=3611025028102670011&amp;isNoScr=script&amp;mode=search", "토지이음")</f>
        <v/>
      </c>
      <c r="S606" s="3" t="inlineStr">
        <is>
          <t>척척</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세종특별자치시 조치원읍 침산리 267-11</t>
        </is>
      </c>
      <c r="B607" s="3" t="inlineStr">
        <is>
          <t>제2종일반주거지역</t>
        </is>
      </c>
      <c r="C607" s="3" t="inlineStr">
        <is>
          <t>대</t>
        </is>
      </c>
      <c r="D607" s="3" t="inlineStr">
        <is>
          <t>2</t>
        </is>
      </c>
      <c r="E607" s="3" t="inlineStr">
        <is>
          <t>일반원룸</t>
        </is>
      </c>
      <c r="F607" s="3" t="inlineStr">
        <is>
          <t>월세</t>
        </is>
      </c>
      <c r="G607" s="4" t="n">
        <v>100</v>
      </c>
      <c r="H607" s="4" t="n">
        <v>30</v>
      </c>
      <c r="I607" s="4" t="n">
        <v>23</v>
      </c>
      <c r="J607" s="4" t="n">
        <v>7</v>
      </c>
      <c r="K607" s="5" t="n">
        <v>4.3</v>
      </c>
      <c r="L607" s="4" t="n">
        <v>23</v>
      </c>
      <c r="M607" s="4" t="n">
        <v>7</v>
      </c>
      <c r="N607" s="5" t="n">
        <v>4.3</v>
      </c>
      <c r="O607" s="3" t="inlineStr">
        <is>
          <t>침산리 원룸 월세 보100 월30 관리비10</t>
        </is>
      </c>
      <c r="P607" s="6">
        <f>HYPERLINK("https://fin.land.naver.com/articles/2647838658", "매물Link")</f>
        <v/>
      </c>
      <c r="Q607" s="6">
        <f>HYPERLINK("https://map.naver.com/p/search/세종특별자치시 조치원읍 침산리 267-11", "지도Link")</f>
        <v/>
      </c>
      <c r="R607" s="6">
        <f>HYPERLINK("http://www.eum.go.kr/web/ar/lu/luLandDet.jsp?pnu=3611025028102670011&amp;isNoScr=script&amp;mode=search", "토지이음")</f>
        <v/>
      </c>
      <c r="S607" s="3" t="inlineStr">
        <is>
          <t>김준희</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세종특별자치시 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HYPERLINK("https://map.naver.com/p/search/세종특별자치시 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세종특별자치시 조치원읍 침산리 277-15</t>
        </is>
      </c>
      <c r="B609" s="3" t="inlineStr">
        <is>
          <t>제2종일반주거지역</t>
        </is>
      </c>
      <c r="C609" s="3" t="inlineStr">
        <is>
          <t>대</t>
        </is>
      </c>
      <c r="D609" s="3" t="inlineStr">
        <is>
          <t>2</t>
        </is>
      </c>
      <c r="E609" s="3" t="inlineStr">
        <is>
          <t>일반원룸</t>
        </is>
      </c>
      <c r="F609" s="3" t="inlineStr">
        <is>
          <t>월세</t>
        </is>
      </c>
      <c r="G609" s="4" t="n">
        <v>200</v>
      </c>
      <c r="H609" s="4" t="n">
        <v>31</v>
      </c>
      <c r="I609" s="4" t="n">
        <v>28</v>
      </c>
      <c r="J609" s="4" t="n">
        <v>8</v>
      </c>
      <c r="K609" s="5" t="n">
        <v>3.9</v>
      </c>
      <c r="L609" s="4" t="n">
        <v>25</v>
      </c>
      <c r="M609" s="4" t="n">
        <v>8</v>
      </c>
      <c r="N609" s="5" t="n">
        <v>3.9</v>
      </c>
      <c r="O609" s="3" t="inlineStr">
        <is>
          <t>분리형원룸.즉시입주가능.</t>
        </is>
      </c>
      <c r="P609" s="6">
        <f>HYPERLINK("https://fin.land.naver.com/articles/2646875981", "매물Link")</f>
        <v/>
      </c>
      <c r="Q609" s="6">
        <f>HYPERLINK("https://map.naver.com/p/search/세종특별자치시 조치원읍 침산리 277-15", "지도Link")</f>
        <v/>
      </c>
      <c r="R609" s="6">
        <f>HYPERLINK("http://www.eum.go.kr/web/ar/lu/luLandDet.jsp?pnu=3611025028102770015&amp;isNoScr=script&amp;mode=search", "토지이음")</f>
        <v/>
      </c>
      <c r="S609" s="3" t="inlineStr">
        <is>
          <t>이음</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세종특별자치시 조치원읍 침산리 277-15</t>
        </is>
      </c>
      <c r="B610" s="3" t="inlineStr">
        <is>
          <t>제2종일반주거지역</t>
        </is>
      </c>
      <c r="C610" s="3" t="inlineStr">
        <is>
          <t>대</t>
        </is>
      </c>
      <c r="D610" s="3" t="inlineStr">
        <is>
          <t>4</t>
        </is>
      </c>
      <c r="E610" s="3" t="inlineStr">
        <is>
          <t>다가구</t>
        </is>
      </c>
      <c r="F610" s="3" t="inlineStr">
        <is>
          <t>매매</t>
        </is>
      </c>
      <c r="G610" s="4" t="n">
        <v>93000</v>
      </c>
      <c r="H610" s="4" t="n">
        <v>0</v>
      </c>
      <c r="I610" s="4" t="n">
        <v>227</v>
      </c>
      <c r="J610" s="4" t="n">
        <v>69</v>
      </c>
      <c r="K610" s="5" t="n">
        <v>1347.8</v>
      </c>
      <c r="L610" s="4" t="n">
        <v>370</v>
      </c>
      <c r="M610" s="4" t="n">
        <v>112</v>
      </c>
      <c r="N610" s="5" t="n">
        <v>830.4</v>
      </c>
      <c r="O610" s="3" t="inlineStr">
        <is>
          <t>관리잘됨. 공실 걱정 없는 곳. 역5분</t>
        </is>
      </c>
      <c r="P610" s="6">
        <f>HYPERLINK("https://fin.land.naver.com/articles/2644120482", "매물Link")</f>
        <v/>
      </c>
      <c r="Q610" s="6">
        <f>HYPERLINK("https://map.naver.com/p/search/세종특별자치시 조치원읍 침산리 277-15", "지도Link")</f>
        <v/>
      </c>
      <c r="R610" s="6">
        <f>HYPERLINK("http://www.eum.go.kr/web/ar/lu/luLandDet.jsp?pnu=3611025028102770015&amp;isNoScr=script&amp;mode=search", "토지이음")</f>
        <v/>
      </c>
      <c r="S610" s="3" t="inlineStr">
        <is>
          <t>바다</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세종특별자치시 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HYPERLINK("https://map.naver.com/p/search/세종특별자치시 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세종특별자치시 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HYPERLINK("https://map.naver.com/p/search/세종특별자치시 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세종특별자치시 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HYPERLINK("https://map.naver.com/p/search/세종특별자치시 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세종특별자치시 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HYPERLINK("https://map.naver.com/p/search/세종특별자치시 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세종특별자치시 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HYPERLINK("https://map.naver.com/p/search/세종특별자치시 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세종특별자치시 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HYPERLINK("https://map.naver.com/p/search/세종특별자치시 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세종특별자치시 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HYPERLINK("https://map.naver.com/p/search/세종특별자치시 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세종특별자치시 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HYPERLINK("https://map.naver.com/p/search/세종특별자치시 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세종특별자치시 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HYPERLINK("https://map.naver.com/p/search/세종특별자치시 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세종특별자치시 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착한매우급매 마당넓은공원 내집처럼사용 옆시유지땅 무상사용 꼭 해 달래요</t>
        </is>
      </c>
      <c r="P620" s="6">
        <f>HYPERLINK("https://fin.land.naver.com/articles/2646097576", "매물Link")</f>
        <v/>
      </c>
      <c r="Q620" s="6">
        <f>HYPERLINK("https://map.naver.com/p/search/세종특별자치시 한솔동 1118", "지도Link")</f>
        <v/>
      </c>
      <c r="R620" s="6">
        <f>HYPERLINK("http://www.eum.go.kr/web/ar/lu/luLandDet.jsp?pnu=3611010600111180000&amp;isNoScr=script&amp;mode=search", "토지이음")</f>
        <v/>
      </c>
      <c r="S620" s="3" t="inlineStr">
        <is>
          <t>세종골드삼성</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세종특별자치시 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세종시 상권이용편리한 단독주택  앞뒤뻥</t>
        </is>
      </c>
      <c r="P621" s="6">
        <f>HYPERLINK("https://fin.land.naver.com/articles/2646211687", "매물Link")</f>
        <v/>
      </c>
      <c r="Q621" s="6">
        <f>HYPERLINK("https://map.naver.com/p/search/세종특별자치시 한솔동 1118", "지도Link")</f>
        <v/>
      </c>
      <c r="R621" s="6">
        <f>HYPERLINK("http://www.eum.go.kr/web/ar/lu/luLandDet.jsp?pnu=3611010600111180000&amp;isNoScr=script&amp;mode=search", "토지이음")</f>
        <v/>
      </c>
      <c r="S621" s="3" t="inlineStr">
        <is>
          <t>세종믿음</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세종특별자치시 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마당연결 공원전유사용 옆시유지 무상이용 2층 테라스 데크 실수요최적</t>
        </is>
      </c>
      <c r="P622" s="6">
        <f>HYPERLINK("https://fin.land.naver.com/articles/2649262816", "매물Link")</f>
        <v/>
      </c>
      <c r="Q622" s="6">
        <f>HYPERLINK("https://map.naver.com/p/search/세종특별자치시 한솔동 1118", "지도Link")</f>
        <v/>
      </c>
      <c r="R622" s="6">
        <f>HYPERLINK("http://www.eum.go.kr/web/ar/lu/luLandDet.jsp?pnu=3611010600111180000&amp;isNoScr=script&amp;mode=search", "토지이음")</f>
        <v/>
      </c>
      <c r="S622" s="3" t="inlineStr">
        <is>
          <t>삼성래미안</t>
        </is>
      </c>
      <c r="T622" s="3" t="n">
        <v>3</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세종특별자치시 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전용49.8p, 방3개 화장실2개, 사유지땅 사용가능</t>
        </is>
      </c>
      <c r="P623" s="6">
        <f>HYPERLINK("https://fin.land.naver.com/articles/2648834239", "매물Link")</f>
        <v/>
      </c>
      <c r="Q623" s="6">
        <f>HYPERLINK("https://map.naver.com/p/search/세종특별자치시 한솔동 1118", "지도Link")</f>
        <v/>
      </c>
      <c r="R623" s="6">
        <f>HYPERLINK("http://www.eum.go.kr/web/ar/lu/luLandDet.jsp?pnu=3611010600111180000&amp;isNoScr=script&amp;mode=search", "토지이음")</f>
        <v/>
      </c>
      <c r="S623" s="3" t="inlineStr">
        <is>
          <t>세종무지개</t>
        </is>
      </c>
      <c r="T623" s="3" t="n">
        <v>1</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세종특별자치시 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공원사유지 무상이용가능, 입지 좋은 한솔동 단독주택 매매</t>
        </is>
      </c>
      <c r="P624" s="6">
        <f>HYPERLINK("https://fin.land.naver.com/articles/2649007409", "매물Link")</f>
        <v/>
      </c>
      <c r="Q624" s="6">
        <f>HYPERLINK("https://map.naver.com/p/search/세종특별자치시 한솔동 1118", "지도Link")</f>
        <v/>
      </c>
      <c r="R624" s="6">
        <f>HYPERLINK("http://www.eum.go.kr/web/ar/lu/luLandDet.jsp?pnu=3611010600111180000&amp;isNoScr=script&amp;mode=search", "토지이음")</f>
        <v/>
      </c>
      <c r="S624" s="3" t="inlineStr">
        <is>
          <t>명진</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세종특별자치시 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HYPERLINK("https://map.naver.com/p/search/세종특별자치시 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세종특별자치시 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HYPERLINK("https://map.naver.com/p/search/세종특별자치시 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세종특별자치시 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HYPERLINK("https://map.naver.com/p/search/세종특별자치시 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세종특별자치시 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태양광, 풀에어컨, 주차2대, 한솔동 입지 좋은 주택 매매</t>
        </is>
      </c>
      <c r="P628" s="6">
        <f>HYPERLINK("https://fin.land.naver.com/articles/2644084278", "매물Link")</f>
        <v/>
      </c>
      <c r="Q628" s="6">
        <f>HYPERLINK("https://map.naver.com/p/search/세종특별자치시 한솔동 899", "지도Link")</f>
        <v/>
      </c>
      <c r="R628" s="6">
        <f>HYPERLINK("http://www.eum.go.kr/web/ar/lu/luLandDet.jsp?pnu=3611010600108990000&amp;isNoScr=script&amp;mode=search", "토지이음")</f>
        <v/>
      </c>
      <c r="S628" s="3" t="inlineStr">
        <is>
          <t>세종무지개</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세종특별자치시 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입지 좋고 공간활용도가 높은 한솔동 단독주택 매매</t>
        </is>
      </c>
      <c r="P629" s="6">
        <f>HYPERLINK("https://fin.land.naver.com/articles/2644395820", "매물Link")</f>
        <v/>
      </c>
      <c r="Q629" s="6">
        <f>HYPERLINK("https://map.naver.com/p/search/세종특별자치시 한솔동 899", "지도Link")</f>
        <v/>
      </c>
      <c r="R629" s="6">
        <f>HYPERLINK("http://www.eum.go.kr/web/ar/lu/luLandDet.jsp?pnu=3611010600108990000&amp;isNoScr=script&amp;mode=search", "토지이음")</f>
        <v/>
      </c>
      <c r="S629" s="3" t="inlineStr">
        <is>
          <t>명진</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세종특별자치시 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공원옆 코너각지 남향 가격조절가 태양열 전기차충전기 정원에카페사용공간있음</t>
        </is>
      </c>
      <c r="P630" s="6">
        <f>HYPERLINK("https://fin.land.naver.com/articles/2649425303", "매물Link")</f>
        <v/>
      </c>
      <c r="Q630" s="6">
        <f>HYPERLINK("https://map.naver.com/p/search/세종특별자치시 한솔동 899", "지도Link")</f>
        <v/>
      </c>
      <c r="R630" s="6">
        <f>HYPERLINK("http://www.eum.go.kr/web/ar/lu/luLandDet.jsp?pnu=3611010600108990000&amp;isNoScr=script&amp;mode=search", "토지이음")</f>
        <v/>
      </c>
      <c r="S630" s="3" t="inlineStr">
        <is>
          <t>세종시해냄</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세종특별자치시 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입지 좋고 튼튼하게 지어서 실거주로 거주하기 좋은집</t>
        </is>
      </c>
      <c r="P631" s="6">
        <f>HYPERLINK("https://fin.land.naver.com/articles/2646538585", "매물Link")</f>
        <v/>
      </c>
      <c r="Q631" s="6">
        <f>HYPERLINK("https://map.naver.com/p/search/세종특별자치시 한솔동 899", "지도Link")</f>
        <v/>
      </c>
      <c r="R631" s="6">
        <f>HYPERLINK("http://www.eum.go.kr/web/ar/lu/luLandDet.jsp?pnu=3611010600108990000&amp;isNoScr=script&amp;mode=search", "토지이음")</f>
        <v/>
      </c>
      <c r="S631" s="3" t="inlineStr">
        <is>
          <t>현대탑</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세종특별자치시 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HYPERLINK("https://map.naver.com/p/search/세종특별자치시 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세종특별자치시 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HYPERLINK("https://map.naver.com/p/search/세종특별자치시 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세종특별자치시 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HYPERLINK("https://map.naver.com/p/search/세종특별자치시 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대전광역시 대덕구 용호동 212-3</t>
        </is>
      </c>
      <c r="B2" s="3" t="inlineStr">
        <is>
          <t>자연녹지지역</t>
        </is>
      </c>
      <c r="C2" s="3" t="inlineStr">
        <is>
          <t>대</t>
        </is>
      </c>
      <c r="D2" s="3" t="inlineStr">
        <is>
          <t>전</t>
        </is>
      </c>
      <c r="E2" s="3" t="inlineStr">
        <is>
          <t>매매</t>
        </is>
      </c>
      <c r="F2" s="4" t="n">
        <v>14000</v>
      </c>
      <c r="G2" s="4" t="n">
        <v>279</v>
      </c>
      <c r="H2" s="4" t="n">
        <v>84</v>
      </c>
      <c r="I2" s="5" t="n">
        <v>166.7</v>
      </c>
      <c r="J2" s="4" t="n">
        <v>67.59999999999999</v>
      </c>
      <c r="K2" s="3" t="inlineStr">
        <is>
          <t>용호동 대지 매매, 전원주택지로 적합합니다.</t>
        </is>
      </c>
      <c r="L2" s="6">
        <f>HYPERLINK("https://fin.land.naver.com/articles/2646492842", "매물Link")</f>
        <v/>
      </c>
      <c r="M2" s="6">
        <f>HYPERLINK("https://map.naver.com/p/search/대전광역시 대덕구 용호동 212-3", "지도Link")</f>
        <v/>
      </c>
      <c r="N2" s="6">
        <f>HYPERLINK("http://www.eum.go.kr/web/ar/lu/luLandDet.jsp?pnu=3023011900102120003&amp;isNoScr=script&amp;mode=search", "토지이음")</f>
        <v/>
      </c>
      <c r="O2" s="3" t="inlineStr">
        <is>
          <t>셀리</t>
        </is>
      </c>
      <c r="P2" s="3" t="n">
        <v>1</v>
      </c>
      <c r="Q2" s="3" t="n">
        <v>279</v>
      </c>
      <c r="R2" s="3" t="inlineStr">
        <is>
          <t>지정되지않음</t>
        </is>
      </c>
      <c r="S2" s="3" t="inlineStr">
        <is>
          <t>단독</t>
        </is>
      </c>
      <c r="T2" s="3" t="inlineStr">
        <is>
          <t>완경사</t>
        </is>
      </c>
      <c r="U2" s="3" t="inlineStr">
        <is>
          <t>부정형</t>
        </is>
      </c>
      <c r="V2" s="3" t="inlineStr">
        <is>
          <t>세로한면(불)</t>
        </is>
      </c>
    </row>
    <row r="3">
      <c r="A3" s="3" t="inlineStr">
        <is>
          <t>세종특별자치시 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HYPERLINK("https://map.naver.com/p/search/세종특별자치시 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세종특별자치시 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상가인근 토지</t>
        </is>
      </c>
      <c r="L4" s="6">
        <f>HYPERLINK("https://fin.land.naver.com/articles/2648840106", "매물Link")</f>
        <v/>
      </c>
      <c r="M4" s="6">
        <f>HYPERLINK("https://map.naver.com/p/search/세종특별자치시 고운동 1010", "지도Link")</f>
        <v/>
      </c>
      <c r="N4" s="6">
        <f>HYPERLINK("http://www.eum.go.kr/web/ar/lu/luLandDet.jsp?pnu=3611011200110100000&amp;isNoScr=script&amp;mode=search", "토지이음")</f>
        <v/>
      </c>
      <c r="O4" s="3" t="inlineStr">
        <is>
          <t>세종무지개</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세종특별자치시 고운동 1010</t>
        </is>
      </c>
      <c r="B5" s="3" t="inlineStr">
        <is>
          <t>제1종전용주거지역</t>
        </is>
      </c>
      <c r="C5" s="3" t="inlineStr">
        <is>
          <t>대</t>
        </is>
      </c>
      <c r="D5" s="3" t="inlineStr">
        <is>
          <t>대</t>
        </is>
      </c>
      <c r="E5" s="3" t="inlineStr">
        <is>
          <t>매매</t>
        </is>
      </c>
      <c r="F5" s="4" t="n">
        <v>67000</v>
      </c>
      <c r="G5" s="4" t="n">
        <v>319</v>
      </c>
      <c r="H5" s="4" t="n">
        <v>96</v>
      </c>
      <c r="I5" s="5" t="n">
        <v>697.9</v>
      </c>
      <c r="J5" s="4" t="n">
        <v>358.7</v>
      </c>
      <c r="K5" s="3" t="inlineStr">
        <is>
          <t>총 96.9p, 길가 코너자리, 정남향</t>
        </is>
      </c>
      <c r="L5" s="6">
        <f>HYPERLINK("https://fin.land.naver.com/articles/2648182149", "매물Link")</f>
        <v/>
      </c>
      <c r="M5" s="6">
        <f>HYPERLINK("https://map.naver.com/p/search/세종특별자치시 고운동 1010", "지도Link")</f>
        <v/>
      </c>
      <c r="N5" s="6">
        <f>HYPERLINK("http://www.eum.go.kr/web/ar/lu/luLandDet.jsp?pnu=3611011200110100000&amp;isNoScr=script&amp;mode=search", "토지이음")</f>
        <v/>
      </c>
      <c r="O5" s="3" t="inlineStr">
        <is>
          <t>명진</t>
        </is>
      </c>
      <c r="P5" s="3" t="n">
        <v>1</v>
      </c>
      <c r="Q5" s="3" t="n">
        <v>319.8</v>
      </c>
      <c r="R5" s="3" t="inlineStr">
        <is>
          <t>지정되지않음</t>
        </is>
      </c>
      <c r="S5" s="3" t="inlineStr">
        <is>
          <t>주거나지</t>
        </is>
      </c>
      <c r="T5" s="3" t="inlineStr">
        <is>
          <t>평지</t>
        </is>
      </c>
      <c r="U5" s="3" t="inlineStr">
        <is>
          <t>정방형</t>
        </is>
      </c>
      <c r="V5" s="3" t="inlineStr">
        <is>
          <t>중로각지</t>
        </is>
      </c>
    </row>
    <row r="6">
      <c r="A6" s="3" t="inlineStr">
        <is>
          <t>세종특별자치시 고운동 1031</t>
        </is>
      </c>
      <c r="B6" s="3" t="inlineStr">
        <is>
          <t>제1종전용주거지역</t>
        </is>
      </c>
      <c r="C6" s="3" t="inlineStr">
        <is>
          <t>대</t>
        </is>
      </c>
      <c r="D6" s="3" t="inlineStr">
        <is>
          <t>대</t>
        </is>
      </c>
      <c r="E6" s="3" t="inlineStr">
        <is>
          <t>매매</t>
        </is>
      </c>
      <c r="F6" s="4" t="n">
        <v>70000</v>
      </c>
      <c r="G6" s="4" t="n">
        <v>388</v>
      </c>
      <c r="H6" s="4" t="n">
        <v>117</v>
      </c>
      <c r="I6" s="5" t="n">
        <v>598.3</v>
      </c>
      <c r="J6" s="4" t="n">
        <v>317.5</v>
      </c>
      <c r="K6" s="3" t="inlineStr">
        <is>
          <t>급매 공원조망 큰평수 위치최상</t>
        </is>
      </c>
      <c r="L6" s="6">
        <f>HYPERLINK("https://fin.land.naver.com/articles/2646937343", "매물Link")</f>
        <v/>
      </c>
      <c r="M6" s="6">
        <f>HYPERLINK("https://map.naver.com/p/search/세종특별자치시 고운동 1031", "지도Link")</f>
        <v/>
      </c>
      <c r="N6" s="6">
        <f>HYPERLINK("http://www.eum.go.kr/web/ar/lu/luLandDet.jsp?pnu=3611011200110310000&amp;isNoScr=script&amp;mode=search", "토지이음")</f>
        <v/>
      </c>
      <c r="O6" s="3" t="inlineStr">
        <is>
          <t>세종스타</t>
        </is>
      </c>
      <c r="P6" s="3" t="n">
        <v>2</v>
      </c>
      <c r="Q6" s="3" t="n">
        <v>388.8</v>
      </c>
      <c r="R6" s="3" t="inlineStr">
        <is>
          <t>지정되지않음</t>
        </is>
      </c>
      <c r="S6" s="3" t="inlineStr">
        <is>
          <t>주거나지</t>
        </is>
      </c>
      <c r="T6" s="3" t="inlineStr">
        <is>
          <t>평지</t>
        </is>
      </c>
      <c r="U6" s="3" t="inlineStr">
        <is>
          <t>세로장방</t>
        </is>
      </c>
      <c r="V6" s="3" t="inlineStr">
        <is>
          <t>소로한면</t>
        </is>
      </c>
    </row>
    <row r="7">
      <c r="A7" s="3" t="inlineStr">
        <is>
          <t>세종특별자치시 고운동 1050</t>
        </is>
      </c>
      <c r="B7" s="3" t="inlineStr">
        <is>
          <t>제1종전용주거지역</t>
        </is>
      </c>
      <c r="C7" s="3" t="inlineStr">
        <is>
          <t>대</t>
        </is>
      </c>
      <c r="D7" s="3" t="inlineStr">
        <is>
          <t>대</t>
        </is>
      </c>
      <c r="E7" s="3" t="inlineStr">
        <is>
          <t>매매</t>
        </is>
      </c>
      <c r="F7" s="4" t="n">
        <v>50000</v>
      </c>
      <c r="G7" s="4" t="n">
        <v>347</v>
      </c>
      <c r="H7" s="4" t="n">
        <v>105</v>
      </c>
      <c r="I7" s="5" t="n">
        <v>476.2</v>
      </c>
      <c r="J7" s="4" t="n">
        <v>317.5</v>
      </c>
      <c r="K7" s="3" t="inlineStr">
        <is>
          <t>초급매, 학군, 중심상권 생활권 편리한 위치,어린이공원앞 택지</t>
        </is>
      </c>
      <c r="L7" s="6">
        <f>HYPERLINK("https://fin.land.naver.com/articles/2647929897", "매물Link")</f>
        <v/>
      </c>
      <c r="M7" s="6">
        <f>HYPERLINK("https://map.naver.com/p/search/세종특별자치시 고운동 1050", "지도Link")</f>
        <v/>
      </c>
      <c r="N7" s="6">
        <f>HYPERLINK("http://www.eum.go.kr/web/ar/lu/luLandDet.jsp?pnu=3611011200110500000&amp;isNoScr=script&amp;mode=search", "토지이음")</f>
        <v/>
      </c>
      <c r="O7" s="3" t="inlineStr">
        <is>
          <t>고운맘</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세종특별자치시 고운동 1050</t>
        </is>
      </c>
      <c r="B8" s="3" t="inlineStr">
        <is>
          <t>제1종전용주거지역</t>
        </is>
      </c>
      <c r="C8" s="3" t="inlineStr">
        <is>
          <t>대</t>
        </is>
      </c>
      <c r="D8" s="3" t="inlineStr">
        <is>
          <t>대</t>
        </is>
      </c>
      <c r="E8" s="3" t="inlineStr">
        <is>
          <t>매매</t>
        </is>
      </c>
      <c r="F8" s="4" t="n">
        <v>55000</v>
      </c>
      <c r="G8" s="4" t="n">
        <v>347</v>
      </c>
      <c r="H8" s="4" t="n">
        <v>105</v>
      </c>
      <c r="I8" s="5" t="n">
        <v>523.8</v>
      </c>
      <c r="J8" s="4" t="n">
        <v>317.5</v>
      </c>
      <c r="K8" s="3" t="inlineStr">
        <is>
          <t>가격조절가능 넓은공원이 있는 단독주택지 매매</t>
        </is>
      </c>
      <c r="L8" s="6">
        <f>HYPERLINK("https://fin.land.naver.com/articles/2645696203", "매물Link")</f>
        <v/>
      </c>
      <c r="M8" s="6">
        <f>HYPERLINK("https://map.naver.com/p/search/세종특별자치시 고운동 1050", "지도Link")</f>
        <v/>
      </c>
      <c r="N8" s="6">
        <f>HYPERLINK("http://www.eum.go.kr/web/ar/lu/luLandDet.jsp?pnu=3611011200110500000&amp;isNoScr=script&amp;mode=search", "토지이음")</f>
        <v/>
      </c>
      <c r="O8" s="3" t="inlineStr">
        <is>
          <t>세종시토지</t>
        </is>
      </c>
      <c r="P8" s="3" t="n">
        <v>1</v>
      </c>
      <c r="Q8" s="3" t="n">
        <v>347.5</v>
      </c>
      <c r="R8" s="3" t="inlineStr">
        <is>
          <t>지정되지않음</t>
        </is>
      </c>
      <c r="S8" s="3" t="inlineStr">
        <is>
          <t>주거나지</t>
        </is>
      </c>
      <c r="T8" s="3" t="inlineStr">
        <is>
          <t>평지</t>
        </is>
      </c>
      <c r="U8" s="3" t="inlineStr">
        <is>
          <t>세로장방</t>
        </is>
      </c>
      <c r="V8" s="3" t="inlineStr">
        <is>
          <t>소로한면</t>
        </is>
      </c>
    </row>
    <row r="9">
      <c r="A9" s="3" t="inlineStr">
        <is>
          <t>세종특별자치시 고운동 1051</t>
        </is>
      </c>
      <c r="B9" s="3" t="inlineStr">
        <is>
          <t>제1종전용주거지역</t>
        </is>
      </c>
      <c r="C9" s="3" t="inlineStr">
        <is>
          <t>대</t>
        </is>
      </c>
      <c r="D9" s="3" t="inlineStr">
        <is>
          <t>대</t>
        </is>
      </c>
      <c r="E9" s="3" t="inlineStr">
        <is>
          <t>매매</t>
        </is>
      </c>
      <c r="F9" s="4" t="n">
        <v>52000</v>
      </c>
      <c r="G9" s="4" t="n">
        <v>347</v>
      </c>
      <c r="H9" s="4" t="n">
        <v>105</v>
      </c>
      <c r="I9" s="5" t="n">
        <v>495.2</v>
      </c>
      <c r="J9" s="4" t="n">
        <v>317.5</v>
      </c>
      <c r="K9" s="3" t="inlineStr">
        <is>
          <t>급매 I 넓은 공원옆 I 생활권이용편리 I 조율가능</t>
        </is>
      </c>
      <c r="L9" s="6">
        <f>HYPERLINK("https://fin.land.naver.com/articles/2645966606", "매물Link")</f>
        <v/>
      </c>
      <c r="M9" s="6">
        <f>HYPERLINK("https://map.naver.com/p/search/세종특별자치시 고운동 1051", "지도Link")</f>
        <v/>
      </c>
      <c r="N9" s="6">
        <f>HYPERLINK("http://www.eum.go.kr/web/ar/lu/luLandDet.jsp?pnu=3611011200110510000&amp;isNoScr=script&amp;mode=search", "토지이음")</f>
        <v/>
      </c>
      <c r="O9" s="3" t="inlineStr">
        <is>
          <t>힐스테이트으뜸원</t>
        </is>
      </c>
      <c r="P9" s="3" t="n">
        <v>1</v>
      </c>
      <c r="Q9" s="3" t="n">
        <v>347.6</v>
      </c>
      <c r="R9" s="3" t="inlineStr">
        <is>
          <t>지정되지않음</t>
        </is>
      </c>
      <c r="S9" s="3" t="inlineStr">
        <is>
          <t>주거나지</t>
        </is>
      </c>
      <c r="T9" s="3" t="inlineStr">
        <is>
          <t>평지</t>
        </is>
      </c>
      <c r="U9" s="3" t="inlineStr">
        <is>
          <t>세로장방</t>
        </is>
      </c>
      <c r="V9" s="3" t="inlineStr">
        <is>
          <t>소로한면</t>
        </is>
      </c>
    </row>
    <row r="10">
      <c r="A10" s="3" t="inlineStr">
        <is>
          <t>세종특별자치시 고운동 1053</t>
        </is>
      </c>
      <c r="B10" s="3" t="inlineStr">
        <is>
          <t>제1종전용주거지역</t>
        </is>
      </c>
      <c r="C10" s="3" t="inlineStr">
        <is>
          <t>대</t>
        </is>
      </c>
      <c r="D10" s="3" t="inlineStr">
        <is>
          <t>대</t>
        </is>
      </c>
      <c r="E10" s="3" t="inlineStr">
        <is>
          <t>매매</t>
        </is>
      </c>
      <c r="F10" s="4" t="n">
        <v>57000</v>
      </c>
      <c r="G10" s="4" t="n">
        <v>347</v>
      </c>
      <c r="H10" s="4" t="n">
        <v>105</v>
      </c>
      <c r="I10" s="5" t="n">
        <v>542.9</v>
      </c>
      <c r="J10" s="4" t="n">
        <v>333.2</v>
      </c>
      <c r="K10" s="3" t="inlineStr">
        <is>
          <t>고운동단독택지로 입지최상 학군 상권 복컴 생활하기편리</t>
        </is>
      </c>
      <c r="L10" s="6">
        <f>HYPERLINK("https://fin.land.naver.com/articles/2644723033", "매물Link")</f>
        <v/>
      </c>
      <c r="M10" s="6">
        <f>HYPERLINK("https://map.naver.com/p/search/세종특별자치시 고운동 1053", "지도Link")</f>
        <v/>
      </c>
      <c r="N10" s="6">
        <f>HYPERLINK("http://www.eum.go.kr/web/ar/lu/luLandDet.jsp?pnu=3611011200110530000&amp;isNoScr=script&amp;mode=search", "토지이음")</f>
        <v/>
      </c>
      <c r="O10" s="3" t="inlineStr">
        <is>
          <t>고운동리치세종</t>
        </is>
      </c>
      <c r="P10" s="3" t="n">
        <v>1</v>
      </c>
      <c r="Q10" s="3" t="n">
        <v>347.5</v>
      </c>
      <c r="R10" s="3" t="inlineStr">
        <is>
          <t>지정되지않음</t>
        </is>
      </c>
      <c r="S10" s="3" t="inlineStr">
        <is>
          <t>주거나지</t>
        </is>
      </c>
      <c r="T10" s="3" t="inlineStr">
        <is>
          <t>평지</t>
        </is>
      </c>
      <c r="U10" s="3" t="inlineStr">
        <is>
          <t>세로장방</t>
        </is>
      </c>
      <c r="V10" s="3" t="inlineStr">
        <is>
          <t>소로각지</t>
        </is>
      </c>
    </row>
    <row r="11">
      <c r="A11" s="3" t="inlineStr">
        <is>
          <t>세종특별자치시 고운동 1058</t>
        </is>
      </c>
      <c r="B11" s="3" t="inlineStr">
        <is>
          <t>제1종전용주거지역</t>
        </is>
      </c>
      <c r="C11" s="3" t="inlineStr">
        <is>
          <t>대</t>
        </is>
      </c>
      <c r="D11" s="3" t="inlineStr">
        <is>
          <t>대</t>
        </is>
      </c>
      <c r="E11" s="3" t="inlineStr">
        <is>
          <t>매매</t>
        </is>
      </c>
      <c r="F11" s="4" t="n">
        <v>65000</v>
      </c>
      <c r="G11" s="4" t="n">
        <v>357</v>
      </c>
      <c r="H11" s="4" t="n">
        <v>108</v>
      </c>
      <c r="I11" s="5" t="n">
        <v>601.9</v>
      </c>
      <c r="J11" s="4" t="n">
        <v>342.8</v>
      </c>
      <c r="K11" s="3" t="inlineStr">
        <is>
          <t>도로,인도,버스정류장 인접, 공영주차장옆</t>
        </is>
      </c>
      <c r="L11" s="6">
        <f>HYPERLINK("https://fin.land.naver.com/articles/2648272133", "매물Link")</f>
        <v/>
      </c>
      <c r="M11" s="6">
        <f>HYPERLINK("https://map.naver.com/p/search/세종특별자치시 고운동 1058", "지도Link")</f>
        <v/>
      </c>
      <c r="N11" s="6">
        <f>HYPERLINK("http://www.eum.go.kr/web/ar/lu/luLandDet.jsp?pnu=3611011200110580000&amp;isNoScr=script&amp;mode=search", "토지이음")</f>
        <v/>
      </c>
      <c r="O11" s="3" t="inlineStr">
        <is>
          <t>세종제일1</t>
        </is>
      </c>
      <c r="P11" s="3" t="n">
        <v>2</v>
      </c>
      <c r="Q11" s="3" t="n">
        <v>357.6</v>
      </c>
      <c r="R11" s="3" t="inlineStr">
        <is>
          <t>지정되지않음</t>
        </is>
      </c>
      <c r="S11" s="3" t="inlineStr">
        <is>
          <t>주거나지</t>
        </is>
      </c>
      <c r="T11" s="3" t="inlineStr">
        <is>
          <t>평지</t>
        </is>
      </c>
      <c r="U11" s="3" t="inlineStr">
        <is>
          <t>세로장방</t>
        </is>
      </c>
      <c r="V11" s="3" t="inlineStr">
        <is>
          <t>중로한면</t>
        </is>
      </c>
    </row>
    <row r="12">
      <c r="A12" s="3" t="inlineStr">
        <is>
          <t>세종특별자치시 고운동 1067</t>
        </is>
      </c>
      <c r="B12" s="3" t="inlineStr">
        <is>
          <t>제1종전용주거지역</t>
        </is>
      </c>
      <c r="C12" s="3" t="inlineStr">
        <is>
          <t>대</t>
        </is>
      </c>
      <c r="D12" s="3" t="inlineStr">
        <is>
          <t>대</t>
        </is>
      </c>
      <c r="E12" s="3" t="inlineStr">
        <is>
          <t>매매</t>
        </is>
      </c>
      <c r="F12" s="4" t="n">
        <v>60000</v>
      </c>
      <c r="G12" s="4" t="n">
        <v>333</v>
      </c>
      <c r="H12" s="4" t="n">
        <v>101</v>
      </c>
      <c r="I12" s="5" t="n">
        <v>594.1</v>
      </c>
      <c r="J12" s="4" t="n">
        <v>346.4</v>
      </c>
      <c r="K12" s="3" t="inlineStr">
        <is>
          <t>3면코너각지, 공원조망, 조율가능 가락초 두루고 바로옆</t>
        </is>
      </c>
      <c r="L12" s="6">
        <f>HYPERLINK("https://fin.land.naver.com/articles/2645720982", "매물Link")</f>
        <v/>
      </c>
      <c r="M12" s="6">
        <f>HYPERLINK("https://map.naver.com/p/search/세종특별자치시 고운동 1067", "지도Link")</f>
        <v/>
      </c>
      <c r="N12" s="6">
        <f>HYPERLINK("http://www.eum.go.kr/web/ar/lu/luLandDet.jsp?pnu=3611011200110670000&amp;isNoScr=script&amp;mode=search", "토지이음")</f>
        <v/>
      </c>
      <c r="O12" s="3" t="inlineStr">
        <is>
          <t>세종스타</t>
        </is>
      </c>
      <c r="P12" s="3" t="n">
        <v>1</v>
      </c>
      <c r="Q12" s="3" t="n">
        <v>333.6</v>
      </c>
      <c r="R12" s="3" t="inlineStr">
        <is>
          <t>지정되지않음</t>
        </is>
      </c>
      <c r="S12" s="3" t="inlineStr">
        <is>
          <t>주거나지</t>
        </is>
      </c>
      <c r="T12" s="3" t="inlineStr">
        <is>
          <t>평지</t>
        </is>
      </c>
      <c r="U12" s="3" t="inlineStr">
        <is>
          <t>정방형</t>
        </is>
      </c>
      <c r="V12" s="3" t="inlineStr">
        <is>
          <t>중로각지</t>
        </is>
      </c>
    </row>
    <row r="13">
      <c r="A13" s="3" t="inlineStr">
        <is>
          <t>세종특별자치시 고운동 1069</t>
        </is>
      </c>
      <c r="B13" s="3" t="inlineStr">
        <is>
          <t>제1종전용주거지역</t>
        </is>
      </c>
      <c r="C13" s="3" t="inlineStr">
        <is>
          <t>대</t>
        </is>
      </c>
      <c r="D13" s="3" t="inlineStr">
        <is>
          <t>대</t>
        </is>
      </c>
      <c r="E13" s="3" t="inlineStr">
        <is>
          <t>매매</t>
        </is>
      </c>
      <c r="F13" s="4" t="n">
        <v>51500</v>
      </c>
      <c r="G13" s="4" t="n">
        <v>341</v>
      </c>
      <c r="H13" s="4" t="n">
        <v>103</v>
      </c>
      <c r="I13" s="5" t="n">
        <v>500</v>
      </c>
      <c r="J13" s="4" t="n">
        <v>330.5</v>
      </c>
      <c r="K13" s="3" t="inlineStr">
        <is>
          <t>공원뷰로 학교 상권 이용편리 저렴한매매</t>
        </is>
      </c>
      <c r="L13" s="6">
        <f>HYPERLINK("https://fin.land.naver.com/articles/2650101946", "매물Link")</f>
        <v/>
      </c>
      <c r="M13" s="6">
        <f>HYPERLINK("https://map.naver.com/p/search/세종특별자치시 고운동 1069", "지도Link")</f>
        <v/>
      </c>
      <c r="N13" s="6">
        <f>HYPERLINK("http://www.eum.go.kr/web/ar/lu/luLandDet.jsp?pnu=3611011200110690000&amp;isNoScr=script&amp;mode=search", "토지이음")</f>
        <v/>
      </c>
      <c r="O13" s="3" t="inlineStr">
        <is>
          <t>새롬스마트</t>
        </is>
      </c>
      <c r="P13" s="3" t="n">
        <v>2</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세종특별자치시 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입지좋은단독택지학군상권이용편리공원바로옆위치</t>
        </is>
      </c>
      <c r="L14" s="6">
        <f>HYPERLINK("https://fin.land.naver.com/articles/2645684375", "매물Link")</f>
        <v/>
      </c>
      <c r="M14" s="6">
        <f>HYPERLINK("https://map.naver.com/p/search/세종특별자치시 고운동 1070", "지도Link")</f>
        <v/>
      </c>
      <c r="N14" s="6">
        <f>HYPERLINK("http://www.eum.go.kr/web/ar/lu/luLandDet.jsp?pnu=3611011200110700000&amp;isNoScr=script&amp;mode=search", "토지이음")</f>
        <v/>
      </c>
      <c r="O14" s="3" t="inlineStr">
        <is>
          <t>세종시토지</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세종특별자치시 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공원과 주차장 옆으로 입지 좋은 고운동 단독주택지</t>
        </is>
      </c>
      <c r="L15" s="6">
        <f>HYPERLINK("https://fin.land.naver.com/articles/2645253248", "매물Link")</f>
        <v/>
      </c>
      <c r="M15" s="6">
        <f>HYPERLINK("https://map.naver.com/p/search/세종특별자치시 고운동 1070", "지도Link")</f>
        <v/>
      </c>
      <c r="N15" s="6">
        <f>HYPERLINK("http://www.eum.go.kr/web/ar/lu/luLandDet.jsp?pnu=3611011200110700000&amp;isNoScr=script&amp;mode=search", "토지이음")</f>
        <v/>
      </c>
      <c r="O15" s="3" t="inlineStr">
        <is>
          <t>세종무지개</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세종특별자치시 고운동 1070</t>
        </is>
      </c>
      <c r="B16" s="3" t="inlineStr">
        <is>
          <t>제1종전용주거지역</t>
        </is>
      </c>
      <c r="C16" s="3" t="inlineStr">
        <is>
          <t>대</t>
        </is>
      </c>
      <c r="D16" s="3" t="inlineStr">
        <is>
          <t>대</t>
        </is>
      </c>
      <c r="E16" s="3" t="inlineStr">
        <is>
          <t>매매</t>
        </is>
      </c>
      <c r="F16" s="4" t="n">
        <v>69000</v>
      </c>
      <c r="G16" s="4" t="n">
        <v>341</v>
      </c>
      <c r="H16" s="4" t="n">
        <v>103</v>
      </c>
      <c r="I16" s="5" t="n">
        <v>669.9</v>
      </c>
      <c r="J16" s="4" t="n">
        <v>330.5</v>
      </c>
      <c r="K16" s="3" t="inlineStr">
        <is>
          <t>고운동 입지 좋은 단독주택 매매, 공원 근처</t>
        </is>
      </c>
      <c r="L16" s="6">
        <f>HYPERLINK("https://fin.land.naver.com/articles/2645677232", "매물Link")</f>
        <v/>
      </c>
      <c r="M16" s="6">
        <f>HYPERLINK("https://map.naver.com/p/search/세종특별자치시 고운동 1070", "지도Link")</f>
        <v/>
      </c>
      <c r="N16" s="6">
        <f>HYPERLINK("http://www.eum.go.kr/web/ar/lu/luLandDet.jsp?pnu=3611011200110700000&amp;isNoScr=script&amp;mode=search", "토지이음")</f>
        <v/>
      </c>
      <c r="O16" s="3" t="inlineStr">
        <is>
          <t>명진</t>
        </is>
      </c>
      <c r="P16" s="3" t="n">
        <v>1</v>
      </c>
      <c r="Q16" s="3" t="n">
        <v>341</v>
      </c>
      <c r="R16" s="3" t="inlineStr">
        <is>
          <t>지정되지않음</t>
        </is>
      </c>
      <c r="S16" s="3" t="inlineStr">
        <is>
          <t>주거나지</t>
        </is>
      </c>
      <c r="T16" s="3" t="inlineStr">
        <is>
          <t>평지</t>
        </is>
      </c>
      <c r="U16" s="3" t="inlineStr">
        <is>
          <t>세로장방</t>
        </is>
      </c>
      <c r="V16" s="3" t="inlineStr">
        <is>
          <t>중로한면</t>
        </is>
      </c>
    </row>
    <row r="17">
      <c r="A17" s="3" t="inlineStr">
        <is>
          <t>세종특별자치시 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사거리 코너 각지 위치, 입지 좋은 토지매매</t>
        </is>
      </c>
      <c r="L17" s="6">
        <f>HYPERLINK("https://fin.land.naver.com/articles/2645384320", "매물Link")</f>
        <v/>
      </c>
      <c r="M17" s="6">
        <f>HYPERLINK("https://map.naver.com/p/search/세종특별자치시 고운동 1072", "지도Link")</f>
        <v/>
      </c>
      <c r="N17" s="6">
        <f>HYPERLINK("http://www.eum.go.kr/web/ar/lu/luLandDet.jsp?pnu=3611011200110720000&amp;isNoScr=script&amp;mode=search", "토지이음")</f>
        <v/>
      </c>
      <c r="O17" s="3" t="inlineStr">
        <is>
          <t>세종무지개</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세종특별자치시 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고운동 사거리 코너 각지 위치한 토지매매</t>
        </is>
      </c>
      <c r="L18" s="6">
        <f>HYPERLINK("https://fin.land.naver.com/articles/2645493520", "매물Link")</f>
        <v/>
      </c>
      <c r="M18" s="6">
        <f>HYPERLINK("https://map.naver.com/p/search/세종특별자치시 고운동 1072", "지도Link")</f>
        <v/>
      </c>
      <c r="N18" s="6">
        <f>HYPERLINK("http://www.eum.go.kr/web/ar/lu/luLandDet.jsp?pnu=3611011200110720000&amp;isNoScr=script&amp;mode=search", "토지이음")</f>
        <v/>
      </c>
      <c r="O18" s="3" t="inlineStr">
        <is>
          <t>명진</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세종특별자치시 고운동 1072</t>
        </is>
      </c>
      <c r="B19" s="3" t="inlineStr">
        <is>
          <t>제1종전용주거지역</t>
        </is>
      </c>
      <c r="C19" s="3" t="inlineStr">
        <is>
          <t>대</t>
        </is>
      </c>
      <c r="D19" s="3" t="inlineStr">
        <is>
          <t>대</t>
        </is>
      </c>
      <c r="E19" s="3" t="inlineStr">
        <is>
          <t>매매</t>
        </is>
      </c>
      <c r="F19" s="4" t="n">
        <v>65000</v>
      </c>
      <c r="G19" s="4" t="n">
        <v>336</v>
      </c>
      <c r="H19" s="4" t="n">
        <v>102</v>
      </c>
      <c r="I19" s="5" t="n">
        <v>637.3</v>
      </c>
      <c r="J19" s="4" t="n">
        <v>346.4</v>
      </c>
      <c r="K19" s="3" t="inlineStr">
        <is>
          <t>급매위치좋은코너자리고운동학교 상권 이용편리</t>
        </is>
      </c>
      <c r="L19" s="6">
        <f>HYPERLINK("https://fin.land.naver.com/articles/2645686722", "매물Link")</f>
        <v/>
      </c>
      <c r="M19" s="6">
        <f>HYPERLINK("https://map.naver.com/p/search/세종특별자치시 고운동 1072", "지도Link")</f>
        <v/>
      </c>
      <c r="N19" s="6">
        <f>HYPERLINK("http://www.eum.go.kr/web/ar/lu/luLandDet.jsp?pnu=3611011200110720000&amp;isNoScr=script&amp;mode=search", "토지이음")</f>
        <v/>
      </c>
      <c r="O19" s="3" t="inlineStr">
        <is>
          <t>세종시토지</t>
        </is>
      </c>
      <c r="P19" s="3" t="n">
        <v>1</v>
      </c>
      <c r="Q19" s="3" t="n">
        <v>336.9</v>
      </c>
      <c r="R19" s="3" t="inlineStr">
        <is>
          <t>지정되지않음</t>
        </is>
      </c>
      <c r="S19" s="3" t="inlineStr">
        <is>
          <t>주거나지</t>
        </is>
      </c>
      <c r="T19" s="3" t="inlineStr">
        <is>
          <t>평지</t>
        </is>
      </c>
      <c r="U19" s="3" t="inlineStr">
        <is>
          <t>세로장방</t>
        </is>
      </c>
      <c r="V19" s="3" t="inlineStr">
        <is>
          <t>중로각지</t>
        </is>
      </c>
    </row>
    <row r="20">
      <c r="A20" s="3" t="inlineStr">
        <is>
          <t>세종특별자치시 고운동 1090</t>
        </is>
      </c>
      <c r="B20" s="3" t="inlineStr">
        <is>
          <t>제1종전용주거지역</t>
        </is>
      </c>
      <c r="C20" s="3" t="inlineStr">
        <is>
          <t>대</t>
        </is>
      </c>
      <c r="D20" s="3" t="inlineStr">
        <is>
          <t>대</t>
        </is>
      </c>
      <c r="E20" s="3" t="inlineStr">
        <is>
          <t>매매</t>
        </is>
      </c>
      <c r="F20" s="4" t="n">
        <v>43000</v>
      </c>
      <c r="G20" s="4" t="n">
        <v>331</v>
      </c>
      <c r="H20" s="4" t="n">
        <v>100</v>
      </c>
      <c r="I20" s="5" t="n">
        <v>430</v>
      </c>
      <c r="J20" s="4" t="n">
        <v>320.9</v>
      </c>
      <c r="K20" s="3" t="inlineStr">
        <is>
          <t>급매 3면코너 위치최상 보행로접함 경사지</t>
        </is>
      </c>
      <c r="L20" s="6">
        <f>HYPERLINK("https://fin.land.naver.com/articles/2644482765", "매물Link")</f>
        <v/>
      </c>
      <c r="M20" s="6">
        <f>HYPERLINK("https://map.naver.com/p/search/세종특별자치시 고운동 1090", "지도Link")</f>
        <v/>
      </c>
      <c r="N20" s="6">
        <f>HYPERLINK("http://www.eum.go.kr/web/ar/lu/luLandDet.jsp?pnu=3611011200110900000&amp;isNoScr=script&amp;mode=search", "토지이음")</f>
        <v/>
      </c>
      <c r="O20" s="3" t="inlineStr">
        <is>
          <t>세종스타</t>
        </is>
      </c>
      <c r="P20" s="3" t="n">
        <v>1</v>
      </c>
      <c r="Q20" s="3" t="n">
        <v>331.5</v>
      </c>
      <c r="R20" s="3" t="inlineStr">
        <is>
          <t>지정되지않음</t>
        </is>
      </c>
      <c r="S20" s="3" t="inlineStr">
        <is>
          <t>주거나지</t>
        </is>
      </c>
      <c r="T20" s="3" t="inlineStr">
        <is>
          <t>평지</t>
        </is>
      </c>
      <c r="U20" s="3" t="inlineStr">
        <is>
          <t>정방형</t>
        </is>
      </c>
      <c r="V20" s="3" t="inlineStr">
        <is>
          <t>소로각지</t>
        </is>
      </c>
    </row>
    <row r="21">
      <c r="A21" s="3" t="inlineStr">
        <is>
          <t>세종특별자치시 고운동 1093</t>
        </is>
      </c>
      <c r="B21" s="3" t="inlineStr">
        <is>
          <t>제1종전용주거지역</t>
        </is>
      </c>
      <c r="C21" s="3" t="inlineStr">
        <is>
          <t>대</t>
        </is>
      </c>
      <c r="D21" s="3" t="inlineStr">
        <is>
          <t>대</t>
        </is>
      </c>
      <c r="E21" s="3" t="inlineStr">
        <is>
          <t>매매</t>
        </is>
      </c>
      <c r="F21" s="4" t="n">
        <v>43500</v>
      </c>
      <c r="G21" s="4" t="n">
        <v>338</v>
      </c>
      <c r="H21" s="4" t="n">
        <v>102</v>
      </c>
      <c r="I21" s="5" t="n">
        <v>426.5</v>
      </c>
      <c r="J21" s="4" t="n">
        <v>346.4</v>
      </c>
      <c r="K21" s="3" t="inlineStr">
        <is>
          <t>급매, 조정가, 공원앞으로 상권 학교 이용편리</t>
        </is>
      </c>
      <c r="L21" s="6">
        <f>HYPERLINK("https://fin.land.naver.com/articles/2647450751", "매물Link")</f>
        <v/>
      </c>
      <c r="M21" s="6">
        <f>HYPERLINK("https://map.naver.com/p/search/세종특별자치시 고운동 1093", "지도Link")</f>
        <v/>
      </c>
      <c r="N21" s="6">
        <f>HYPERLINK("http://www.eum.go.kr/web/ar/lu/luLandDet.jsp?pnu=3611011200110930000&amp;isNoScr=script&amp;mode=search", "토지이음")</f>
        <v/>
      </c>
      <c r="O21" s="3" t="inlineStr">
        <is>
          <t>고운동리치세종</t>
        </is>
      </c>
      <c r="P21" s="3" t="n">
        <v>1</v>
      </c>
      <c r="Q21" s="3" t="n">
        <v>338.9</v>
      </c>
      <c r="R21" s="3" t="inlineStr">
        <is>
          <t>지정되지않음</t>
        </is>
      </c>
      <c r="S21" s="3" t="inlineStr">
        <is>
          <t>주거나지</t>
        </is>
      </c>
      <c r="T21" s="3" t="inlineStr">
        <is>
          <t>평지</t>
        </is>
      </c>
      <c r="U21" s="3" t="inlineStr">
        <is>
          <t>정방형</t>
        </is>
      </c>
      <c r="V21" s="3" t="inlineStr">
        <is>
          <t>중로각지</t>
        </is>
      </c>
    </row>
    <row r="22">
      <c r="A22" s="3" t="inlineStr">
        <is>
          <t>세종특별자치시 고운동 1105</t>
        </is>
      </c>
      <c r="B22" s="3" t="inlineStr">
        <is>
          <t>제1종전용주거지역</t>
        </is>
      </c>
      <c r="C22" s="3" t="inlineStr">
        <is>
          <t>대</t>
        </is>
      </c>
      <c r="D22" s="3" t="inlineStr">
        <is>
          <t>대</t>
        </is>
      </c>
      <c r="E22" s="3" t="inlineStr">
        <is>
          <t>매매</t>
        </is>
      </c>
      <c r="F22" s="4" t="n">
        <v>60000</v>
      </c>
      <c r="G22" s="4" t="n">
        <v>364</v>
      </c>
      <c r="H22" s="4" t="n">
        <v>110</v>
      </c>
      <c r="I22" s="5" t="n">
        <v>545.5</v>
      </c>
      <c r="J22" s="4" t="n">
        <v>346.4</v>
      </c>
      <c r="K22" s="3" t="inlineStr">
        <is>
          <t>코너자리로 입지최고 고운동학교 상권이용편리 가격조정가능</t>
        </is>
      </c>
      <c r="L22" s="6">
        <f>HYPERLINK("https://fin.land.naver.com/articles/2646129450", "매물Link")</f>
        <v/>
      </c>
      <c r="M22" s="6">
        <f>HYPERLINK("https://map.naver.com/p/search/세종특별자치시 고운동 1105", "지도Link")</f>
        <v/>
      </c>
      <c r="N22" s="6">
        <f>HYPERLINK("http://www.eum.go.kr/web/ar/lu/luLandDet.jsp?pnu=3611011200111050000&amp;isNoScr=script&amp;mode=search", "토지이음")</f>
        <v/>
      </c>
      <c r="O22" s="3" t="inlineStr">
        <is>
          <t>고운동리치세종</t>
        </is>
      </c>
      <c r="P22" s="3" t="n">
        <v>2</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세종특별자치시 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학교 인근 입지 좋은 토지, 사거리 코너</t>
        </is>
      </c>
      <c r="L23" s="6">
        <f>HYPERLINK("https://fin.land.naver.com/articles/2645622582", "매물Link")</f>
        <v/>
      </c>
      <c r="M23" s="6">
        <f>HYPERLINK("https://map.naver.com/p/search/세종특별자치시 고운동 1105", "지도Link")</f>
        <v/>
      </c>
      <c r="N23" s="6">
        <f>HYPERLINK("http://www.eum.go.kr/web/ar/lu/luLandDet.jsp?pnu=3611011200111050000&amp;isNoScr=script&amp;mode=search", "토지이음")</f>
        <v/>
      </c>
      <c r="O23" s="3" t="inlineStr">
        <is>
          <t>명진</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세종특별자치시 고운동 1105</t>
        </is>
      </c>
      <c r="B24" s="3" t="inlineStr">
        <is>
          <t>제1종전용주거지역</t>
        </is>
      </c>
      <c r="C24" s="3" t="inlineStr">
        <is>
          <t>대</t>
        </is>
      </c>
      <c r="D24" s="3" t="inlineStr">
        <is>
          <t>대</t>
        </is>
      </c>
      <c r="E24" s="3" t="inlineStr">
        <is>
          <t>매매</t>
        </is>
      </c>
      <c r="F24" s="4" t="n">
        <v>60000</v>
      </c>
      <c r="G24" s="4" t="n">
        <v>360</v>
      </c>
      <c r="H24" s="4" t="n">
        <v>109</v>
      </c>
      <c r="I24" s="5" t="n">
        <v>550.5</v>
      </c>
      <c r="J24" s="4" t="n">
        <v>346.4</v>
      </c>
      <c r="K24" s="3" t="inlineStr">
        <is>
          <t>사거리 코너, 입지 좋은 토지, 3면 각지, 전원주택지 토지매매</t>
        </is>
      </c>
      <c r="L24" s="6">
        <f>HYPERLINK("https://fin.land.naver.com/articles/2645252887", "매물Link")</f>
        <v/>
      </c>
      <c r="M24" s="6">
        <f>HYPERLINK("https://map.naver.com/p/search/세종특별자치시 고운동 1105", "지도Link")</f>
        <v/>
      </c>
      <c r="N24" s="6">
        <f>HYPERLINK("http://www.eum.go.kr/web/ar/lu/luLandDet.jsp?pnu=3611011200111050000&amp;isNoScr=script&amp;mode=search", "토지이음")</f>
        <v/>
      </c>
      <c r="O24" s="3" t="inlineStr">
        <is>
          <t>세종무지개</t>
        </is>
      </c>
      <c r="P24" s="3" t="n">
        <v>1</v>
      </c>
      <c r="Q24" s="3" t="n">
        <v>360.9</v>
      </c>
      <c r="R24" s="3" t="inlineStr">
        <is>
          <t>지정되지않음</t>
        </is>
      </c>
      <c r="S24" s="3" t="inlineStr">
        <is>
          <t>주거나지</t>
        </is>
      </c>
      <c r="T24" s="3" t="inlineStr">
        <is>
          <t>평지</t>
        </is>
      </c>
      <c r="U24" s="3" t="inlineStr">
        <is>
          <t>정방형</t>
        </is>
      </c>
      <c r="V24" s="3" t="inlineStr">
        <is>
          <t>중로각지</t>
        </is>
      </c>
    </row>
    <row r="25">
      <c r="A25" s="3" t="inlineStr">
        <is>
          <t>세종특별자치시 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HYPERLINK("https://map.naver.com/p/search/세종특별자치시 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세종특별자치시 고운동 1109</t>
        </is>
      </c>
      <c r="B26" s="3" t="inlineStr">
        <is>
          <t>제1종전용주거지역</t>
        </is>
      </c>
      <c r="C26" s="3" t="inlineStr">
        <is>
          <t>대</t>
        </is>
      </c>
      <c r="D26" s="3" t="inlineStr">
        <is>
          <t>대</t>
        </is>
      </c>
      <c r="E26" s="3" t="inlineStr">
        <is>
          <t>매매</t>
        </is>
      </c>
      <c r="F26" s="4" t="n">
        <v>50000</v>
      </c>
      <c r="G26" s="4" t="n">
        <v>330</v>
      </c>
      <c r="H26" s="4" t="n">
        <v>100</v>
      </c>
      <c r="I26" s="5" t="n">
        <v>500</v>
      </c>
      <c r="J26" s="4" t="n">
        <v>346.4</v>
      </c>
      <c r="K26" s="3" t="inlineStr">
        <is>
          <t>nan</t>
        </is>
      </c>
      <c r="L26" s="6">
        <f>HYPERLINK("https://fin.land.naver.com/articles/2649599583", "매물Link")</f>
        <v/>
      </c>
      <c r="M26" s="6">
        <f>HYPERLINK("https://map.naver.com/p/search/세종특별자치시 고운동 1109", "지도Link")</f>
        <v/>
      </c>
      <c r="N26" s="6">
        <f>HYPERLINK("http://www.eum.go.kr/web/ar/lu/luLandDet.jsp?pnu=3611011200111090000&amp;isNoScr=script&amp;mode=search", "토지이음")</f>
        <v/>
      </c>
      <c r="O26" s="3" t="inlineStr">
        <is>
          <t>성훈</t>
        </is>
      </c>
      <c r="P26" s="3" t="n">
        <v>1</v>
      </c>
      <c r="Q26" s="3" t="n">
        <v>330</v>
      </c>
      <c r="R26" s="3" t="inlineStr">
        <is>
          <t>지정되지않음</t>
        </is>
      </c>
      <c r="S26" s="3" t="inlineStr">
        <is>
          <t>주거나지</t>
        </is>
      </c>
      <c r="T26" s="3" t="inlineStr">
        <is>
          <t>평지</t>
        </is>
      </c>
      <c r="U26" s="3" t="inlineStr">
        <is>
          <t>세로장방</t>
        </is>
      </c>
      <c r="V26" s="3" t="inlineStr">
        <is>
          <t>중로각지</t>
        </is>
      </c>
    </row>
    <row r="27">
      <c r="A27" s="3" t="inlineStr">
        <is>
          <t>세종특별자치시 고운동 1119</t>
        </is>
      </c>
      <c r="B27" s="3" t="inlineStr">
        <is>
          <t>제1종전용주거지역</t>
        </is>
      </c>
      <c r="C27" s="3" t="inlineStr">
        <is>
          <t>대</t>
        </is>
      </c>
      <c r="D27" s="3" t="inlineStr">
        <is>
          <t>대</t>
        </is>
      </c>
      <c r="E27" s="3" t="inlineStr">
        <is>
          <t>매매</t>
        </is>
      </c>
      <c r="F27" s="4" t="n">
        <v>60000</v>
      </c>
      <c r="G27" s="4" t="n">
        <v>351</v>
      </c>
      <c r="H27" s="4" t="n">
        <v>106</v>
      </c>
      <c r="I27" s="5" t="n">
        <v>566</v>
      </c>
      <c r="J27" s="4" t="n">
        <v>279.2</v>
      </c>
      <c r="K27" s="3" t="inlineStr">
        <is>
          <t>nan</t>
        </is>
      </c>
      <c r="L27" s="6">
        <f>HYPERLINK("https://fin.land.naver.com/articles/2648716272", "매물Link")</f>
        <v/>
      </c>
      <c r="M27" s="6">
        <f>HYPERLINK("https://map.naver.com/p/search/세종특별자치시 고운동 1119", "지도Link")</f>
        <v/>
      </c>
      <c r="N27" s="6">
        <f>HYPERLINK("http://www.eum.go.kr/web/ar/lu/luLandDet.jsp?pnu=3611011200111190000&amp;isNoScr=script&amp;mode=search", "토지이음")</f>
        <v/>
      </c>
      <c r="O27" s="3" t="inlineStr">
        <is>
          <t>세종스타</t>
        </is>
      </c>
      <c r="P27" s="3" t="n">
        <v>1</v>
      </c>
      <c r="Q27" s="3" t="n">
        <v>351</v>
      </c>
      <c r="R27" s="3" t="inlineStr">
        <is>
          <t>지정되지않음</t>
        </is>
      </c>
      <c r="S27" s="3" t="inlineStr">
        <is>
          <t>주거나지</t>
        </is>
      </c>
      <c r="T27" s="3" t="inlineStr">
        <is>
          <t>평지</t>
        </is>
      </c>
      <c r="U27" s="3" t="inlineStr">
        <is>
          <t>정방형</t>
        </is>
      </c>
      <c r="V27" s="3" t="inlineStr">
        <is>
          <t>세로한면(가)</t>
        </is>
      </c>
    </row>
    <row r="28">
      <c r="A28" s="3" t="inlineStr">
        <is>
          <t>세종특별자치시 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전용 109.6P, 두루고등학교앞, 단독주택지</t>
        </is>
      </c>
      <c r="L28" s="6">
        <f>HYPERLINK("https://fin.land.naver.com/articles/2648900135", "매물Link")</f>
        <v/>
      </c>
      <c r="M28" s="6">
        <f>HYPERLINK("https://map.naver.com/p/search/세종특별자치시 고운동 1138", "지도Link")</f>
        <v/>
      </c>
      <c r="N28" s="6">
        <f>HYPERLINK("http://www.eum.go.kr/web/ar/lu/luLandDet.jsp?pnu=3611011200111380000&amp;isNoScr=script&amp;mode=search", "토지이음")</f>
        <v/>
      </c>
      <c r="O28" s="3" t="inlineStr">
        <is>
          <t>명진</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세종특별자치시 고운동 1138</t>
        </is>
      </c>
      <c r="B29" s="3" t="inlineStr">
        <is>
          <t>제1종전용주거지역</t>
        </is>
      </c>
      <c r="C29" s="3" t="inlineStr">
        <is>
          <t>대</t>
        </is>
      </c>
      <c r="D29" s="3" t="inlineStr">
        <is>
          <t>대</t>
        </is>
      </c>
      <c r="E29" s="3" t="inlineStr">
        <is>
          <t>매매</t>
        </is>
      </c>
      <c r="F29" s="4" t="n">
        <v>60000</v>
      </c>
      <c r="G29" s="4" t="n">
        <v>361</v>
      </c>
      <c r="H29" s="4" t="n">
        <v>109</v>
      </c>
      <c r="I29" s="5" t="n">
        <v>550.5</v>
      </c>
      <c r="J29" s="4" t="n">
        <v>308</v>
      </c>
      <c r="K29" s="3" t="inlineStr">
        <is>
          <t>109.6p, 유.초등학교인근, 고등학교 인근</t>
        </is>
      </c>
      <c r="L29" s="6">
        <f>HYPERLINK("https://fin.land.naver.com/articles/2648840606", "매물Link")</f>
        <v/>
      </c>
      <c r="M29" s="6">
        <f>HYPERLINK("https://map.naver.com/p/search/세종특별자치시 고운동 1138", "지도Link")</f>
        <v/>
      </c>
      <c r="N29" s="6">
        <f>HYPERLINK("http://www.eum.go.kr/web/ar/lu/luLandDet.jsp?pnu=3611011200111380000&amp;isNoScr=script&amp;mode=search", "토지이음")</f>
        <v/>
      </c>
      <c r="O29" s="3" t="inlineStr">
        <is>
          <t>세종무지개</t>
        </is>
      </c>
      <c r="P29" s="3" t="n">
        <v>1</v>
      </c>
      <c r="Q29" s="3" t="n">
        <v>361.6</v>
      </c>
      <c r="R29" s="3" t="inlineStr">
        <is>
          <t>지정되지않음</t>
        </is>
      </c>
      <c r="S29" s="3" t="inlineStr">
        <is>
          <t>주거나지</t>
        </is>
      </c>
      <c r="T29" s="3" t="inlineStr">
        <is>
          <t>평지</t>
        </is>
      </c>
      <c r="U29" s="3" t="inlineStr">
        <is>
          <t>정방형</t>
        </is>
      </c>
      <c r="V29" s="3" t="inlineStr">
        <is>
          <t>소로한면</t>
        </is>
      </c>
    </row>
    <row r="30">
      <c r="A30" s="3" t="inlineStr">
        <is>
          <t>세종특별자치시 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HYPERLINK("https://map.naver.com/p/search/세종특별자치시 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세종특별자치시 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HYPERLINK("https://map.naver.com/p/search/세종특별자치시 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세종특별자치시 고운동 1142</t>
        </is>
      </c>
      <c r="B32" s="3" t="inlineStr">
        <is>
          <t>제1종전용주거지역</t>
        </is>
      </c>
      <c r="C32" s="3" t="inlineStr">
        <is>
          <t>대</t>
        </is>
      </c>
      <c r="D32" s="3" t="inlineStr">
        <is>
          <t>대</t>
        </is>
      </c>
      <c r="E32" s="3" t="inlineStr">
        <is>
          <t>매매</t>
        </is>
      </c>
      <c r="F32" s="4" t="n">
        <v>52000</v>
      </c>
      <c r="G32" s="4" t="n">
        <v>344</v>
      </c>
      <c r="H32" s="4" t="n">
        <v>104</v>
      </c>
      <c r="I32" s="5" t="n">
        <v>500</v>
      </c>
      <c r="J32" s="4" t="n">
        <v>304.8</v>
      </c>
      <c r="K32" s="3" t="inlineStr">
        <is>
          <t>두루고등학교앞 단독주택지 최선을다해서 가격조정해보겠습니다.</t>
        </is>
      </c>
      <c r="L32" s="6">
        <f>HYPERLINK("https://fin.land.naver.com/articles/2649565774", "매물Link")</f>
        <v/>
      </c>
      <c r="M32" s="6">
        <f>HYPERLINK("https://map.naver.com/p/search/세종특별자치시 고운동 1142", "지도Link")</f>
        <v/>
      </c>
      <c r="N32" s="6">
        <f>HYPERLINK("http://www.eum.go.kr/web/ar/lu/luLandDet.jsp?pnu=3611011200111420000&amp;isNoScr=script&amp;mode=search", "토지이음")</f>
        <v/>
      </c>
      <c r="O32" s="3" t="inlineStr">
        <is>
          <t>고운동리치세종</t>
        </is>
      </c>
      <c r="P32" s="3" t="n">
        <v>3</v>
      </c>
      <c r="Q32" s="3" t="n">
        <v>344.6</v>
      </c>
      <c r="R32" s="3" t="inlineStr">
        <is>
          <t>지정되지않음</t>
        </is>
      </c>
      <c r="S32" s="3" t="inlineStr">
        <is>
          <t>주거나지</t>
        </is>
      </c>
      <c r="T32" s="3" t="inlineStr">
        <is>
          <t>평지</t>
        </is>
      </c>
      <c r="U32" s="3" t="inlineStr">
        <is>
          <t>사다리형</t>
        </is>
      </c>
      <c r="V32" s="3" t="inlineStr">
        <is>
          <t>소로한면</t>
        </is>
      </c>
    </row>
    <row r="33">
      <c r="A33" s="3" t="inlineStr">
        <is>
          <t>세종특별자치시 고운동 1145</t>
        </is>
      </c>
      <c r="B33" s="3" t="inlineStr">
        <is>
          <t>제1종전용주거지역</t>
        </is>
      </c>
      <c r="C33" s="3" t="inlineStr">
        <is>
          <t>대</t>
        </is>
      </c>
      <c r="D33" s="3" t="inlineStr">
        <is>
          <t>대</t>
        </is>
      </c>
      <c r="E33" s="3" t="inlineStr">
        <is>
          <t>매매</t>
        </is>
      </c>
      <c r="F33" s="4" t="n">
        <v>80000</v>
      </c>
      <c r="G33" s="4" t="n">
        <v>383</v>
      </c>
      <c r="H33" s="4" t="n">
        <v>116</v>
      </c>
      <c r="I33" s="5" t="n">
        <v>689.7</v>
      </c>
      <c r="J33" s="4" t="n">
        <v>279.2</v>
      </c>
      <c r="K33" s="3" t="inlineStr">
        <is>
          <t>고운동북측 전용주택지 , 상권,학교 인접 생활인프라 좋음.</t>
        </is>
      </c>
      <c r="L33" s="6">
        <f>HYPERLINK("https://fin.land.naver.com/articles/2647434704", "매물Link")</f>
        <v/>
      </c>
      <c r="M33" s="6">
        <f>HYPERLINK("https://map.naver.com/p/search/세종특별자치시 고운동 1145", "지도Link")</f>
        <v/>
      </c>
      <c r="N33" s="6">
        <f>HYPERLINK("http://www.eum.go.kr/web/ar/lu/luLandDet.jsp?pnu=3611011200111450000&amp;isNoScr=script&amp;mode=search", "토지이음")</f>
        <v/>
      </c>
      <c r="O33" s="3" t="inlineStr">
        <is>
          <t>세종만세</t>
        </is>
      </c>
      <c r="P33" s="3" t="n">
        <v>1</v>
      </c>
      <c r="Q33" s="3" t="n">
        <v>383.2</v>
      </c>
      <c r="R33" s="3" t="inlineStr">
        <is>
          <t>지정되지않음</t>
        </is>
      </c>
      <c r="S33" s="3" t="inlineStr">
        <is>
          <t>주거나지</t>
        </is>
      </c>
      <c r="T33" s="3" t="inlineStr">
        <is>
          <t>평지</t>
        </is>
      </c>
      <c r="U33" s="3" t="inlineStr">
        <is>
          <t>정방형</t>
        </is>
      </c>
      <c r="V33" s="3" t="inlineStr">
        <is>
          <t>세로한면(가)</t>
        </is>
      </c>
    </row>
    <row r="34">
      <c r="A34" s="3" t="inlineStr">
        <is>
          <t>세종특별자치시 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급매, 고운동 입지 좋은 단독주택지</t>
        </is>
      </c>
      <c r="L34" s="6">
        <f>HYPERLINK("https://fin.land.naver.com/articles/2645493009", "매물Link")</f>
        <v/>
      </c>
      <c r="M34" s="6">
        <f>HYPERLINK("https://map.naver.com/p/search/세종특별자치시 고운동 1179", "지도Link")</f>
        <v/>
      </c>
      <c r="N34" s="6">
        <f>HYPERLINK("http://www.eum.go.kr/web/ar/lu/luLandDet.jsp?pnu=3611011200111790000&amp;isNoScr=script&amp;mode=search", "토지이음")</f>
        <v/>
      </c>
      <c r="O34" s="3" t="inlineStr">
        <is>
          <t>명진</t>
        </is>
      </c>
      <c r="P34" s="3" t="n">
        <v>1</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세종특별자치시 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항아리상권 가까운 생활인프라 좋은 토지 매매</t>
        </is>
      </c>
      <c r="L35" s="6">
        <f>HYPERLINK("https://fin.land.naver.com/articles/2645252849", "매물Link")</f>
        <v/>
      </c>
      <c r="M35" s="6">
        <f>HYPERLINK("https://map.naver.com/p/search/세종특별자치시 고운동 1179", "지도Link")</f>
        <v/>
      </c>
      <c r="N35" s="6">
        <f>HYPERLINK("http://www.eum.go.kr/web/ar/lu/luLandDet.jsp?pnu=3611011200111790000&amp;isNoScr=script&amp;mode=search", "토지이음")</f>
        <v/>
      </c>
      <c r="O35" s="3" t="inlineStr">
        <is>
          <t>세종무지개</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세종특별자치시 고운동 1179</t>
        </is>
      </c>
      <c r="B36" s="3" t="inlineStr">
        <is>
          <t>제1종전용주거지역</t>
        </is>
      </c>
      <c r="C36" s="3" t="inlineStr">
        <is>
          <t>대</t>
        </is>
      </c>
      <c r="D36" s="3" t="inlineStr">
        <is>
          <t>대</t>
        </is>
      </c>
      <c r="E36" s="3" t="inlineStr">
        <is>
          <t>매매</t>
        </is>
      </c>
      <c r="F36" s="4" t="n">
        <v>45000</v>
      </c>
      <c r="G36" s="4" t="n">
        <v>332</v>
      </c>
      <c r="H36" s="4" t="n">
        <v>100</v>
      </c>
      <c r="I36" s="5" t="n">
        <v>450</v>
      </c>
      <c r="J36" s="4" t="n">
        <v>308</v>
      </c>
      <c r="K36" s="3" t="inlineStr">
        <is>
          <t>상가근접한 입지좋은택지,</t>
        </is>
      </c>
      <c r="L36" s="6">
        <f>HYPERLINK("https://fin.land.naver.com/articles/2647138962", "매물Link")</f>
        <v/>
      </c>
      <c r="M36" s="6">
        <f>HYPERLINK("https://map.naver.com/p/search/세종특별자치시 고운동 1179", "지도Link")</f>
        <v/>
      </c>
      <c r="N36" s="6">
        <f>HYPERLINK("http://www.eum.go.kr/web/ar/lu/luLandDet.jsp?pnu=3611011200111790000&amp;isNoScr=script&amp;mode=search", "토지이음")</f>
        <v/>
      </c>
      <c r="O36" s="3" t="inlineStr">
        <is>
          <t>세종황소</t>
        </is>
      </c>
      <c r="P36" s="3" t="n">
        <v>2</v>
      </c>
      <c r="Q36" s="3" t="n">
        <v>332.1</v>
      </c>
      <c r="R36" s="3" t="inlineStr">
        <is>
          <t>지정되지않음</t>
        </is>
      </c>
      <c r="S36" s="3" t="inlineStr">
        <is>
          <t>주거나지</t>
        </is>
      </c>
      <c r="T36" s="3" t="inlineStr">
        <is>
          <t>평지</t>
        </is>
      </c>
      <c r="U36" s="3" t="inlineStr">
        <is>
          <t>정방형</t>
        </is>
      </c>
      <c r="V36" s="3" t="inlineStr">
        <is>
          <t>소로한면</t>
        </is>
      </c>
    </row>
    <row r="37">
      <c r="A37" s="3" t="inlineStr">
        <is>
          <t>세종특별자치시 고운동 1236</t>
        </is>
      </c>
      <c r="B37" s="3" t="inlineStr">
        <is>
          <t>제1종전용주거지역</t>
        </is>
      </c>
      <c r="C37" s="3" t="inlineStr">
        <is>
          <t>대</t>
        </is>
      </c>
      <c r="D37" s="3" t="inlineStr">
        <is>
          <t>대</t>
        </is>
      </c>
      <c r="E37" s="3" t="inlineStr">
        <is>
          <t>매매</t>
        </is>
      </c>
      <c r="F37" s="4" t="n">
        <v>75000</v>
      </c>
      <c r="G37" s="4" t="n">
        <v>338</v>
      </c>
      <c r="H37" s="4" t="n">
        <v>102</v>
      </c>
      <c r="I37" s="5" t="n">
        <v>735.3</v>
      </c>
      <c r="J37" s="4" t="n">
        <v>308</v>
      </c>
      <c r="K37" s="3" t="inlineStr">
        <is>
          <t>공원근접.초등학교 가까운 위치.조용한 전원주택지 ,투자추천</t>
        </is>
      </c>
      <c r="L37" s="6">
        <f>HYPERLINK("https://fin.land.naver.com/articles/2647141300", "매물Link")</f>
        <v/>
      </c>
      <c r="M37" s="6">
        <f>HYPERLINK("https://map.naver.com/p/search/세종특별자치시 고운동 1236", "지도Link")</f>
        <v/>
      </c>
      <c r="N37" s="6">
        <f>HYPERLINK("http://www.eum.go.kr/web/ar/lu/luLandDet.jsp?pnu=3611011200112360000&amp;isNoScr=script&amp;mode=search", "토지이음")</f>
        <v/>
      </c>
      <c r="O37" s="3" t="inlineStr">
        <is>
          <t>세종특별시</t>
        </is>
      </c>
      <c r="P37" s="3" t="n">
        <v>1</v>
      </c>
      <c r="Q37" s="3" t="n">
        <v>338.8</v>
      </c>
      <c r="R37" s="3" t="inlineStr">
        <is>
          <t>지정되지않음</t>
        </is>
      </c>
      <c r="S37" s="3" t="inlineStr">
        <is>
          <t>주거나지</t>
        </is>
      </c>
      <c r="T37" s="3" t="inlineStr">
        <is>
          <t>평지</t>
        </is>
      </c>
      <c r="U37" s="3" t="inlineStr">
        <is>
          <t>세로장방</t>
        </is>
      </c>
      <c r="V37" s="3" t="inlineStr">
        <is>
          <t>소로한면</t>
        </is>
      </c>
    </row>
    <row r="38">
      <c r="A38" s="3" t="inlineStr">
        <is>
          <t>세종특별자치시 고운동 1238</t>
        </is>
      </c>
      <c r="B38" s="3" t="inlineStr">
        <is>
          <t>제1종전용주거지역</t>
        </is>
      </c>
      <c r="C38" s="3" t="inlineStr">
        <is>
          <t>대</t>
        </is>
      </c>
      <c r="D38" s="3" t="inlineStr">
        <is>
          <t>대</t>
        </is>
      </c>
      <c r="E38" s="3" t="inlineStr">
        <is>
          <t>매매</t>
        </is>
      </c>
      <c r="F38" s="4" t="n">
        <v>69000</v>
      </c>
      <c r="G38" s="4" t="n">
        <v>348</v>
      </c>
      <c r="H38" s="4" t="n">
        <v>105</v>
      </c>
      <c r="I38" s="5" t="n">
        <v>657.1</v>
      </c>
      <c r="J38" s="4" t="n">
        <v>320.9</v>
      </c>
      <c r="K38" s="3" t="inlineStr">
        <is>
          <t>최상급 전원주택부지로 주민센터와 근린생활시설 인근에 위치, 가격조정 가능</t>
        </is>
      </c>
      <c r="L38" s="6">
        <f>HYPERLINK("https://fin.land.naver.com/articles/2646570985", "매물Link")</f>
        <v/>
      </c>
      <c r="M38" s="6">
        <f>HYPERLINK("https://map.naver.com/p/search/세종특별자치시 고운동 1238", "지도Link")</f>
        <v/>
      </c>
      <c r="N38" s="6">
        <f>HYPERLINK("http://www.eum.go.kr/web/ar/lu/luLandDet.jsp?pnu=3611011200112380000&amp;isNoScr=script&amp;mode=search", "토지이음")</f>
        <v/>
      </c>
      <c r="O38" s="3" t="inlineStr">
        <is>
          <t>수성</t>
        </is>
      </c>
      <c r="P38" s="3" t="n">
        <v>1</v>
      </c>
      <c r="Q38" s="3" t="n">
        <v>348.5</v>
      </c>
      <c r="R38" s="3" t="inlineStr">
        <is>
          <t>지정되지않음</t>
        </is>
      </c>
      <c r="S38" s="3" t="inlineStr">
        <is>
          <t>주거나지</t>
        </is>
      </c>
      <c r="T38" s="3" t="inlineStr">
        <is>
          <t>평지</t>
        </is>
      </c>
      <c r="U38" s="3" t="inlineStr">
        <is>
          <t>가로장방</t>
        </is>
      </c>
      <c r="V38" s="3" t="inlineStr">
        <is>
          <t>소로각지</t>
        </is>
      </c>
    </row>
    <row r="39">
      <c r="A39" s="3" t="inlineStr">
        <is>
          <t>세종특별자치시 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HYPERLINK("https://map.naver.com/p/search/세종특별자치시 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세종특별자치시 고운동 1242</t>
        </is>
      </c>
      <c r="B40" s="3" t="inlineStr">
        <is>
          <t>제1종전용주거지역</t>
        </is>
      </c>
      <c r="C40" s="3" t="inlineStr">
        <is>
          <t>대</t>
        </is>
      </c>
      <c r="D40" s="3" t="inlineStr">
        <is>
          <t>대</t>
        </is>
      </c>
      <c r="E40" s="3" t="inlineStr">
        <is>
          <t>매매</t>
        </is>
      </c>
      <c r="F40" s="4" t="n">
        <v>59000</v>
      </c>
      <c r="G40" s="4" t="n">
        <v>339</v>
      </c>
      <c r="H40" s="4" t="n">
        <v>103</v>
      </c>
      <c r="I40" s="5" t="n">
        <v>572.8</v>
      </c>
      <c r="J40" s="4" t="n">
        <v>320.9</v>
      </c>
      <c r="K40" s="3" t="inlineStr">
        <is>
          <t>위치좋고 저렴한 코너각지 남향의 최 상급 주택부지</t>
        </is>
      </c>
      <c r="L40" s="6">
        <f>HYPERLINK("https://fin.land.naver.com/articles/2646971089", "매물Link")</f>
        <v/>
      </c>
      <c r="M40" s="6">
        <f>HYPERLINK("https://map.naver.com/p/search/세종특별자치시 고운동 1242", "지도Link")</f>
        <v/>
      </c>
      <c r="N40" s="6">
        <f>HYPERLINK("http://www.eum.go.kr/web/ar/lu/luLandDet.jsp?pnu=3611011200112420000&amp;isNoScr=script&amp;mode=search", "토지이음")</f>
        <v/>
      </c>
      <c r="O40" s="3" t="inlineStr">
        <is>
          <t>대전토지로무소</t>
        </is>
      </c>
      <c r="P40" s="3" t="n">
        <v>1</v>
      </c>
      <c r="Q40" s="3" t="n">
        <v>339.4</v>
      </c>
      <c r="R40" s="3" t="inlineStr">
        <is>
          <t>지정되지않음</t>
        </is>
      </c>
      <c r="S40" s="3" t="inlineStr">
        <is>
          <t>주거나지</t>
        </is>
      </c>
      <c r="T40" s="3" t="inlineStr">
        <is>
          <t>평지</t>
        </is>
      </c>
      <c r="U40" s="3" t="inlineStr">
        <is>
          <t>가로장방</t>
        </is>
      </c>
      <c r="V40" s="3" t="inlineStr">
        <is>
          <t>소로각지</t>
        </is>
      </c>
    </row>
    <row r="41">
      <c r="A41" s="3" t="inlineStr">
        <is>
          <t>세종특별자치시 고운동 1248</t>
        </is>
      </c>
      <c r="B41" s="3" t="inlineStr">
        <is>
          <t>제1종전용주거지역</t>
        </is>
      </c>
      <c r="C41" s="3" t="inlineStr">
        <is>
          <t>대</t>
        </is>
      </c>
      <c r="D41" s="3" t="inlineStr">
        <is>
          <t>대</t>
        </is>
      </c>
      <c r="E41" s="3" t="inlineStr">
        <is>
          <t>매매</t>
        </is>
      </c>
      <c r="F41" s="4" t="n">
        <v>150000</v>
      </c>
      <c r="G41" s="4" t="n">
        <v>327</v>
      </c>
      <c r="H41" s="4" t="n">
        <v>99</v>
      </c>
      <c r="I41" s="5" t="n">
        <v>1515.2</v>
      </c>
      <c r="J41" s="4" t="n">
        <v>804</v>
      </c>
      <c r="K41" s="3" t="inlineStr">
        <is>
          <t>대로변 코너각지 위치 최상의 귀한 근생부지 매매</t>
        </is>
      </c>
      <c r="L41" s="6">
        <f>HYPERLINK("https://fin.land.naver.com/articles/2646720322", "매물Link")</f>
        <v/>
      </c>
      <c r="M41" s="6">
        <f>HYPERLINK("https://map.naver.com/p/search/세종특별자치시 고운동 1248", "지도Link")</f>
        <v/>
      </c>
      <c r="N41" s="6">
        <f>HYPERLINK("http://www.eum.go.kr/web/ar/lu/luLandDet.jsp?pnu=3611011200112480000&amp;isNoScr=script&amp;mode=search", "토지이음")</f>
        <v/>
      </c>
      <c r="O41" s="3" t="inlineStr">
        <is>
          <t>(주)정민근</t>
        </is>
      </c>
      <c r="P41" s="3" t="n">
        <v>3</v>
      </c>
      <c r="Q41" s="3" t="n">
        <v>327.8</v>
      </c>
      <c r="R41" s="3" t="inlineStr">
        <is>
          <t>지정되지않음</t>
        </is>
      </c>
      <c r="S41" s="3" t="inlineStr">
        <is>
          <t>상업용</t>
        </is>
      </c>
      <c r="T41" s="3" t="inlineStr">
        <is>
          <t>평지</t>
        </is>
      </c>
      <c r="U41" s="3" t="inlineStr">
        <is>
          <t>정방형</t>
        </is>
      </c>
      <c r="V41" s="3" t="inlineStr">
        <is>
          <t>중로각지</t>
        </is>
      </c>
    </row>
    <row r="42">
      <c r="A42" s="3" t="inlineStr">
        <is>
          <t>세종특별자치시 고운동 1262</t>
        </is>
      </c>
      <c r="B42" s="3" t="inlineStr">
        <is>
          <t>제1종전용주거지역</t>
        </is>
      </c>
      <c r="C42" s="3" t="inlineStr">
        <is>
          <t>대</t>
        </is>
      </c>
      <c r="D42" s="3" t="inlineStr">
        <is>
          <t>대</t>
        </is>
      </c>
      <c r="E42" s="3" t="inlineStr">
        <is>
          <t>매매</t>
        </is>
      </c>
      <c r="F42" s="4" t="n">
        <v>58000</v>
      </c>
      <c r="G42" s="4" t="n">
        <v>348</v>
      </c>
      <c r="H42" s="4" t="n">
        <v>105</v>
      </c>
      <c r="I42" s="5" t="n">
        <v>552.4</v>
      </c>
      <c r="J42" s="4" t="n">
        <v>383.8</v>
      </c>
      <c r="K42" s="3" t="inlineStr">
        <is>
          <t>3면코너각지 실개천인근 위치최상 조율가능</t>
        </is>
      </c>
      <c r="L42" s="6">
        <f>HYPERLINK("https://fin.land.naver.com/articles/2644917704", "매물Link")</f>
        <v/>
      </c>
      <c r="M42" s="6">
        <f>HYPERLINK("https://map.naver.com/p/search/세종특별자치시 고운동 1262", "지도Link")</f>
        <v/>
      </c>
      <c r="N42" s="6">
        <f>HYPERLINK("http://www.eum.go.kr/web/ar/lu/luLandDet.jsp?pnu=3611011200112620000&amp;isNoScr=script&amp;mode=search", "토지이음")</f>
        <v/>
      </c>
      <c r="O42" s="3" t="inlineStr">
        <is>
          <t>세종스타</t>
        </is>
      </c>
      <c r="P42" s="3" t="n">
        <v>1</v>
      </c>
      <c r="Q42" s="3" t="n">
        <v>348.5</v>
      </c>
      <c r="R42" s="3" t="inlineStr">
        <is>
          <t>지정되지않음</t>
        </is>
      </c>
      <c r="S42" s="3" t="inlineStr">
        <is>
          <t>주거나지</t>
        </is>
      </c>
      <c r="T42" s="3" t="inlineStr">
        <is>
          <t>평지</t>
        </is>
      </c>
      <c r="U42" s="3" t="inlineStr">
        <is>
          <t>정방형</t>
        </is>
      </c>
      <c r="V42" s="3" t="inlineStr">
        <is>
          <t>중로각지</t>
        </is>
      </c>
    </row>
    <row r="43">
      <c r="A43" s="3" t="inlineStr">
        <is>
          <t>세종특별자치시 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HYPERLINK("https://map.naver.com/p/search/세종특별자치시 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세종특별자치시 고운동 1272</t>
        </is>
      </c>
      <c r="B44" s="3" t="inlineStr">
        <is>
          <t>제1종전용주거지역</t>
        </is>
      </c>
      <c r="C44" s="3" t="inlineStr">
        <is>
          <t>대</t>
        </is>
      </c>
      <c r="D44" s="3" t="inlineStr">
        <is>
          <t>대</t>
        </is>
      </c>
      <c r="E44" s="3" t="inlineStr">
        <is>
          <t>매매</t>
        </is>
      </c>
      <c r="F44" s="4" t="n">
        <v>80000</v>
      </c>
      <c r="G44" s="4" t="n">
        <v>330</v>
      </c>
      <c r="H44" s="4" t="n">
        <v>100</v>
      </c>
      <c r="I44" s="5" t="n">
        <v>800</v>
      </c>
      <c r="J44" s="4" t="n">
        <v>383.8</v>
      </c>
      <c r="K44" s="3" t="inlineStr">
        <is>
          <t>코너각지, 실개천 주변으로 입지 좋은 토지매매</t>
        </is>
      </c>
      <c r="L44" s="6">
        <f>HYPERLINK("https://fin.land.naver.com/articles/2645342528", "매물Link")</f>
        <v/>
      </c>
      <c r="M44" s="6">
        <f>HYPERLINK("https://map.naver.com/p/search/세종특별자치시 고운동 1272", "지도Link")</f>
        <v/>
      </c>
      <c r="N44" s="6">
        <f>HYPERLINK("http://www.eum.go.kr/web/ar/lu/luLandDet.jsp?pnu=3611011200112720000&amp;isNoScr=script&amp;mode=search", "토지이음")</f>
        <v/>
      </c>
      <c r="O44" s="3" t="inlineStr">
        <is>
          <t>세종무지개</t>
        </is>
      </c>
      <c r="P44" s="3" t="n">
        <v>1</v>
      </c>
      <c r="Q44" s="3" t="n">
        <v>330.7</v>
      </c>
      <c r="R44" s="3" t="inlineStr">
        <is>
          <t>지정되지않음</t>
        </is>
      </c>
      <c r="S44" s="3" t="inlineStr">
        <is>
          <t>주거나지</t>
        </is>
      </c>
      <c r="T44" s="3" t="inlineStr">
        <is>
          <t>평지</t>
        </is>
      </c>
      <c r="U44" s="3" t="inlineStr">
        <is>
          <t>정방형</t>
        </is>
      </c>
      <c r="V44" s="3" t="inlineStr">
        <is>
          <t>중로각지</t>
        </is>
      </c>
    </row>
    <row r="45">
      <c r="A45" s="3" t="inlineStr">
        <is>
          <t>세종특별자치시 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HYPERLINK("https://map.naver.com/p/search/세종특별자치시 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세종특별자치시 고운동 1293</t>
        </is>
      </c>
      <c r="B46" s="3" t="inlineStr">
        <is>
          <t>제1종전용주거지역</t>
        </is>
      </c>
      <c r="C46" s="3" t="inlineStr">
        <is>
          <t>대</t>
        </is>
      </c>
      <c r="D46" s="3" t="inlineStr">
        <is>
          <t>대</t>
        </is>
      </c>
      <c r="E46" s="3" t="inlineStr">
        <is>
          <t>매매</t>
        </is>
      </c>
      <c r="F46" s="4" t="n">
        <v>95000</v>
      </c>
      <c r="G46" s="4" t="n">
        <v>332</v>
      </c>
      <c r="H46" s="4" t="n">
        <v>100</v>
      </c>
      <c r="I46" s="5" t="n">
        <v>950</v>
      </c>
      <c r="J46" s="4" t="n">
        <v>336.5</v>
      </c>
      <c r="K46" s="3" t="inlineStr">
        <is>
          <t>100.91p, 개방감 좋은 실개천 인근 토지</t>
        </is>
      </c>
      <c r="L46" s="6">
        <f>HYPERLINK("https://fin.land.naver.com/articles/2644482629", "매물Link")</f>
        <v/>
      </c>
      <c r="M46" s="6">
        <f>HYPERLINK("https://map.naver.com/p/search/세종특별자치시 고운동 1293", "지도Link")</f>
        <v/>
      </c>
      <c r="N46" s="6">
        <f>HYPERLINK("http://www.eum.go.kr/web/ar/lu/luLandDet.jsp?pnu=3611011200112930000&amp;isNoScr=script&amp;mode=search", "토지이음")</f>
        <v/>
      </c>
      <c r="O46" s="3" t="inlineStr">
        <is>
          <t>세종무지개</t>
        </is>
      </c>
      <c r="P46" s="3" t="n">
        <v>1</v>
      </c>
      <c r="Q46" s="3" t="n">
        <v>330</v>
      </c>
      <c r="R46" s="3" t="inlineStr">
        <is>
          <t>지정되지않음</t>
        </is>
      </c>
      <c r="S46" s="3" t="inlineStr">
        <is>
          <t>주거나지</t>
        </is>
      </c>
      <c r="T46" s="3" t="inlineStr">
        <is>
          <t>평지</t>
        </is>
      </c>
      <c r="U46" s="3" t="inlineStr">
        <is>
          <t>정방형</t>
        </is>
      </c>
      <c r="V46" s="3" t="inlineStr">
        <is>
          <t>소로한면</t>
        </is>
      </c>
    </row>
    <row r="47">
      <c r="A47" s="3" t="inlineStr">
        <is>
          <t>세종특별자치시 고운동 1297</t>
        </is>
      </c>
      <c r="B47" s="3" t="inlineStr">
        <is>
          <t>제1종전용주거지역</t>
        </is>
      </c>
      <c r="C47" s="3" t="inlineStr">
        <is>
          <t>대</t>
        </is>
      </c>
      <c r="D47" s="3" t="inlineStr">
        <is>
          <t>대</t>
        </is>
      </c>
      <c r="E47" s="3" t="inlineStr">
        <is>
          <t>매매</t>
        </is>
      </c>
      <c r="F47" s="4" t="n">
        <v>56000</v>
      </c>
      <c r="G47" s="4" t="n">
        <v>338</v>
      </c>
      <c r="H47" s="4" t="n">
        <v>102</v>
      </c>
      <c r="I47" s="5" t="n">
        <v>549</v>
      </c>
      <c r="J47" s="4" t="n">
        <v>369.3</v>
      </c>
      <c r="K47" s="3" t="inlineStr">
        <is>
          <t>실개천옆 천조망 가락초2분 두루고5분</t>
        </is>
      </c>
      <c r="L47" s="6">
        <f>HYPERLINK("https://fin.land.naver.com/articles/2648615465", "매물Link")</f>
        <v/>
      </c>
      <c r="M47" s="6">
        <f>HYPERLINK("https://map.naver.com/p/search/세종특별자치시 고운동 1297", "지도Link")</f>
        <v/>
      </c>
      <c r="N47" s="6">
        <f>HYPERLINK("http://www.eum.go.kr/web/ar/lu/luLandDet.jsp?pnu=3611011200112970000&amp;isNoScr=script&amp;mode=search", "토지이음")</f>
        <v/>
      </c>
      <c r="O47" s="3" t="inlineStr">
        <is>
          <t>세종스타</t>
        </is>
      </c>
      <c r="P47" s="3" t="n">
        <v>2</v>
      </c>
      <c r="Q47" s="3" t="n">
        <v>338</v>
      </c>
      <c r="R47" s="3" t="inlineStr">
        <is>
          <t>지정되지않음</t>
        </is>
      </c>
      <c r="S47" s="3" t="inlineStr">
        <is>
          <t>주거나지</t>
        </is>
      </c>
      <c r="T47" s="3" t="inlineStr">
        <is>
          <t>평지</t>
        </is>
      </c>
      <c r="U47" s="3" t="inlineStr">
        <is>
          <t>정방형</t>
        </is>
      </c>
      <c r="V47" s="3" t="inlineStr">
        <is>
          <t>중로한면</t>
        </is>
      </c>
    </row>
    <row r="48">
      <c r="A48" s="3" t="inlineStr">
        <is>
          <t>세종특별자치시 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HYPERLINK("https://map.naver.com/p/search/세종특별자치시 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세종특별자치시 고운동 1302</t>
        </is>
      </c>
      <c r="B49" s="3" t="inlineStr">
        <is>
          <t>제1종전용주거지역</t>
        </is>
      </c>
      <c r="C49" s="3" t="inlineStr">
        <is>
          <t>대</t>
        </is>
      </c>
      <c r="D49" s="3" t="inlineStr">
        <is>
          <t>대</t>
        </is>
      </c>
      <c r="E49" s="3" t="inlineStr">
        <is>
          <t>매매</t>
        </is>
      </c>
      <c r="F49" s="4" t="n">
        <v>85000</v>
      </c>
      <c r="G49" s="4" t="n">
        <v>351</v>
      </c>
      <c r="H49" s="4" t="n">
        <v>106</v>
      </c>
      <c r="I49" s="5" t="n">
        <v>801.9</v>
      </c>
      <c r="J49" s="4" t="n">
        <v>336.5</v>
      </c>
      <c r="K49" s="3" t="inlineStr">
        <is>
          <t>총 106.3p, 공원바로 옆, 도로인접 위치 좋은 전원주택지</t>
        </is>
      </c>
      <c r="L49" s="6">
        <f>HYPERLINK("https://fin.land.naver.com/articles/2648899207", "매물Link")</f>
        <v/>
      </c>
      <c r="M49" s="6">
        <f>HYPERLINK("https://map.naver.com/p/search/세종특별자치시 고운동 1302", "지도Link")</f>
        <v/>
      </c>
      <c r="N49" s="6">
        <f>HYPERLINK("http://www.eum.go.kr/web/ar/lu/luLandDet.jsp?pnu=3611011200113020000&amp;isNoScr=script&amp;mode=search", "토지이음")</f>
        <v/>
      </c>
      <c r="O49" s="3" t="inlineStr">
        <is>
          <t>명진</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세종특별자치시 고운동 1310</t>
        </is>
      </c>
      <c r="B50" s="3" t="inlineStr">
        <is>
          <t>제1종전용주거지역</t>
        </is>
      </c>
      <c r="C50" s="3" t="inlineStr">
        <is>
          <t>대</t>
        </is>
      </c>
      <c r="D50" s="3" t="inlineStr">
        <is>
          <t>대</t>
        </is>
      </c>
      <c r="E50" s="3" t="inlineStr">
        <is>
          <t>매매</t>
        </is>
      </c>
      <c r="F50" s="4" t="n">
        <v>70000</v>
      </c>
      <c r="G50" s="4" t="n">
        <v>351</v>
      </c>
      <c r="H50" s="4" t="n">
        <v>106</v>
      </c>
      <c r="I50" s="5" t="n">
        <v>660.4</v>
      </c>
      <c r="J50" s="4" t="n">
        <v>336.5</v>
      </c>
      <c r="K50" s="3" t="inlineStr">
        <is>
          <t>전원주택지 산책로 및 실개천에 연접한 좋은위치 단독택지, 가락초 인근</t>
        </is>
      </c>
      <c r="L50" s="6">
        <f>HYPERLINK("https://fin.land.naver.com/articles/2643997605", "매물Link")</f>
        <v/>
      </c>
      <c r="M50" s="6">
        <f>HYPERLINK("https://map.naver.com/p/search/세종특별자치시 고운동 1310", "지도Link")</f>
        <v/>
      </c>
      <c r="N50" s="6">
        <f>HYPERLINK("http://www.eum.go.kr/web/ar/lu/luLandDet.jsp?pnu=3611011200113100000&amp;isNoScr=script&amp;mode=search", "토지이음")</f>
        <v/>
      </c>
      <c r="O50" s="3" t="inlineStr">
        <is>
          <t>온뜰</t>
        </is>
      </c>
      <c r="P50" s="3" t="n">
        <v>1</v>
      </c>
      <c r="Q50" s="3" t="n">
        <v>351</v>
      </c>
      <c r="R50" s="3" t="inlineStr">
        <is>
          <t>지정되지않음</t>
        </is>
      </c>
      <c r="S50" s="3" t="inlineStr">
        <is>
          <t>주거나지</t>
        </is>
      </c>
      <c r="T50" s="3" t="inlineStr">
        <is>
          <t>평지</t>
        </is>
      </c>
      <c r="U50" s="3" t="inlineStr">
        <is>
          <t>정방형</t>
        </is>
      </c>
      <c r="V50" s="3" t="inlineStr">
        <is>
          <t>소로한면</t>
        </is>
      </c>
    </row>
    <row r="51">
      <c r="A51" s="3" t="inlineStr">
        <is>
          <t>세종특별자치시 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도심속 전원생활 가능한 입지,여건 좋은 단독주택부지</t>
        </is>
      </c>
      <c r="L51" s="6">
        <f>HYPERLINK("https://fin.land.naver.com/articles/2645537774", "매물Link")</f>
        <v/>
      </c>
      <c r="M51" s="6">
        <f>HYPERLINK("https://map.naver.com/p/search/세종특별자치시 고운동 1319", "지도Link")</f>
        <v/>
      </c>
      <c r="N51" s="6">
        <f>HYPERLINK("http://www.eum.go.kr/web/ar/lu/luLandDet.jsp?pnu=3611011200113190000&amp;isNoScr=script&amp;mode=search", "토지이음")</f>
        <v/>
      </c>
      <c r="O51" s="3" t="inlineStr">
        <is>
          <t>도안우리집</t>
        </is>
      </c>
      <c r="P51" s="3" t="n">
        <v>1</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세종특별자치시 고운동 1319</t>
        </is>
      </c>
      <c r="B52" s="3" t="inlineStr">
        <is>
          <t>제1종전용주거지역</t>
        </is>
      </c>
      <c r="C52" s="3" t="inlineStr">
        <is>
          <t>대</t>
        </is>
      </c>
      <c r="D52" s="3" t="inlineStr">
        <is>
          <t>대</t>
        </is>
      </c>
      <c r="E52" s="3" t="inlineStr">
        <is>
          <t>매매</t>
        </is>
      </c>
      <c r="F52" s="4" t="n">
        <v>58000</v>
      </c>
      <c r="G52" s="4" t="n">
        <v>365</v>
      </c>
      <c r="H52" s="4" t="n">
        <v>110</v>
      </c>
      <c r="I52" s="5" t="n">
        <v>527.3</v>
      </c>
      <c r="J52" s="4" t="n">
        <v>336.5</v>
      </c>
      <c r="K52" s="3" t="inlineStr">
        <is>
          <t>위치좋고 저렴한 단독주택 용지 추천드립니다</t>
        </is>
      </c>
      <c r="L52" s="6">
        <f>HYPERLINK("https://fin.land.naver.com/articles/2644677580", "매물Link")</f>
        <v/>
      </c>
      <c r="M52" s="6">
        <f>HYPERLINK("https://map.naver.com/p/search/세종특별자치시 고운동 1319", "지도Link")</f>
        <v/>
      </c>
      <c r="N52" s="6">
        <f>HYPERLINK("http://www.eum.go.kr/web/ar/lu/luLandDet.jsp?pnu=3611011200113190000&amp;isNoScr=script&amp;mode=search", "토지이음")</f>
        <v/>
      </c>
      <c r="O52" s="3" t="inlineStr">
        <is>
          <t>골드클래스</t>
        </is>
      </c>
      <c r="P52" s="3" t="n">
        <v>2</v>
      </c>
      <c r="Q52" s="3" t="n">
        <v>365.3</v>
      </c>
      <c r="R52" s="3" t="inlineStr">
        <is>
          <t>지정되지않음</t>
        </is>
      </c>
      <c r="S52" s="3" t="inlineStr">
        <is>
          <t>주거나지</t>
        </is>
      </c>
      <c r="T52" s="3" t="inlineStr">
        <is>
          <t>평지</t>
        </is>
      </c>
      <c r="U52" s="3" t="inlineStr">
        <is>
          <t>정방형</t>
        </is>
      </c>
      <c r="V52" s="3" t="inlineStr">
        <is>
          <t>소로한면</t>
        </is>
      </c>
    </row>
    <row r="53">
      <c r="A53" s="3" t="inlineStr">
        <is>
          <t>세종특별자치시 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HYPERLINK("https://map.naver.com/p/search/세종특별자치시 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세종특별자치시 고운동 1320</t>
        </is>
      </c>
      <c r="B54" s="3" t="inlineStr">
        <is>
          <t>제1종전용주거지역</t>
        </is>
      </c>
      <c r="C54" s="3" t="inlineStr">
        <is>
          <t>대</t>
        </is>
      </c>
      <c r="D54" s="3" t="inlineStr">
        <is>
          <t>대</t>
        </is>
      </c>
      <c r="E54" s="3" t="inlineStr">
        <is>
          <t>매매</t>
        </is>
      </c>
      <c r="F54" s="4" t="n">
        <v>65000</v>
      </c>
      <c r="G54" s="4" t="n">
        <v>353</v>
      </c>
      <c r="H54" s="4" t="n">
        <v>107</v>
      </c>
      <c r="I54" s="5" t="n">
        <v>607.5</v>
      </c>
      <c r="J54" s="4" t="n">
        <v>353.1</v>
      </c>
      <c r="K54" s="3" t="inlineStr">
        <is>
          <t>코너자리로 입지 최고  공원옆  실개천옆 학군 상권이용편리</t>
        </is>
      </c>
      <c r="L54" s="6">
        <f>HYPERLINK("https://fin.land.naver.com/articles/2645691378", "매물Link")</f>
        <v/>
      </c>
      <c r="M54" s="6">
        <f>HYPERLINK("https://map.naver.com/p/search/세종특별자치시 고운동 1320", "지도Link")</f>
        <v/>
      </c>
      <c r="N54" s="6">
        <f>HYPERLINK("http://www.eum.go.kr/web/ar/lu/luLandDet.jsp?pnu=3611011200113200000&amp;isNoScr=script&amp;mode=search", "토지이음")</f>
        <v/>
      </c>
      <c r="O54" s="3" t="inlineStr">
        <is>
          <t>세종시토지</t>
        </is>
      </c>
      <c r="P54" s="3" t="n">
        <v>1</v>
      </c>
      <c r="Q54" s="3" t="n">
        <v>353.3</v>
      </c>
      <c r="R54" s="3" t="inlineStr">
        <is>
          <t>지정되지않음</t>
        </is>
      </c>
      <c r="S54" s="3" t="inlineStr">
        <is>
          <t>주거나지</t>
        </is>
      </c>
      <c r="T54" s="3" t="inlineStr">
        <is>
          <t>평지</t>
        </is>
      </c>
      <c r="U54" s="3" t="inlineStr">
        <is>
          <t>정방형</t>
        </is>
      </c>
      <c r="V54" s="3" t="inlineStr">
        <is>
          <t>소로각지</t>
        </is>
      </c>
    </row>
    <row r="55">
      <c r="A55" s="3" t="inlineStr">
        <is>
          <t>세종특별자치시 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HYPERLINK("https://map.naver.com/p/search/세종특별자치시 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세종특별자치시 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급매 추가조율가능 넓은평수 뒤로보행로접</t>
        </is>
      </c>
      <c r="L56" s="6">
        <f>HYPERLINK("https://fin.land.naver.com/articles/2645801552", "매물Link")</f>
        <v/>
      </c>
      <c r="M56" s="6">
        <f>HYPERLINK("https://map.naver.com/p/search/세종특별자치시 고운동 1323", "지도Link")</f>
        <v/>
      </c>
      <c r="N56" s="6">
        <f>HYPERLINK("http://www.eum.go.kr/web/ar/lu/luLandDet.jsp?pnu=3611011200113230000&amp;isNoScr=script&amp;mode=search", "토지이음")</f>
        <v/>
      </c>
      <c r="O56" s="3" t="inlineStr">
        <is>
          <t>세종스타</t>
        </is>
      </c>
      <c r="P56" s="3" t="n">
        <v>2</v>
      </c>
      <c r="Q56" s="3" t="n">
        <v>361</v>
      </c>
      <c r="R56" s="3" t="inlineStr">
        <is>
          <t>지정되지않음</t>
        </is>
      </c>
      <c r="S56" s="3" t="inlineStr">
        <is>
          <t>주거나지</t>
        </is>
      </c>
      <c r="T56" s="3" t="inlineStr">
        <is>
          <t>평지</t>
        </is>
      </c>
      <c r="U56" s="3" t="inlineStr">
        <is>
          <t>정방형</t>
        </is>
      </c>
      <c r="V56" s="3" t="inlineStr">
        <is>
          <t>소로한면</t>
        </is>
      </c>
    </row>
    <row r="57">
      <c r="A57" s="3" t="inlineStr">
        <is>
          <t>세종특별자치시 고운동 1323</t>
        </is>
      </c>
      <c r="B57" s="3" t="inlineStr">
        <is>
          <t>제1종전용주거지역</t>
        </is>
      </c>
      <c r="C57" s="3" t="inlineStr">
        <is>
          <t>대</t>
        </is>
      </c>
      <c r="D57" s="3" t="inlineStr">
        <is>
          <t>대</t>
        </is>
      </c>
      <c r="E57" s="3" t="inlineStr">
        <is>
          <t>매매</t>
        </is>
      </c>
      <c r="F57" s="4" t="n">
        <v>60000</v>
      </c>
      <c r="G57" s="4" t="n">
        <v>361</v>
      </c>
      <c r="H57" s="4" t="n">
        <v>109</v>
      </c>
      <c r="I57" s="5" t="n">
        <v>550.5</v>
      </c>
      <c r="J57" s="4" t="n">
        <v>336.5</v>
      </c>
      <c r="K57" s="3" t="inlineStr">
        <is>
          <t>총 109.3p, 위치 좋은 단독주택지, 공원인근</t>
        </is>
      </c>
      <c r="L57" s="6">
        <f>HYPERLINK("https://fin.land.naver.com/articles/2649613023", "매물Link")</f>
        <v/>
      </c>
      <c r="M57" s="6">
        <f>HYPERLINK("https://map.naver.com/p/search/세종특별자치시 고운동 1323", "지도Link")</f>
        <v/>
      </c>
      <c r="N57" s="6">
        <f>HYPERLINK("http://www.eum.go.kr/web/ar/lu/luLandDet.jsp?pnu=3611011200113230000&amp;isNoScr=script&amp;mode=search", "토지이음")</f>
        <v/>
      </c>
      <c r="O57" s="3" t="inlineStr">
        <is>
          <t>세종무지개</t>
        </is>
      </c>
      <c r="P57" s="3" t="n">
        <v>1</v>
      </c>
      <c r="Q57" s="3" t="n">
        <v>361</v>
      </c>
      <c r="R57" s="3" t="inlineStr">
        <is>
          <t>지정되지않음</t>
        </is>
      </c>
      <c r="S57" s="3" t="inlineStr">
        <is>
          <t>주거나지</t>
        </is>
      </c>
      <c r="T57" s="3" t="inlineStr">
        <is>
          <t>평지</t>
        </is>
      </c>
      <c r="U57" s="3" t="inlineStr">
        <is>
          <t>정방형</t>
        </is>
      </c>
      <c r="V57" s="3" t="inlineStr">
        <is>
          <t>소로한면</t>
        </is>
      </c>
    </row>
    <row r="58">
      <c r="A58" s="3" t="inlineStr">
        <is>
          <t>세종특별자치시 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공원바로옆 실개천품은단독택지학교상가이용편리</t>
        </is>
      </c>
      <c r="L58" s="6">
        <f>HYPERLINK("https://fin.land.naver.com/articles/2645694568", "매물Link")</f>
        <v/>
      </c>
      <c r="M58" s="6">
        <f>HYPERLINK("https://map.naver.com/p/search/세종특별자치시 고운동 1328", "지도Link")</f>
        <v/>
      </c>
      <c r="N58" s="6">
        <f>HYPERLINK("http://www.eum.go.kr/web/ar/lu/luLandDet.jsp?pnu=3611011200113280000&amp;isNoScr=script&amp;mode=search", "토지이음")</f>
        <v/>
      </c>
      <c r="O58" s="3" t="inlineStr">
        <is>
          <t>세종시토지</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세종특별자치시 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실개천 가깝고 코너각지 위치 좋은 단독주택지, 조정가능</t>
        </is>
      </c>
      <c r="L59" s="6">
        <f>HYPERLINK("https://fin.land.naver.com/articles/2649699066", "매물Link")</f>
        <v/>
      </c>
      <c r="M59" s="6">
        <f>HYPERLINK("https://map.naver.com/p/search/세종특별자치시 고운동 1328", "지도Link")</f>
        <v/>
      </c>
      <c r="N59" s="6">
        <f>HYPERLINK("http://www.eum.go.kr/web/ar/lu/luLandDet.jsp?pnu=3611011200113280000&amp;isNoScr=script&amp;mode=search", "토지이음")</f>
        <v/>
      </c>
      <c r="O59" s="3" t="inlineStr">
        <is>
          <t>온뜰</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세종특별자치시 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HYPERLINK("https://map.naver.com/p/search/세종특별자치시 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세종특별자치시 고운동 1328</t>
        </is>
      </c>
      <c r="B61" s="3" t="inlineStr">
        <is>
          <t>제1종전용주거지역</t>
        </is>
      </c>
      <c r="C61" s="3" t="inlineStr">
        <is>
          <t>대</t>
        </is>
      </c>
      <c r="D61" s="3" t="inlineStr">
        <is>
          <t>대</t>
        </is>
      </c>
      <c r="E61" s="3" t="inlineStr">
        <is>
          <t>매매</t>
        </is>
      </c>
      <c r="F61" s="4" t="n">
        <v>65000</v>
      </c>
      <c r="G61" s="4" t="n">
        <v>352</v>
      </c>
      <c r="H61" s="4" t="n">
        <v>106</v>
      </c>
      <c r="I61" s="5" t="n">
        <v>613.2</v>
      </c>
      <c r="J61" s="4" t="n">
        <v>353.1</v>
      </c>
      <c r="K61" s="3" t="inlineStr">
        <is>
          <t>106.8p, 삼거리 코너 위치 토지매매</t>
        </is>
      </c>
      <c r="L61" s="6">
        <f>HYPERLINK("https://fin.land.naver.com/articles/2647421174", "매물Link")</f>
        <v/>
      </c>
      <c r="M61" s="6">
        <f>HYPERLINK("https://map.naver.com/p/search/세종특별자치시 고운동 1328", "지도Link")</f>
        <v/>
      </c>
      <c r="N61" s="6">
        <f>HYPERLINK("http://www.eum.go.kr/web/ar/lu/luLandDet.jsp?pnu=3611011200113280000&amp;isNoScr=script&amp;mode=search", "토지이음")</f>
        <v/>
      </c>
      <c r="O61" s="3" t="inlineStr">
        <is>
          <t>명진</t>
        </is>
      </c>
      <c r="P61" s="3" t="n">
        <v>1</v>
      </c>
      <c r="Q61" s="3" t="n">
        <v>352.7</v>
      </c>
      <c r="R61" s="3" t="inlineStr">
        <is>
          <t>지정되지않음</t>
        </is>
      </c>
      <c r="S61" s="3" t="inlineStr">
        <is>
          <t>주거나지</t>
        </is>
      </c>
      <c r="T61" s="3" t="inlineStr">
        <is>
          <t>평지</t>
        </is>
      </c>
      <c r="U61" s="3" t="inlineStr">
        <is>
          <t>가로장방</t>
        </is>
      </c>
      <c r="V61" s="3" t="inlineStr">
        <is>
          <t>소로각지</t>
        </is>
      </c>
    </row>
    <row r="62">
      <c r="A62" s="3" t="inlineStr">
        <is>
          <t>세종특별자치시 고운동 1330</t>
        </is>
      </c>
      <c r="B62" s="3" t="inlineStr">
        <is>
          <t>제1종전용주거지역</t>
        </is>
      </c>
      <c r="C62" s="3" t="inlineStr">
        <is>
          <t>대</t>
        </is>
      </c>
      <c r="D62" s="3" t="inlineStr">
        <is>
          <t>대</t>
        </is>
      </c>
      <c r="E62" s="3" t="inlineStr">
        <is>
          <t>매매</t>
        </is>
      </c>
      <c r="F62" s="4" t="n">
        <v>60000</v>
      </c>
      <c r="G62" s="4" t="n">
        <v>336</v>
      </c>
      <c r="H62" s="4" t="n">
        <v>102</v>
      </c>
      <c r="I62" s="5" t="n">
        <v>588.2</v>
      </c>
      <c r="J62" s="4" t="n">
        <v>336.5</v>
      </c>
      <c r="K62" s="3" t="inlineStr">
        <is>
          <t>햇빛 잘 들고 학교, 상가 가까워 생활 편리, 조율 가능</t>
        </is>
      </c>
      <c r="L62" s="6">
        <f>HYPERLINK("https://fin.land.naver.com/articles/2644847557", "매물Link")</f>
        <v/>
      </c>
      <c r="M62" s="6">
        <f>HYPERLINK("https://map.naver.com/p/search/세종특별자치시 고운동 1330", "지도Link")</f>
        <v/>
      </c>
      <c r="N62" s="6">
        <f>HYPERLINK("http://www.eum.go.kr/web/ar/lu/luLandDet.jsp?pnu=3611011200113300000&amp;isNoScr=script&amp;mode=search", "토지이음")</f>
        <v/>
      </c>
      <c r="O62" s="3" t="inlineStr">
        <is>
          <t>온뜰</t>
        </is>
      </c>
      <c r="P62" s="3" t="n">
        <v>1</v>
      </c>
      <c r="Q62" s="3" t="n">
        <v>336.7</v>
      </c>
      <c r="R62" s="3" t="inlineStr">
        <is>
          <t>지정되지않음</t>
        </is>
      </c>
      <c r="S62" s="3" t="inlineStr">
        <is>
          <t>주거나지</t>
        </is>
      </c>
      <c r="T62" s="3" t="inlineStr">
        <is>
          <t>평지</t>
        </is>
      </c>
      <c r="U62" s="3" t="inlineStr">
        <is>
          <t>세로장방</t>
        </is>
      </c>
      <c r="V62" s="3" t="inlineStr">
        <is>
          <t>소로한면</t>
        </is>
      </c>
    </row>
    <row r="63">
      <c r="A63" s="3" t="inlineStr">
        <is>
          <t>세종특별자치시 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코너각지 위치 좋은 단독주택지</t>
        </is>
      </c>
      <c r="L63" s="6">
        <f>HYPERLINK("https://fin.land.naver.com/articles/2649698053", "매물Link")</f>
        <v/>
      </c>
      <c r="M63" s="6">
        <f>HYPERLINK("https://map.naver.com/p/search/세종특별자치시 고운동 1331", "지도Link")</f>
        <v/>
      </c>
      <c r="N63" s="6">
        <f>HYPERLINK("http://www.eum.go.kr/web/ar/lu/luLandDet.jsp?pnu=3611011200113310000&amp;isNoScr=script&amp;mode=search", "토지이음")</f>
        <v/>
      </c>
      <c r="O63" s="3" t="inlineStr">
        <is>
          <t>온뜰</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세종특별자치시 고운동 1331</t>
        </is>
      </c>
      <c r="B64" s="3" t="inlineStr">
        <is>
          <t>제1종전용주거지역</t>
        </is>
      </c>
      <c r="C64" s="3" t="inlineStr">
        <is>
          <t>대</t>
        </is>
      </c>
      <c r="D64" s="3" t="inlineStr">
        <is>
          <t>대</t>
        </is>
      </c>
      <c r="E64" s="3" t="inlineStr">
        <is>
          <t>매매</t>
        </is>
      </c>
      <c r="F64" s="4" t="n">
        <v>60000</v>
      </c>
      <c r="G64" s="4" t="n">
        <v>333</v>
      </c>
      <c r="H64" s="4" t="n">
        <v>101</v>
      </c>
      <c r="I64" s="5" t="n">
        <v>594.1</v>
      </c>
      <c r="J64" s="4" t="n">
        <v>380.2</v>
      </c>
      <c r="K64" s="3" t="inlineStr">
        <is>
          <t>급매 추가조율가능 남향 코너각지</t>
        </is>
      </c>
      <c r="L64" s="6">
        <f>HYPERLINK("https://fin.land.naver.com/articles/2644917611", "매물Link")</f>
        <v/>
      </c>
      <c r="M64" s="6">
        <f>HYPERLINK("https://map.naver.com/p/search/세종특별자치시 고운동 1331", "지도Link")</f>
        <v/>
      </c>
      <c r="N64" s="6">
        <f>HYPERLINK("http://www.eum.go.kr/web/ar/lu/luLandDet.jsp?pnu=3611011200113310000&amp;isNoScr=script&amp;mode=search", "토지이음")</f>
        <v/>
      </c>
      <c r="O64" s="3" t="inlineStr">
        <is>
          <t>세종스타</t>
        </is>
      </c>
      <c r="P64" s="3" t="n">
        <v>1</v>
      </c>
      <c r="Q64" s="3" t="n">
        <v>333.6</v>
      </c>
      <c r="R64" s="3" t="inlineStr">
        <is>
          <t>지정되지않음</t>
        </is>
      </c>
      <c r="S64" s="3" t="inlineStr">
        <is>
          <t>주거나지</t>
        </is>
      </c>
      <c r="T64" s="3" t="inlineStr">
        <is>
          <t>평지</t>
        </is>
      </c>
      <c r="U64" s="3" t="inlineStr">
        <is>
          <t>가로장방</t>
        </is>
      </c>
      <c r="V64" s="3" t="inlineStr">
        <is>
          <t>중로각지</t>
        </is>
      </c>
    </row>
    <row r="65">
      <c r="A65" s="3" t="inlineStr">
        <is>
          <t>세종특별자치시 고운동 1334</t>
        </is>
      </c>
      <c r="B65" s="3" t="inlineStr">
        <is>
          <t>제1종전용주거지역</t>
        </is>
      </c>
      <c r="C65" s="3" t="inlineStr">
        <is>
          <t>대</t>
        </is>
      </c>
      <c r="D65" s="3" t="inlineStr">
        <is>
          <t>대</t>
        </is>
      </c>
      <c r="E65" s="3" t="inlineStr">
        <is>
          <t>매매</t>
        </is>
      </c>
      <c r="F65" s="4" t="n">
        <v>43000</v>
      </c>
      <c r="G65" s="4" t="n">
        <v>329</v>
      </c>
      <c r="H65" s="4" t="n">
        <v>100</v>
      </c>
      <c r="I65" s="5" t="n">
        <v>430</v>
      </c>
      <c r="J65" s="4" t="n">
        <v>336.5</v>
      </c>
      <c r="K65" s="3" t="inlineStr">
        <is>
          <t>급매 채광좋음 보행로접함</t>
        </is>
      </c>
      <c r="L65" s="6">
        <f>HYPERLINK("https://fin.land.naver.com/articles/2650193279", "매물Link")</f>
        <v/>
      </c>
      <c r="M65" s="6">
        <f>HYPERLINK("https://map.naver.com/p/search/세종특별자치시 고운동 1334", "지도Link")</f>
        <v/>
      </c>
      <c r="N65" s="6">
        <f>HYPERLINK("http://www.eum.go.kr/web/ar/lu/luLandDet.jsp?pnu=3611011200113340000&amp;isNoScr=script&amp;mode=search", "토지이음")</f>
        <v/>
      </c>
      <c r="O65" s="3" t="inlineStr">
        <is>
          <t>파트너</t>
        </is>
      </c>
      <c r="P65" s="3" t="n">
        <v>1</v>
      </c>
      <c r="Q65" s="3" t="n">
        <v>329.7</v>
      </c>
      <c r="R65" s="3" t="inlineStr">
        <is>
          <t>지정되지않음</t>
        </is>
      </c>
      <c r="S65" s="3" t="inlineStr">
        <is>
          <t>주거나지</t>
        </is>
      </c>
      <c r="T65" s="3" t="inlineStr">
        <is>
          <t>평지</t>
        </is>
      </c>
      <c r="U65" s="3" t="inlineStr">
        <is>
          <t>세로장방</t>
        </is>
      </c>
      <c r="V65" s="3" t="inlineStr">
        <is>
          <t>소로한면</t>
        </is>
      </c>
    </row>
    <row r="66">
      <c r="A66" s="3" t="inlineStr">
        <is>
          <t>세종특별자치시 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HYPERLINK("https://map.naver.com/p/search/세종특별자치시 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세종특별자치시 고운동 1343</t>
        </is>
      </c>
      <c r="B67" s="3" t="inlineStr">
        <is>
          <t>제1종전용주거지역</t>
        </is>
      </c>
      <c r="C67" s="3" t="inlineStr">
        <is>
          <t>대</t>
        </is>
      </c>
      <c r="D67" s="3" t="inlineStr">
        <is>
          <t>대</t>
        </is>
      </c>
      <c r="E67" s="3" t="inlineStr">
        <is>
          <t>매매</t>
        </is>
      </c>
      <c r="F67" s="4" t="n">
        <v>80000</v>
      </c>
      <c r="G67" s="4" t="n">
        <v>386</v>
      </c>
      <c r="H67" s="4" t="n">
        <v>117</v>
      </c>
      <c r="I67" s="5" t="n">
        <v>683.8</v>
      </c>
      <c r="J67" s="4" t="n">
        <v>349.4</v>
      </c>
      <c r="K67" s="3" t="inlineStr">
        <is>
          <t>넓은 평수 3면 도로접 개방감 최고, 학교 아파트 상가 가까워 생활편리</t>
        </is>
      </c>
      <c r="L67" s="6">
        <f>HYPERLINK("https://fin.land.naver.com/articles/2649698505", "매물Link")</f>
        <v/>
      </c>
      <c r="M67" s="6">
        <f>HYPERLINK("https://map.naver.com/p/search/세종특별자치시 고운동 1343", "지도Link")</f>
        <v/>
      </c>
      <c r="N67" s="6">
        <f>HYPERLINK("http://www.eum.go.kr/web/ar/lu/luLandDet.jsp?pnu=3611011200113430000&amp;isNoScr=script&amp;mode=search", "토지이음")</f>
        <v/>
      </c>
      <c r="O67" s="3" t="inlineStr">
        <is>
          <t>온뜰</t>
        </is>
      </c>
      <c r="P67" s="3" t="n">
        <v>1</v>
      </c>
      <c r="Q67" s="3" t="n">
        <v>386.8</v>
      </c>
      <c r="R67" s="3" t="inlineStr">
        <is>
          <t>지정되지않음</t>
        </is>
      </c>
      <c r="S67" s="3" t="inlineStr">
        <is>
          <t>주거나지</t>
        </is>
      </c>
      <c r="T67" s="3" t="inlineStr">
        <is>
          <t>평지</t>
        </is>
      </c>
      <c r="U67" s="3" t="inlineStr">
        <is>
          <t>사다리형</t>
        </is>
      </c>
      <c r="V67" s="3" t="inlineStr">
        <is>
          <t>소로각지</t>
        </is>
      </c>
    </row>
    <row r="68">
      <c r="A68" s="3" t="inlineStr">
        <is>
          <t>세종특별자치시 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HYPERLINK("https://map.naver.com/p/search/세종특별자치시 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세종특별자치시 고운동 1344</t>
        </is>
      </c>
      <c r="B69" s="3" t="inlineStr">
        <is>
          <t>제1종전용주거지역</t>
        </is>
      </c>
      <c r="C69" s="3" t="inlineStr">
        <is>
          <t>대</t>
        </is>
      </c>
      <c r="D69" s="3" t="inlineStr">
        <is>
          <t>대</t>
        </is>
      </c>
      <c r="E69" s="3" t="inlineStr">
        <is>
          <t>매매</t>
        </is>
      </c>
      <c r="F69" s="4" t="n">
        <v>64000</v>
      </c>
      <c r="G69" s="4" t="n">
        <v>348</v>
      </c>
      <c r="H69" s="4" t="n">
        <v>105</v>
      </c>
      <c r="I69" s="5" t="n">
        <v>609.5</v>
      </c>
      <c r="J69" s="4" t="n">
        <v>332.9</v>
      </c>
      <c r="K69" s="3" t="inlineStr">
        <is>
          <t>총 105.7p, 정남향, 상가인근 토지</t>
        </is>
      </c>
      <c r="L69" s="6">
        <f>HYPERLINK("https://fin.land.naver.com/articles/2647420830", "매물Link")</f>
        <v/>
      </c>
      <c r="M69" s="6">
        <f>HYPERLINK("https://map.naver.com/p/search/세종특별자치시 고운동 1344", "지도Link")</f>
        <v/>
      </c>
      <c r="N69" s="6">
        <f>HYPERLINK("http://www.eum.go.kr/web/ar/lu/luLandDet.jsp?pnu=3611011200113440000&amp;isNoScr=script&amp;mode=search", "토지이음")</f>
        <v/>
      </c>
      <c r="O69" s="3" t="inlineStr">
        <is>
          <t>명진</t>
        </is>
      </c>
      <c r="P69" s="3" t="n">
        <v>1</v>
      </c>
      <c r="Q69" s="3" t="n">
        <v>348.8</v>
      </c>
      <c r="R69" s="3" t="inlineStr">
        <is>
          <t>지정되지않음</t>
        </is>
      </c>
      <c r="S69" s="3" t="inlineStr">
        <is>
          <t>주거나지</t>
        </is>
      </c>
      <c r="T69" s="3" t="inlineStr">
        <is>
          <t>평지</t>
        </is>
      </c>
      <c r="U69" s="3" t="inlineStr">
        <is>
          <t>사다리형</t>
        </is>
      </c>
      <c r="V69" s="3" t="inlineStr">
        <is>
          <t>소로한면</t>
        </is>
      </c>
    </row>
    <row r="70">
      <c r="A70" s="3" t="inlineStr">
        <is>
          <t>세종특별자치시 고운동 1433</t>
        </is>
      </c>
      <c r="B70" s="3" t="inlineStr">
        <is>
          <t>제1종전용주거지역</t>
        </is>
      </c>
      <c r="C70" s="3" t="inlineStr">
        <is>
          <t>대</t>
        </is>
      </c>
      <c r="D70" s="3" t="inlineStr">
        <is>
          <t>대</t>
        </is>
      </c>
      <c r="E70" s="3" t="inlineStr">
        <is>
          <t>매매</t>
        </is>
      </c>
      <c r="F70" s="4" t="n">
        <v>65000</v>
      </c>
      <c r="G70" s="4" t="n">
        <v>334</v>
      </c>
      <c r="H70" s="4" t="n">
        <v>101</v>
      </c>
      <c r="I70" s="5" t="n">
        <v>643.6</v>
      </c>
      <c r="J70" s="4" t="n">
        <v>334.9</v>
      </c>
      <c r="K70" s="3" t="inlineStr">
        <is>
          <t>nan</t>
        </is>
      </c>
      <c r="L70" s="6">
        <f>HYPERLINK("https://fin.land.naver.com/articles/2649619098", "매물Link")</f>
        <v/>
      </c>
      <c r="M70" s="6">
        <f>HYPERLINK("https://map.naver.com/p/search/세종특별자치시 고운동 1433", "지도Link")</f>
        <v/>
      </c>
      <c r="N70" s="6">
        <f>HYPERLINK("http://www.eum.go.kr/web/ar/lu/luLandDet.jsp?pnu=3611011200114330000&amp;isNoScr=script&amp;mode=search", "토지이음")</f>
        <v/>
      </c>
      <c r="O70" s="3" t="inlineStr">
        <is>
          <t>세종스타</t>
        </is>
      </c>
      <c r="P70" s="3" t="n">
        <v>2</v>
      </c>
      <c r="Q70" s="3" t="n">
        <v>334</v>
      </c>
      <c r="R70" s="3" t="inlineStr">
        <is>
          <t>지정되지않음</t>
        </is>
      </c>
      <c r="S70" s="3" t="inlineStr">
        <is>
          <t>주거나지</t>
        </is>
      </c>
      <c r="T70" s="3" t="inlineStr">
        <is>
          <t>평지</t>
        </is>
      </c>
      <c r="U70" s="3" t="inlineStr">
        <is>
          <t>가로장방</t>
        </is>
      </c>
      <c r="V70" s="3" t="inlineStr">
        <is>
          <t>소로한면</t>
        </is>
      </c>
    </row>
    <row r="71">
      <c r="A71" s="3" t="inlineStr">
        <is>
          <t>세종특별자치시 고운동 1462</t>
        </is>
      </c>
      <c r="B71" s="3" t="inlineStr">
        <is>
          <t>제1종전용주거지역</t>
        </is>
      </c>
      <c r="C71" s="3" t="inlineStr">
        <is>
          <t>대</t>
        </is>
      </c>
      <c r="D71" s="3" t="inlineStr">
        <is>
          <t>대</t>
        </is>
      </c>
      <c r="E71" s="3" t="inlineStr">
        <is>
          <t>매매</t>
        </is>
      </c>
      <c r="F71" s="4" t="n">
        <v>60000</v>
      </c>
      <c r="G71" s="4" t="n">
        <v>358</v>
      </c>
      <c r="H71" s="4" t="n">
        <v>108</v>
      </c>
      <c r="I71" s="5" t="n">
        <v>555.6</v>
      </c>
      <c r="J71" s="4" t="n">
        <v>334.9</v>
      </c>
      <c r="K71" s="3" t="inlineStr">
        <is>
          <t>조율가능 넓은평수 지대높음</t>
        </is>
      </c>
      <c r="L71" s="6">
        <f>HYPERLINK("https://fin.land.naver.com/articles/2648615564", "매물Link")</f>
        <v/>
      </c>
      <c r="M71" s="6">
        <f>HYPERLINK("https://map.naver.com/p/search/세종특별자치시 고운동 1462", "지도Link")</f>
        <v/>
      </c>
      <c r="N71" s="6">
        <f>HYPERLINK("http://www.eum.go.kr/web/ar/lu/luLandDet.jsp?pnu=3611011200114620000&amp;isNoScr=script&amp;mode=search", "토지이음")</f>
        <v/>
      </c>
      <c r="O71" s="3" t="inlineStr">
        <is>
          <t>세종스타</t>
        </is>
      </c>
      <c r="P71" s="3" t="n">
        <v>2</v>
      </c>
      <c r="Q71" s="3" t="n">
        <v>358</v>
      </c>
      <c r="R71" s="3" t="inlineStr">
        <is>
          <t>지정되지않음</t>
        </is>
      </c>
      <c r="S71" s="3" t="inlineStr">
        <is>
          <t>주거나지</t>
        </is>
      </c>
      <c r="T71" s="3" t="inlineStr">
        <is>
          <t>평지</t>
        </is>
      </c>
      <c r="U71" s="3" t="inlineStr">
        <is>
          <t>정방형</t>
        </is>
      </c>
      <c r="V71" s="3" t="inlineStr">
        <is>
          <t>소로한면</t>
        </is>
      </c>
    </row>
    <row r="72">
      <c r="A72" s="3" t="inlineStr">
        <is>
          <t>세종특별자치시 고운동 1463</t>
        </is>
      </c>
      <c r="B72" s="3" t="inlineStr">
        <is>
          <t>제1종전용주거지역</t>
        </is>
      </c>
      <c r="C72" s="3" t="inlineStr">
        <is>
          <t>대</t>
        </is>
      </c>
      <c r="D72" s="3" t="inlineStr">
        <is>
          <t>대</t>
        </is>
      </c>
      <c r="E72" s="3" t="inlineStr">
        <is>
          <t>매매</t>
        </is>
      </c>
      <c r="F72" s="4" t="n">
        <v>69000</v>
      </c>
      <c r="G72" s="4" t="n">
        <v>356</v>
      </c>
      <c r="H72" s="4" t="n">
        <v>108</v>
      </c>
      <c r="I72" s="5" t="n">
        <v>638.9</v>
      </c>
      <c r="J72" s="4" t="n">
        <v>334.9</v>
      </c>
      <c r="K72" s="3" t="inlineStr">
        <is>
          <t>고운동 단독주택지 저렴한 매물</t>
        </is>
      </c>
      <c r="L72" s="6">
        <f>HYPERLINK("https://fin.land.naver.com/articles/2648967212", "매물Link")</f>
        <v/>
      </c>
      <c r="M72" s="6">
        <f>HYPERLINK("https://map.naver.com/p/search/세종특별자치시 고운동 1463", "지도Link")</f>
        <v/>
      </c>
      <c r="N72" s="6">
        <f>HYPERLINK("http://www.eum.go.kr/web/ar/lu/luLandDet.jsp?pnu=3611011200114630000&amp;isNoScr=script&amp;mode=search", "토지이음")</f>
        <v/>
      </c>
      <c r="O72" s="3" t="inlineStr">
        <is>
          <t>명품시티</t>
        </is>
      </c>
      <c r="P72" s="3" t="n">
        <v>1</v>
      </c>
      <c r="Q72" s="3" t="n">
        <v>356</v>
      </c>
      <c r="R72" s="3" t="inlineStr">
        <is>
          <t>지정되지않음</t>
        </is>
      </c>
      <c r="S72" s="3" t="inlineStr">
        <is>
          <t>주거나지</t>
        </is>
      </c>
      <c r="T72" s="3" t="inlineStr">
        <is>
          <t>평지</t>
        </is>
      </c>
      <c r="U72" s="3" t="inlineStr">
        <is>
          <t>정방형</t>
        </is>
      </c>
      <c r="V72" s="3" t="inlineStr">
        <is>
          <t>소로한면</t>
        </is>
      </c>
    </row>
    <row r="73">
      <c r="A73" s="3" t="inlineStr">
        <is>
          <t>세종특별자치시 고운동 1464</t>
        </is>
      </c>
      <c r="B73" s="3" t="inlineStr">
        <is>
          <t>제1종전용주거지역</t>
        </is>
      </c>
      <c r="C73" s="3" t="inlineStr">
        <is>
          <t>대</t>
        </is>
      </c>
      <c r="D73" s="3" t="inlineStr">
        <is>
          <t>대</t>
        </is>
      </c>
      <c r="E73" s="3" t="inlineStr">
        <is>
          <t>매매</t>
        </is>
      </c>
      <c r="F73" s="4" t="n">
        <v>60000</v>
      </c>
      <c r="G73" s="4" t="n">
        <v>357</v>
      </c>
      <c r="H73" s="4" t="n">
        <v>108</v>
      </c>
      <c r="I73" s="5" t="n">
        <v>555.6</v>
      </c>
      <c r="J73" s="4" t="n">
        <v>334.9</v>
      </c>
      <c r="K73" s="3" t="inlineStr">
        <is>
          <t>급매 우측시유지 넓은접함 조율가능</t>
        </is>
      </c>
      <c r="L73" s="6">
        <f>HYPERLINK("https://fin.land.naver.com/articles/2644909011", "매물Link")</f>
        <v/>
      </c>
      <c r="M73" s="6">
        <f>HYPERLINK("https://map.naver.com/p/search/세종특별자치시 고운동 1464", "지도Link")</f>
        <v/>
      </c>
      <c r="N73" s="6">
        <f>HYPERLINK("http://www.eum.go.kr/web/ar/lu/luLandDet.jsp?pnu=3611011200114640000&amp;isNoScr=script&amp;mode=search", "토지이음")</f>
        <v/>
      </c>
      <c r="O73" s="3" t="inlineStr">
        <is>
          <t>세종스타</t>
        </is>
      </c>
      <c r="P73" s="3" t="n">
        <v>1</v>
      </c>
      <c r="Q73" s="3" t="n">
        <v>357</v>
      </c>
      <c r="R73" s="3" t="inlineStr">
        <is>
          <t>지정되지않음</t>
        </is>
      </c>
      <c r="S73" s="3" t="inlineStr">
        <is>
          <t>주거나지</t>
        </is>
      </c>
      <c r="T73" s="3" t="inlineStr">
        <is>
          <t>평지</t>
        </is>
      </c>
      <c r="U73" s="3" t="inlineStr">
        <is>
          <t>정방형</t>
        </is>
      </c>
      <c r="V73" s="3" t="inlineStr">
        <is>
          <t>소로한면</t>
        </is>
      </c>
    </row>
    <row r="74">
      <c r="A74" s="3" t="inlineStr">
        <is>
          <t>세종특별자치시 고운동 1491</t>
        </is>
      </c>
      <c r="B74" s="3" t="inlineStr">
        <is>
          <t>제1종전용주거지역</t>
        </is>
      </c>
      <c r="C74" s="3" t="inlineStr">
        <is>
          <t>대</t>
        </is>
      </c>
      <c r="D74" s="3" t="inlineStr">
        <is>
          <t>대</t>
        </is>
      </c>
      <c r="E74" s="3" t="inlineStr">
        <is>
          <t>매매</t>
        </is>
      </c>
      <c r="F74" s="4" t="n">
        <v>60000</v>
      </c>
      <c r="G74" s="4" t="n">
        <v>325</v>
      </c>
      <c r="H74" s="4" t="n">
        <v>98</v>
      </c>
      <c r="I74" s="5" t="n">
        <v>612.2</v>
      </c>
      <c r="J74" s="4" t="n">
        <v>351.4</v>
      </c>
      <c r="K74" s="3" t="inlineStr">
        <is>
          <t>코너각지로 상가와복컴,학교가까운 위치좋은택지</t>
        </is>
      </c>
      <c r="L74" s="6">
        <f>HYPERLINK("https://fin.land.naver.com/articles/2649416314", "매물Link")</f>
        <v/>
      </c>
      <c r="M74" s="6">
        <f>HYPERLINK("https://map.naver.com/p/search/세종특별자치시 고운동 1491", "지도Link")</f>
        <v/>
      </c>
      <c r="N74" s="6">
        <f>HYPERLINK("http://www.eum.go.kr/web/ar/lu/luLandDet.jsp?pnu=3611011200114910000&amp;isNoScr=script&amp;mode=search", "토지이음")</f>
        <v/>
      </c>
      <c r="O74" s="3" t="inlineStr">
        <is>
          <t>세종황소</t>
        </is>
      </c>
      <c r="P74" s="3" t="n">
        <v>1</v>
      </c>
      <c r="Q74" s="3" t="n">
        <v>325.6</v>
      </c>
      <c r="R74" s="3" t="inlineStr">
        <is>
          <t>지정되지않음</t>
        </is>
      </c>
      <c r="S74" s="3" t="inlineStr">
        <is>
          <t>주거나지</t>
        </is>
      </c>
      <c r="T74" s="3" t="inlineStr">
        <is>
          <t>평지</t>
        </is>
      </c>
      <c r="U74" s="3" t="inlineStr">
        <is>
          <t>정방형</t>
        </is>
      </c>
      <c r="V74" s="3" t="inlineStr">
        <is>
          <t>소로각지</t>
        </is>
      </c>
    </row>
    <row r="75">
      <c r="A75" s="3" t="inlineStr">
        <is>
          <t>세종특별자치시 고운동 1524</t>
        </is>
      </c>
      <c r="B75" s="3" t="inlineStr">
        <is>
          <t>제1종전용주거지역</t>
        </is>
      </c>
      <c r="C75" s="3" t="inlineStr">
        <is>
          <t>대</t>
        </is>
      </c>
      <c r="D75" s="3" t="inlineStr">
        <is>
          <t>대</t>
        </is>
      </c>
      <c r="E75" s="3" t="inlineStr">
        <is>
          <t>매매</t>
        </is>
      </c>
      <c r="F75" s="4" t="n">
        <v>112000</v>
      </c>
      <c r="G75" s="4" t="n">
        <v>409</v>
      </c>
      <c r="H75" s="4" t="n">
        <v>124</v>
      </c>
      <c r="I75" s="5" t="n">
        <v>903.2</v>
      </c>
      <c r="J75" s="4" t="n">
        <v>787.1</v>
      </c>
      <c r="K75" s="3" t="inlineStr">
        <is>
          <t>급매 고운동 귀한 근생용지 매매 서두르세요</t>
        </is>
      </c>
      <c r="L75" s="6">
        <f>HYPERLINK("https://fin.land.naver.com/articles/2649795902", "매물Link")</f>
        <v/>
      </c>
      <c r="M75" s="6">
        <f>HYPERLINK("https://map.naver.com/p/search/세종특별자치시 고운동 1524", "지도Link")</f>
        <v/>
      </c>
      <c r="N75" s="6">
        <f>HYPERLINK("http://www.eum.go.kr/web/ar/lu/luLandDet.jsp?pnu=3611011200115240000&amp;isNoScr=script&amp;mode=search", "토지이음")</f>
        <v/>
      </c>
      <c r="O75" s="3" t="inlineStr">
        <is>
          <t>국제</t>
        </is>
      </c>
      <c r="P75" s="3" t="n">
        <v>3</v>
      </c>
      <c r="Q75" s="3" t="n">
        <v>409.3</v>
      </c>
      <c r="R75" s="3" t="inlineStr">
        <is>
          <t>지정되지않음</t>
        </is>
      </c>
      <c r="S75" s="3" t="inlineStr">
        <is>
          <t>상업용</t>
        </is>
      </c>
      <c r="T75" s="3" t="inlineStr">
        <is>
          <t>평지</t>
        </is>
      </c>
      <c r="U75" s="3" t="inlineStr">
        <is>
          <t>가로장방</t>
        </is>
      </c>
      <c r="V75" s="3" t="inlineStr">
        <is>
          <t>중로한면</t>
        </is>
      </c>
    </row>
    <row r="76">
      <c r="A76" s="3" t="inlineStr">
        <is>
          <t>세종특별자치시 고운동 1531</t>
        </is>
      </c>
      <c r="B76" s="3" t="inlineStr">
        <is>
          <t>제1종전용주거지역</t>
        </is>
      </c>
      <c r="C76" s="3" t="inlineStr">
        <is>
          <t>대</t>
        </is>
      </c>
      <c r="D76" s="3" t="inlineStr">
        <is>
          <t>대</t>
        </is>
      </c>
      <c r="E76" s="3" t="inlineStr">
        <is>
          <t>매매</t>
        </is>
      </c>
      <c r="F76" s="4" t="n">
        <v>99000</v>
      </c>
      <c r="G76" s="4" t="n">
        <v>361</v>
      </c>
      <c r="H76" s="4" t="n">
        <v>109</v>
      </c>
      <c r="I76" s="5" t="n">
        <v>908.3</v>
      </c>
      <c r="J76" s="4" t="n">
        <v>771.9</v>
      </c>
      <c r="K76" s="3" t="inlineStr">
        <is>
          <t>I 급매 I 먹자골목 메인 대로변 파격 급매 근생용지, 직접 지어서 운영</t>
        </is>
      </c>
      <c r="L76" s="6">
        <f>HYPERLINK("https://fin.land.naver.com/articles/2648523071", "매물Link")</f>
        <v/>
      </c>
      <c r="M76" s="6">
        <f>HYPERLINK("https://map.naver.com/p/search/세종특별자치시 고운동 1531", "지도Link")</f>
        <v/>
      </c>
      <c r="N76" s="6">
        <f>HYPERLINK("http://www.eum.go.kr/web/ar/lu/luLandDet.jsp?pnu=3611011200115310000&amp;isNoScr=script&amp;mode=search", "토지이음")</f>
        <v/>
      </c>
      <c r="O76" s="3" t="inlineStr">
        <is>
          <t>세종신한</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세종특별자치시 고운동 1531</t>
        </is>
      </c>
      <c r="B77" s="3" t="inlineStr">
        <is>
          <t>제1종전용주거지역</t>
        </is>
      </c>
      <c r="C77" s="3" t="inlineStr">
        <is>
          <t>대</t>
        </is>
      </c>
      <c r="D77" s="3" t="inlineStr">
        <is>
          <t>대</t>
        </is>
      </c>
      <c r="E77" s="3" t="inlineStr">
        <is>
          <t>매매</t>
        </is>
      </c>
      <c r="F77" s="4" t="n">
        <v>110000</v>
      </c>
      <c r="G77" s="4" t="n">
        <v>361</v>
      </c>
      <c r="H77" s="4" t="n">
        <v>109</v>
      </c>
      <c r="I77" s="5" t="n">
        <v>1009.2</v>
      </c>
      <c r="J77" s="4" t="n">
        <v>771.9</v>
      </c>
      <c r="K77" s="3" t="inlineStr">
        <is>
          <t>대로변 근생부지 매매</t>
        </is>
      </c>
      <c r="L77" s="6">
        <f>HYPERLINK("https://fin.land.naver.com/articles/2646339339", "매물Link")</f>
        <v/>
      </c>
      <c r="M77" s="6">
        <f>HYPERLINK("https://map.naver.com/p/search/세종특별자치시 고운동 1531", "지도Link")</f>
        <v/>
      </c>
      <c r="N77" s="6">
        <f>HYPERLINK("http://www.eum.go.kr/web/ar/lu/luLandDet.jsp?pnu=3611011200115310000&amp;isNoScr=script&amp;mode=search", "토지이음")</f>
        <v/>
      </c>
      <c r="O77" s="3" t="inlineStr">
        <is>
          <t>창고의여왕</t>
        </is>
      </c>
      <c r="P77" s="3" t="n">
        <v>1</v>
      </c>
      <c r="Q77" s="3" t="n">
        <v>361.8</v>
      </c>
      <c r="R77" s="3" t="inlineStr">
        <is>
          <t>지정되지않음</t>
        </is>
      </c>
      <c r="S77" s="3" t="inlineStr">
        <is>
          <t>상업나지</t>
        </is>
      </c>
      <c r="T77" s="3" t="inlineStr">
        <is>
          <t>평지</t>
        </is>
      </c>
      <c r="U77" s="3" t="inlineStr">
        <is>
          <t>정방형</t>
        </is>
      </c>
      <c r="V77" s="3" t="inlineStr">
        <is>
          <t>중로한면</t>
        </is>
      </c>
    </row>
    <row r="78">
      <c r="A78" s="3" t="inlineStr">
        <is>
          <t>세종특별자치시 고운동 1539</t>
        </is>
      </c>
      <c r="B78" s="3" t="inlineStr">
        <is>
          <t>제1종전용주거지역</t>
        </is>
      </c>
      <c r="C78" s="3" t="inlineStr">
        <is>
          <t>대</t>
        </is>
      </c>
      <c r="D78" s="3" t="inlineStr">
        <is>
          <t>대</t>
        </is>
      </c>
      <c r="E78" s="3" t="inlineStr">
        <is>
          <t>매매</t>
        </is>
      </c>
      <c r="F78" s="4" t="n">
        <v>50000</v>
      </c>
      <c r="G78" s="4" t="n">
        <v>377</v>
      </c>
      <c r="H78" s="4" t="n">
        <v>114</v>
      </c>
      <c r="I78" s="5" t="n">
        <v>438.6</v>
      </c>
      <c r="J78" s="4" t="n">
        <v>340.2</v>
      </c>
      <c r="K78" s="3" t="inlineStr">
        <is>
          <t>급매 추가조율협의됨 넓은필지</t>
        </is>
      </c>
      <c r="L78" s="6">
        <f>HYPERLINK("https://fin.land.naver.com/articles/2644917560", "매물Link")</f>
        <v/>
      </c>
      <c r="M78" s="6">
        <f>HYPERLINK("https://map.naver.com/p/search/세종특별자치시 고운동 1539", "지도Link")</f>
        <v/>
      </c>
      <c r="N78" s="6">
        <f>HYPERLINK("http://www.eum.go.kr/web/ar/lu/luLandDet.jsp?pnu=3611011200115390000&amp;isNoScr=script&amp;mode=search", "토지이음")</f>
        <v/>
      </c>
      <c r="O78" s="3" t="inlineStr">
        <is>
          <t>세종스타</t>
        </is>
      </c>
      <c r="P78" s="3" t="n">
        <v>1</v>
      </c>
      <c r="Q78" s="3" t="n">
        <v>377.1</v>
      </c>
      <c r="R78" s="3" t="inlineStr">
        <is>
          <t>지정되지않음</t>
        </is>
      </c>
      <c r="S78" s="3" t="inlineStr">
        <is>
          <t>주거나지</t>
        </is>
      </c>
      <c r="T78" s="3" t="inlineStr">
        <is>
          <t>평지</t>
        </is>
      </c>
      <c r="U78" s="3" t="inlineStr">
        <is>
          <t>가로장방</t>
        </is>
      </c>
      <c r="V78" s="3" t="inlineStr">
        <is>
          <t>소로각지</t>
        </is>
      </c>
    </row>
    <row r="79">
      <c r="A79" s="3" t="inlineStr">
        <is>
          <t>세종특별자치시 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HYPERLINK("https://map.naver.com/p/search/세종특별자치시 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세종특별자치시 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총 119.9p, 상가인근토지, 삼거리 위치</t>
        </is>
      </c>
      <c r="L80" s="6">
        <f>HYPERLINK("https://fin.land.naver.com/articles/2646696906", "매물Link")</f>
        <v/>
      </c>
      <c r="M80" s="6">
        <f>HYPERLINK("https://map.naver.com/p/search/세종특별자치시 고운동 1551", "지도Link")</f>
        <v/>
      </c>
      <c r="N80" s="6">
        <f>HYPERLINK("http://www.eum.go.kr/web/ar/lu/luLandDet.jsp?pnu=3611011200115510000&amp;isNoScr=script&amp;mode=search", "토지이음")</f>
        <v/>
      </c>
      <c r="O80" s="3" t="inlineStr">
        <is>
          <t>세종무지개</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세종특별자치시 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HYPERLINK("https://map.naver.com/p/search/세종특별자치시 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세종특별자치시 고운동 1551</t>
        </is>
      </c>
      <c r="B82" s="3" t="inlineStr">
        <is>
          <t>제1종전용주거지역</t>
        </is>
      </c>
      <c r="C82" s="3" t="inlineStr">
        <is>
          <t>대</t>
        </is>
      </c>
      <c r="D82" s="3" t="inlineStr">
        <is>
          <t>대</t>
        </is>
      </c>
      <c r="E82" s="3" t="inlineStr">
        <is>
          <t>매매</t>
        </is>
      </c>
      <c r="F82" s="4" t="n">
        <v>50000</v>
      </c>
      <c r="G82" s="4" t="n">
        <v>395</v>
      </c>
      <c r="H82" s="4" t="n">
        <v>119</v>
      </c>
      <c r="I82" s="5" t="n">
        <v>420.2</v>
      </c>
      <c r="J82" s="4" t="n">
        <v>324.2</v>
      </c>
      <c r="K82" s="3" t="inlineStr">
        <is>
          <t>nan</t>
        </is>
      </c>
      <c r="L82" s="6">
        <f>HYPERLINK("https://fin.land.naver.com/articles/2648898784", "매물Link")</f>
        <v/>
      </c>
      <c r="M82" s="6">
        <f>HYPERLINK("https://map.naver.com/p/search/세종특별자치시 고운동 1551", "지도Link")</f>
        <v/>
      </c>
      <c r="N82" s="6">
        <f>HYPERLINK("http://www.eum.go.kr/web/ar/lu/luLandDet.jsp?pnu=3611011200115510000&amp;isNoScr=script&amp;mode=search", "토지이음")</f>
        <v/>
      </c>
      <c r="O82" s="3" t="inlineStr">
        <is>
          <t>명진</t>
        </is>
      </c>
      <c r="P82" s="3" t="n">
        <v>1</v>
      </c>
      <c r="Q82" s="3" t="n">
        <v>395.6</v>
      </c>
      <c r="R82" s="3" t="inlineStr">
        <is>
          <t>지정되지않음</t>
        </is>
      </c>
      <c r="S82" s="3" t="inlineStr">
        <is>
          <t>주거나지</t>
        </is>
      </c>
      <c r="T82" s="3" t="inlineStr">
        <is>
          <t>평지</t>
        </is>
      </c>
      <c r="U82" s="3" t="inlineStr">
        <is>
          <t>가로장방</t>
        </is>
      </c>
      <c r="V82" s="3" t="inlineStr">
        <is>
          <t>소로한면</t>
        </is>
      </c>
    </row>
    <row r="83">
      <c r="A83" s="3" t="inlineStr">
        <is>
          <t>세종특별자치시 고운동 1556</t>
        </is>
      </c>
      <c r="B83" s="3" t="inlineStr">
        <is>
          <t>제1종전용주거지역</t>
        </is>
      </c>
      <c r="C83" s="3" t="inlineStr">
        <is>
          <t>대</t>
        </is>
      </c>
      <c r="D83" s="3" t="inlineStr">
        <is>
          <t>대</t>
        </is>
      </c>
      <c r="E83" s="3" t="inlineStr">
        <is>
          <t>매매</t>
        </is>
      </c>
      <c r="F83" s="4" t="n">
        <v>55000</v>
      </c>
      <c r="G83" s="4" t="n">
        <v>340</v>
      </c>
      <c r="H83" s="4" t="n">
        <v>103</v>
      </c>
      <c r="I83" s="5" t="n">
        <v>534</v>
      </c>
      <c r="J83" s="4" t="n">
        <v>322.6</v>
      </c>
      <c r="K83" s="3" t="inlineStr">
        <is>
          <t>급매.상권가까운 저렴한 택지.</t>
        </is>
      </c>
      <c r="L83" s="6">
        <f>HYPERLINK("https://fin.land.naver.com/articles/2647592924", "매물Link")</f>
        <v/>
      </c>
      <c r="M83" s="6">
        <f>HYPERLINK("https://map.naver.com/p/search/세종특별자치시 고운동 1556", "지도Link")</f>
        <v/>
      </c>
      <c r="N83" s="6">
        <f>HYPERLINK("http://www.eum.go.kr/web/ar/lu/luLandDet.jsp?pnu=3611011200115560000&amp;isNoScr=script&amp;mode=search", "토지이음")</f>
        <v/>
      </c>
      <c r="O83" s="3" t="inlineStr">
        <is>
          <t>킹</t>
        </is>
      </c>
      <c r="P83" s="3" t="n">
        <v>1</v>
      </c>
      <c r="Q83" s="3" t="n">
        <v>340.8</v>
      </c>
      <c r="R83" s="3" t="inlineStr">
        <is>
          <t>지정되지않음</t>
        </is>
      </c>
      <c r="S83" s="3" t="inlineStr">
        <is>
          <t>주거나지</t>
        </is>
      </c>
      <c r="T83" s="3" t="inlineStr">
        <is>
          <t>평지</t>
        </is>
      </c>
      <c r="U83" s="3" t="inlineStr">
        <is>
          <t>가로장방</t>
        </is>
      </c>
      <c r="V83" s="3" t="inlineStr">
        <is>
          <t>중로한면</t>
        </is>
      </c>
    </row>
    <row r="84">
      <c r="A84" s="3" t="inlineStr">
        <is>
          <t>세종특별자치시 고운동 1560</t>
        </is>
      </c>
      <c r="B84" s="3" t="inlineStr">
        <is>
          <t>제1종전용주거지역</t>
        </is>
      </c>
      <c r="C84" s="3" t="inlineStr">
        <is>
          <t>대</t>
        </is>
      </c>
      <c r="D84" s="3" t="inlineStr">
        <is>
          <t>대</t>
        </is>
      </c>
      <c r="E84" s="3" t="inlineStr">
        <is>
          <t>매매</t>
        </is>
      </c>
      <c r="F84" s="4" t="n">
        <v>65000</v>
      </c>
      <c r="G84" s="4" t="n">
        <v>342</v>
      </c>
      <c r="H84" s="4" t="n">
        <v>103</v>
      </c>
      <c r="I84" s="5" t="n">
        <v>631.1</v>
      </c>
      <c r="J84" s="4" t="n">
        <v>335.2</v>
      </c>
      <c r="K84" s="3" t="inlineStr">
        <is>
          <t>2면도로 접한 코너땅,근린상가 근접 이용편의</t>
        </is>
      </c>
      <c r="L84" s="6">
        <f>HYPERLINK("https://fin.land.naver.com/articles/2649660852", "매물Link")</f>
        <v/>
      </c>
      <c r="M84" s="6">
        <f>HYPERLINK("https://map.naver.com/p/search/세종특별자치시 고운동 1560", "지도Link")</f>
        <v/>
      </c>
      <c r="N84" s="6">
        <f>HYPERLINK("http://www.eum.go.kr/web/ar/lu/luLandDet.jsp?pnu=3611011200115600000&amp;isNoScr=script&amp;mode=search", "토지이음")</f>
        <v/>
      </c>
      <c r="O84" s="3" t="inlineStr">
        <is>
          <t>킹세종</t>
        </is>
      </c>
      <c r="P84" s="3" t="n">
        <v>2</v>
      </c>
      <c r="Q84" s="3" t="n">
        <v>342.9</v>
      </c>
      <c r="R84" s="3" t="inlineStr">
        <is>
          <t>지정되지않음</t>
        </is>
      </c>
      <c r="S84" s="3" t="inlineStr">
        <is>
          <t>주거나지</t>
        </is>
      </c>
      <c r="T84" s="3" t="inlineStr">
        <is>
          <t>평지</t>
        </is>
      </c>
      <c r="U84" s="3" t="inlineStr">
        <is>
          <t>세로장방</t>
        </is>
      </c>
      <c r="V84" s="3" t="inlineStr">
        <is>
          <t>중로각지</t>
        </is>
      </c>
    </row>
    <row r="85">
      <c r="A85" s="3" t="inlineStr">
        <is>
          <t>세종특별자치시 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108.1p, 급매, 고운동 위치좋은 토지매매</t>
        </is>
      </c>
      <c r="L85" s="6">
        <f>HYPERLINK("https://fin.land.naver.com/articles/2645492644", "매물Link")</f>
        <v/>
      </c>
      <c r="M85" s="6">
        <f>HYPERLINK("https://map.naver.com/p/search/세종특별자치시 고운동 1568", "지도Link")</f>
        <v/>
      </c>
      <c r="N85" s="6">
        <f>HYPERLINK("http://www.eum.go.kr/web/ar/lu/luLandDet.jsp?pnu=3611011200115680000&amp;isNoScr=script&amp;mode=search", "토지이음")</f>
        <v/>
      </c>
      <c r="O85" s="3" t="inlineStr">
        <is>
          <t>명진</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세종특별자치시 고운동 1568</t>
        </is>
      </c>
      <c r="B86" s="3" t="inlineStr">
        <is>
          <t>제1종전용주거지역</t>
        </is>
      </c>
      <c r="C86" s="3" t="inlineStr">
        <is>
          <t>대</t>
        </is>
      </c>
      <c r="D86" s="3" t="inlineStr">
        <is>
          <t>대</t>
        </is>
      </c>
      <c r="E86" s="3" t="inlineStr">
        <is>
          <t>매매</t>
        </is>
      </c>
      <c r="F86" s="4" t="n">
        <v>55000</v>
      </c>
      <c r="G86" s="4" t="n">
        <v>356</v>
      </c>
      <c r="H86" s="4" t="n">
        <v>108</v>
      </c>
      <c r="I86" s="5" t="n">
        <v>509.3</v>
      </c>
      <c r="J86" s="4" t="n">
        <v>324.2</v>
      </c>
      <c r="K86" s="3" t="inlineStr">
        <is>
          <t>급매, 위치좋은 토지매매, 108.1p</t>
        </is>
      </c>
      <c r="L86" s="6">
        <f>HYPERLINK("https://fin.land.naver.com/articles/2646692779", "매물Link")</f>
        <v/>
      </c>
      <c r="M86" s="6">
        <f>HYPERLINK("https://map.naver.com/p/search/세종특별자치시 고운동 1568", "지도Link")</f>
        <v/>
      </c>
      <c r="N86" s="6">
        <f>HYPERLINK("http://www.eum.go.kr/web/ar/lu/luLandDet.jsp?pnu=3611011200115680000&amp;isNoScr=script&amp;mode=search", "토지이음")</f>
        <v/>
      </c>
      <c r="O86" s="3" t="inlineStr">
        <is>
          <t>세종무지개</t>
        </is>
      </c>
      <c r="P86" s="3" t="n">
        <v>1</v>
      </c>
      <c r="Q86" s="3" t="n">
        <v>356.8</v>
      </c>
      <c r="R86" s="3" t="inlineStr">
        <is>
          <t>지정되지않음</t>
        </is>
      </c>
      <c r="S86" s="3" t="inlineStr">
        <is>
          <t>주거나지</t>
        </is>
      </c>
      <c r="T86" s="3" t="inlineStr">
        <is>
          <t>평지</t>
        </is>
      </c>
      <c r="U86" s="3" t="inlineStr">
        <is>
          <t>정방형</t>
        </is>
      </c>
      <c r="V86" s="3" t="inlineStr">
        <is>
          <t>소로한면</t>
        </is>
      </c>
    </row>
    <row r="87">
      <c r="A87" s="3" t="inlineStr">
        <is>
          <t>세종특별자치시 고운동 1578</t>
        </is>
      </c>
      <c r="B87" s="3" t="inlineStr">
        <is>
          <t>제1종전용주거지역</t>
        </is>
      </c>
      <c r="C87" s="3" t="inlineStr">
        <is>
          <t>대</t>
        </is>
      </c>
      <c r="D87" s="3" t="inlineStr">
        <is>
          <t>대</t>
        </is>
      </c>
      <c r="E87" s="3" t="inlineStr">
        <is>
          <t>매매</t>
        </is>
      </c>
      <c r="F87" s="4" t="n">
        <v>80000</v>
      </c>
      <c r="G87" s="4" t="n">
        <v>362</v>
      </c>
      <c r="H87" s="4" t="n">
        <v>110</v>
      </c>
      <c r="I87" s="5" t="n">
        <v>727.3</v>
      </c>
      <c r="J87" s="4" t="n">
        <v>340.2</v>
      </c>
      <c r="K87" s="3" t="inlineStr">
        <is>
          <t>조율가능 실개천 남향 코너각지</t>
        </is>
      </c>
      <c r="L87" s="6">
        <f>HYPERLINK("https://fin.land.naver.com/articles/2645721186", "매물Link")</f>
        <v/>
      </c>
      <c r="M87" s="6">
        <f>HYPERLINK("https://map.naver.com/p/search/세종특별자치시 고운동 1578", "지도Link")</f>
        <v/>
      </c>
      <c r="N87" s="6">
        <f>HYPERLINK("http://www.eum.go.kr/web/ar/lu/luLandDet.jsp?pnu=3611011200115780000&amp;isNoScr=script&amp;mode=search", "토지이음")</f>
        <v/>
      </c>
      <c r="O87" s="3" t="inlineStr">
        <is>
          <t>세종스타</t>
        </is>
      </c>
      <c r="P87" s="3" t="n">
        <v>1</v>
      </c>
      <c r="Q87" s="3" t="n">
        <v>362.1</v>
      </c>
      <c r="R87" s="3" t="inlineStr">
        <is>
          <t>지정되지않음</t>
        </is>
      </c>
      <c r="S87" s="3" t="inlineStr">
        <is>
          <t>주거나지</t>
        </is>
      </c>
      <c r="T87" s="3" t="inlineStr">
        <is>
          <t>평지</t>
        </is>
      </c>
      <c r="U87" s="3" t="inlineStr">
        <is>
          <t>정방형</t>
        </is>
      </c>
      <c r="V87" s="3" t="inlineStr">
        <is>
          <t>소로각지</t>
        </is>
      </c>
    </row>
    <row r="88">
      <c r="A88" s="3" t="inlineStr">
        <is>
          <t>세종특별자치시 고운동 1595</t>
        </is>
      </c>
      <c r="B88" s="3" t="inlineStr">
        <is>
          <t>제1종전용주거지역</t>
        </is>
      </c>
      <c r="C88" s="3" t="inlineStr">
        <is>
          <t>대</t>
        </is>
      </c>
      <c r="D88" s="3" t="inlineStr">
        <is>
          <t>대</t>
        </is>
      </c>
      <c r="E88" s="3" t="inlineStr">
        <is>
          <t>매매</t>
        </is>
      </c>
      <c r="F88" s="4" t="n">
        <v>53000</v>
      </c>
      <c r="G88" s="4" t="n">
        <v>393</v>
      </c>
      <c r="H88" s="4" t="n">
        <v>119</v>
      </c>
      <c r="I88" s="5" t="n">
        <v>445.4</v>
      </c>
      <c r="J88" s="4" t="n">
        <v>330.3</v>
      </c>
      <c r="K88" s="3" t="inlineStr">
        <is>
          <t>급매,학교앞 위치좋은곳,대지면적넓음</t>
        </is>
      </c>
      <c r="L88" s="6">
        <f>HYPERLINK("https://fin.land.naver.com/articles/2649455123", "매물Link")</f>
        <v/>
      </c>
      <c r="M88" s="6">
        <f>HYPERLINK("https://map.naver.com/p/search/세종특별자치시 고운동 1595", "지도Link")</f>
        <v/>
      </c>
      <c r="N88" s="6">
        <f>HYPERLINK("http://www.eum.go.kr/web/ar/lu/luLandDet.jsp?pnu=3611011200115950000&amp;isNoScr=script&amp;mode=search", "토지이음")</f>
        <v/>
      </c>
      <c r="O88" s="3" t="inlineStr">
        <is>
          <t>세종황소</t>
        </is>
      </c>
      <c r="P88" s="3" t="n">
        <v>1</v>
      </c>
      <c r="Q88" s="3" t="n">
        <v>393.6</v>
      </c>
      <c r="R88" s="3" t="inlineStr">
        <is>
          <t>지정되지않음</t>
        </is>
      </c>
      <c r="S88" s="3" t="inlineStr">
        <is>
          <t>주거나지</t>
        </is>
      </c>
      <c r="T88" s="3" t="inlineStr">
        <is>
          <t>평지</t>
        </is>
      </c>
      <c r="U88" s="3" t="inlineStr">
        <is>
          <t>부정형</t>
        </is>
      </c>
      <c r="V88" s="3" t="inlineStr">
        <is>
          <t>소로각지</t>
        </is>
      </c>
    </row>
    <row r="89">
      <c r="A89" s="3" t="inlineStr">
        <is>
          <t>세종특별자치시 고운동 1598</t>
        </is>
      </c>
      <c r="B89" s="3" t="inlineStr">
        <is>
          <t>제1종전용주거지역</t>
        </is>
      </c>
      <c r="C89" s="3" t="inlineStr">
        <is>
          <t>대</t>
        </is>
      </c>
      <c r="D89" s="3" t="inlineStr">
        <is>
          <t>대</t>
        </is>
      </c>
      <c r="E89" s="3" t="inlineStr">
        <is>
          <t>매매</t>
        </is>
      </c>
      <c r="F89" s="4" t="n">
        <v>58000</v>
      </c>
      <c r="G89" s="4" t="n">
        <v>340</v>
      </c>
      <c r="H89" s="4" t="n">
        <v>103</v>
      </c>
      <c r="I89" s="5" t="n">
        <v>563.1</v>
      </c>
      <c r="J89" s="4" t="n">
        <v>366</v>
      </c>
      <c r="K89" s="3" t="inlineStr">
        <is>
          <t>급매 3면코너각지 산조망 위치최상 조율가능</t>
        </is>
      </c>
      <c r="L89" s="6">
        <f>HYPERLINK("https://fin.land.naver.com/articles/2648615408", "매물Link")</f>
        <v/>
      </c>
      <c r="M89" s="6">
        <f>HYPERLINK("https://map.naver.com/p/search/세종특별자치시 고운동 1598", "지도Link")</f>
        <v/>
      </c>
      <c r="N89" s="6">
        <f>HYPERLINK("http://www.eum.go.kr/web/ar/lu/luLandDet.jsp?pnu=3611011200115980000&amp;isNoScr=script&amp;mode=search", "토지이음")</f>
        <v/>
      </c>
      <c r="O89" s="3" t="inlineStr">
        <is>
          <t>세종스타</t>
        </is>
      </c>
      <c r="P89" s="3" t="n">
        <v>1</v>
      </c>
      <c r="Q89" s="3" t="n">
        <v>340</v>
      </c>
      <c r="R89" s="3" t="inlineStr">
        <is>
          <t>지정되지않음</t>
        </is>
      </c>
      <c r="S89" s="3" t="inlineStr">
        <is>
          <t>주거나지</t>
        </is>
      </c>
      <c r="T89" s="3" t="inlineStr">
        <is>
          <t>평지</t>
        </is>
      </c>
      <c r="U89" s="3" t="inlineStr">
        <is>
          <t>가로장방</t>
        </is>
      </c>
      <c r="V89" s="3" t="inlineStr">
        <is>
          <t>중로각지</t>
        </is>
      </c>
    </row>
    <row r="90">
      <c r="A90" s="3" t="inlineStr">
        <is>
          <t>세종특별자치시 고운동 1618</t>
        </is>
      </c>
      <c r="B90" s="3" t="inlineStr">
        <is>
          <t>제1종전용주거지역</t>
        </is>
      </c>
      <c r="C90" s="3" t="inlineStr">
        <is>
          <t>대</t>
        </is>
      </c>
      <c r="D90" s="3" t="inlineStr">
        <is>
          <t>대</t>
        </is>
      </c>
      <c r="E90" s="3" t="inlineStr">
        <is>
          <t>매매</t>
        </is>
      </c>
      <c r="F90" s="4" t="n">
        <v>80000</v>
      </c>
      <c r="G90" s="4" t="n">
        <v>401</v>
      </c>
      <c r="H90" s="4" t="n">
        <v>121</v>
      </c>
      <c r="I90" s="5" t="n">
        <v>661.2</v>
      </c>
      <c r="J90" s="4" t="n">
        <v>326.7</v>
      </c>
      <c r="K90" s="3" t="inlineStr">
        <is>
          <t>조율가능 남향 실개천옆 최선호위치</t>
        </is>
      </c>
      <c r="L90" s="6">
        <f>HYPERLINK("https://fin.land.naver.com/articles/2649618762", "매물Link")</f>
        <v/>
      </c>
      <c r="M90" s="6">
        <f>HYPERLINK("https://map.naver.com/p/search/세종특별자치시 고운동 1618", "지도Link")</f>
        <v/>
      </c>
      <c r="N90" s="6">
        <f>HYPERLINK("http://www.eum.go.kr/web/ar/lu/luLandDet.jsp?pnu=3611011200116180000&amp;isNoScr=script&amp;mode=search", "토지이음")</f>
        <v/>
      </c>
      <c r="O90" s="3" t="inlineStr">
        <is>
          <t>세종스타</t>
        </is>
      </c>
      <c r="P90" s="3" t="n">
        <v>1</v>
      </c>
      <c r="Q90" s="3" t="n">
        <v>401</v>
      </c>
      <c r="R90" s="3" t="inlineStr">
        <is>
          <t>지정되지않음</t>
        </is>
      </c>
      <c r="S90" s="3" t="inlineStr">
        <is>
          <t>주거나지</t>
        </is>
      </c>
      <c r="T90" s="3" t="inlineStr">
        <is>
          <t>평지</t>
        </is>
      </c>
      <c r="U90" s="3" t="inlineStr">
        <is>
          <t>자루형</t>
        </is>
      </c>
      <c r="V90" s="3" t="inlineStr">
        <is>
          <t>소로각지</t>
        </is>
      </c>
    </row>
    <row r="91">
      <c r="A91" s="3" t="inlineStr">
        <is>
          <t>세종특별자치시 고운동 1629</t>
        </is>
      </c>
      <c r="B91" s="3" t="inlineStr">
        <is>
          <t>제1종전용주거지역</t>
        </is>
      </c>
      <c r="C91" s="3" t="inlineStr">
        <is>
          <t>대</t>
        </is>
      </c>
      <c r="D91" s="3" t="inlineStr">
        <is>
          <t>대</t>
        </is>
      </c>
      <c r="E91" s="3" t="inlineStr">
        <is>
          <t>매매</t>
        </is>
      </c>
      <c r="F91" s="4" t="n">
        <v>51000</v>
      </c>
      <c r="G91" s="4" t="n">
        <v>347</v>
      </c>
      <c r="H91" s="4" t="n">
        <v>105</v>
      </c>
      <c r="I91" s="5" t="n">
        <v>485.7</v>
      </c>
      <c r="J91" s="4" t="n">
        <v>336.2</v>
      </c>
      <c r="K91" s="3" t="inlineStr">
        <is>
          <t>전원주택을 지을수있는 위치좋은 대지</t>
        </is>
      </c>
      <c r="L91" s="6">
        <f>HYPERLINK("https://fin.land.naver.com/articles/2649719558", "매물Link")</f>
        <v/>
      </c>
      <c r="M91" s="6">
        <f>HYPERLINK("https://map.naver.com/p/search/세종특별자치시 고운동 1629", "지도Link")</f>
        <v/>
      </c>
      <c r="N91" s="6">
        <f>HYPERLINK("http://www.eum.go.kr/web/ar/lu/luLandDet.jsp?pnu=3611011200116290000&amp;isNoScr=script&amp;mode=search", "토지이음")</f>
        <v/>
      </c>
      <c r="O91" s="3" t="inlineStr">
        <is>
          <t>대한</t>
        </is>
      </c>
      <c r="P91" s="3" t="n">
        <v>1</v>
      </c>
      <c r="Q91" s="3" t="n">
        <v>347</v>
      </c>
      <c r="R91" s="3" t="inlineStr">
        <is>
          <t>지정되지않음</t>
        </is>
      </c>
      <c r="S91" s="3" t="inlineStr">
        <is>
          <t>주거나지</t>
        </is>
      </c>
      <c r="T91" s="3" t="inlineStr">
        <is>
          <t>평지</t>
        </is>
      </c>
      <c r="U91" s="3" t="inlineStr">
        <is>
          <t>세로장방</t>
        </is>
      </c>
      <c r="V91" s="3" t="inlineStr">
        <is>
          <t>중로각지</t>
        </is>
      </c>
    </row>
    <row r="92">
      <c r="A92" s="3" t="inlineStr">
        <is>
          <t>세종특별자치시 고운동 1642</t>
        </is>
      </c>
      <c r="B92" s="3" t="inlineStr">
        <is>
          <t>제1종전용주거지역</t>
        </is>
      </c>
      <c r="C92" s="3" t="inlineStr">
        <is>
          <t>대</t>
        </is>
      </c>
      <c r="D92" s="3" t="inlineStr">
        <is>
          <t>대</t>
        </is>
      </c>
      <c r="E92" s="3" t="inlineStr">
        <is>
          <t>매매</t>
        </is>
      </c>
      <c r="F92" s="4" t="n">
        <v>172000</v>
      </c>
      <c r="G92" s="4" t="n">
        <v>391</v>
      </c>
      <c r="H92" s="4" t="n">
        <v>118</v>
      </c>
      <c r="I92" s="5" t="n">
        <v>1457.6</v>
      </c>
      <c r="J92" s="4" t="n">
        <v>802.6</v>
      </c>
      <c r="K92" s="3" t="inlineStr">
        <is>
          <t>근생토지, 맛집 라인에 위치한 입지 좋은 토지</t>
        </is>
      </c>
      <c r="L92" s="6">
        <f>HYPERLINK("https://fin.land.naver.com/articles/2644183171", "매물Link")</f>
        <v/>
      </c>
      <c r="M92" s="6">
        <f>HYPERLINK("https://map.naver.com/p/search/세종특별자치시 고운동 1642", "지도Link")</f>
        <v/>
      </c>
      <c r="N92" s="6">
        <f>HYPERLINK("http://www.eum.go.kr/web/ar/lu/luLandDet.jsp?pnu=3611011200116420000&amp;isNoScr=script&amp;mode=search", "토지이음")</f>
        <v/>
      </c>
      <c r="O92" s="3" t="inlineStr">
        <is>
          <t>세종무지개</t>
        </is>
      </c>
      <c r="P92" s="3" t="n">
        <v>1</v>
      </c>
      <c r="Q92" s="3" t="n">
        <v>391.3</v>
      </c>
      <c r="R92" s="3" t="inlineStr">
        <is>
          <t>지정되지않음</t>
        </is>
      </c>
      <c r="S92" s="3" t="inlineStr">
        <is>
          <t>상업용</t>
        </is>
      </c>
      <c r="T92" s="3" t="inlineStr">
        <is>
          <t>평지</t>
        </is>
      </c>
      <c r="U92" s="3" t="inlineStr">
        <is>
          <t>정방형</t>
        </is>
      </c>
      <c r="V92" s="3" t="inlineStr">
        <is>
          <t>중로각지</t>
        </is>
      </c>
    </row>
    <row r="93">
      <c r="A93" s="3" t="inlineStr">
        <is>
          <t>세종특별자치시 고운동 1653</t>
        </is>
      </c>
      <c r="B93" s="3" t="inlineStr">
        <is>
          <t>제1종전용주거지역</t>
        </is>
      </c>
      <c r="C93" s="3" t="inlineStr">
        <is>
          <t>대</t>
        </is>
      </c>
      <c r="D93" s="3" t="inlineStr">
        <is>
          <t>대</t>
        </is>
      </c>
      <c r="E93" s="3" t="inlineStr">
        <is>
          <t>매매</t>
        </is>
      </c>
      <c r="F93" s="4" t="n">
        <v>58000</v>
      </c>
      <c r="G93" s="4" t="n">
        <v>337</v>
      </c>
      <c r="H93" s="4" t="n">
        <v>102</v>
      </c>
      <c r="I93" s="5" t="n">
        <v>568.6</v>
      </c>
      <c r="J93" s="4" t="n">
        <v>312.9</v>
      </c>
      <c r="K93" s="3" t="inlineStr">
        <is>
          <t>총 102.1p, 사거리 코너, 입지 좋은 단독주택지</t>
        </is>
      </c>
      <c r="L93" s="6">
        <f>HYPERLINK("https://fin.land.naver.com/articles/2645495934", "매물Link")</f>
        <v/>
      </c>
      <c r="M93" s="6">
        <f>HYPERLINK("https://map.naver.com/p/search/세종특별자치시 고운동 1653", "지도Link")</f>
        <v/>
      </c>
      <c r="N93" s="6">
        <f>HYPERLINK("http://www.eum.go.kr/web/ar/lu/luLandDet.jsp?pnu=3611011200116530000&amp;isNoScr=script&amp;mode=search", "토지이음")</f>
        <v/>
      </c>
      <c r="O93" s="3" t="inlineStr">
        <is>
          <t>명진</t>
        </is>
      </c>
      <c r="P93" s="3" t="n">
        <v>1</v>
      </c>
      <c r="Q93" s="3" t="n">
        <v>337</v>
      </c>
      <c r="R93" s="3" t="inlineStr">
        <is>
          <t>지정되지않음</t>
        </is>
      </c>
      <c r="S93" s="3" t="inlineStr">
        <is>
          <t>주거나지</t>
        </is>
      </c>
      <c r="T93" s="3" t="inlineStr">
        <is>
          <t>평지</t>
        </is>
      </c>
      <c r="U93" s="3" t="inlineStr">
        <is>
          <t>정방형</t>
        </is>
      </c>
      <c r="V93" s="3" t="inlineStr">
        <is>
          <t>소로각지</t>
        </is>
      </c>
    </row>
    <row r="94">
      <c r="A94" s="3" t="inlineStr">
        <is>
          <t>세종특별자치시 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HYPERLINK("https://map.naver.com/p/search/세종특별자치시 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세종특별자치시 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총 105.5p, 공원 앞, 위치좋은 토지</t>
        </is>
      </c>
      <c r="L95" s="6">
        <f>HYPERLINK("https://fin.land.naver.com/articles/2646693588", "매물Link")</f>
        <v/>
      </c>
      <c r="M95" s="6">
        <f>HYPERLINK("https://map.naver.com/p/search/세종특별자치시 고운동 1664", "지도Link")</f>
        <v/>
      </c>
      <c r="N95" s="6">
        <f>HYPERLINK("http://www.eum.go.kr/web/ar/lu/luLandDet.jsp?pnu=3611011200116640000&amp;isNoScr=script&amp;mode=search", "토지이음")</f>
        <v/>
      </c>
      <c r="O95" s="3" t="inlineStr">
        <is>
          <t>세종무지개</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세종특별자치시 고운동 1664</t>
        </is>
      </c>
      <c r="B96" s="3" t="inlineStr">
        <is>
          <t>제1종전용주거지역</t>
        </is>
      </c>
      <c r="C96" s="3" t="inlineStr">
        <is>
          <t>대</t>
        </is>
      </c>
      <c r="D96" s="3" t="inlineStr">
        <is>
          <t>대</t>
        </is>
      </c>
      <c r="E96" s="3" t="inlineStr">
        <is>
          <t>매매</t>
        </is>
      </c>
      <c r="F96" s="4" t="n">
        <v>60000</v>
      </c>
      <c r="G96" s="4" t="n">
        <v>348</v>
      </c>
      <c r="H96" s="4" t="n">
        <v>105</v>
      </c>
      <c r="I96" s="5" t="n">
        <v>571.4</v>
      </c>
      <c r="J96" s="4" t="n">
        <v>312.7</v>
      </c>
      <c r="K96" s="3" t="inlineStr">
        <is>
          <t>105.5p, 공원 옆 전망 좋은 단독주택 토지 매매</t>
        </is>
      </c>
      <c r="L96" s="6">
        <f>HYPERLINK("https://fin.land.naver.com/articles/2648127338", "매물Link")</f>
        <v/>
      </c>
      <c r="M96" s="6">
        <f>HYPERLINK("https://map.naver.com/p/search/세종특별자치시 고운동 1664", "지도Link")</f>
        <v/>
      </c>
      <c r="N96" s="6">
        <f>HYPERLINK("http://www.eum.go.kr/web/ar/lu/luLandDet.jsp?pnu=3611011200116640000&amp;isNoScr=script&amp;mode=search", "토지이음")</f>
        <v/>
      </c>
      <c r="O96" s="3" t="inlineStr">
        <is>
          <t>명진</t>
        </is>
      </c>
      <c r="P96" s="3" t="n">
        <v>1</v>
      </c>
      <c r="Q96" s="3" t="n">
        <v>348</v>
      </c>
      <c r="R96" s="3" t="inlineStr">
        <is>
          <t>지정되지않음</t>
        </is>
      </c>
      <c r="S96" s="3" t="inlineStr">
        <is>
          <t>주거나지</t>
        </is>
      </c>
      <c r="T96" s="3" t="inlineStr">
        <is>
          <t>평지</t>
        </is>
      </c>
      <c r="U96" s="3" t="inlineStr">
        <is>
          <t>정방형</t>
        </is>
      </c>
      <c r="V96" s="3" t="inlineStr">
        <is>
          <t>소로각지</t>
        </is>
      </c>
    </row>
    <row r="97">
      <c r="A97" s="3" t="inlineStr">
        <is>
          <t>세종특별자치시 고운동 1682</t>
        </is>
      </c>
      <c r="B97" s="3" t="inlineStr">
        <is>
          <t>제1종전용주거지역</t>
        </is>
      </c>
      <c r="C97" s="3" t="inlineStr">
        <is>
          <t>대</t>
        </is>
      </c>
      <c r="D97" s="3" t="inlineStr">
        <is>
          <t>대</t>
        </is>
      </c>
      <c r="E97" s="3" t="inlineStr">
        <is>
          <t>매매</t>
        </is>
      </c>
      <c r="F97" s="4" t="n">
        <v>49000</v>
      </c>
      <c r="G97" s="4" t="n">
        <v>317</v>
      </c>
      <c r="H97" s="4" t="n">
        <v>96</v>
      </c>
      <c r="I97" s="5" t="n">
        <v>510.4</v>
      </c>
      <c r="J97" s="4" t="n">
        <v>312.7</v>
      </c>
      <c r="K97" s="3" t="inlineStr">
        <is>
          <t>96.1p, 고운동 코너자리 단독주택 토지매매</t>
        </is>
      </c>
      <c r="L97" s="6">
        <f>HYPERLINK("https://fin.land.naver.com/articles/2649004997", "매물Link")</f>
        <v/>
      </c>
      <c r="M97" s="6">
        <f>HYPERLINK("https://map.naver.com/p/search/세종특별자치시 고운동 1682", "지도Link")</f>
        <v/>
      </c>
      <c r="N97" s="6">
        <f>HYPERLINK("http://www.eum.go.kr/web/ar/lu/luLandDet.jsp?pnu=3611011200116820000&amp;isNoScr=script&amp;mode=search", "토지이음")</f>
        <v/>
      </c>
      <c r="O97" s="3" t="inlineStr">
        <is>
          <t>명진</t>
        </is>
      </c>
      <c r="P97" s="3" t="n">
        <v>1</v>
      </c>
      <c r="Q97" s="3" t="n">
        <v>317.2</v>
      </c>
      <c r="R97" s="3" t="inlineStr">
        <is>
          <t>지정되지않음</t>
        </is>
      </c>
      <c r="S97" s="3" t="inlineStr">
        <is>
          <t>주거나지</t>
        </is>
      </c>
      <c r="T97" s="3" t="inlineStr">
        <is>
          <t>평지</t>
        </is>
      </c>
      <c r="U97" s="3" t="inlineStr">
        <is>
          <t>세로장방</t>
        </is>
      </c>
      <c r="V97" s="3" t="inlineStr">
        <is>
          <t>소로각지</t>
        </is>
      </c>
    </row>
    <row r="98">
      <c r="A98" s="3" t="inlineStr">
        <is>
          <t>세종특별자치시 고운동 1684</t>
        </is>
      </c>
      <c r="B98" s="3" t="inlineStr">
        <is>
          <t>제1종전용주거지역</t>
        </is>
      </c>
      <c r="C98" s="3" t="inlineStr">
        <is>
          <t>대</t>
        </is>
      </c>
      <c r="D98" s="3" t="inlineStr">
        <is>
          <t>대</t>
        </is>
      </c>
      <c r="E98" s="3" t="inlineStr">
        <is>
          <t>매매</t>
        </is>
      </c>
      <c r="F98" s="4" t="n">
        <v>55000</v>
      </c>
      <c r="G98" s="4" t="n">
        <v>330</v>
      </c>
      <c r="H98" s="4" t="n">
        <v>100</v>
      </c>
      <c r="I98" s="5" t="n">
        <v>550</v>
      </c>
      <c r="J98" s="4" t="n">
        <v>299.2</v>
      </c>
      <c r="K98" s="3" t="inlineStr">
        <is>
          <t>공원인접,상가인접,초중고인접,조율가능</t>
        </is>
      </c>
      <c r="L98" s="6">
        <f>HYPERLINK("https://fin.land.naver.com/articles/2648942488", "매물Link")</f>
        <v/>
      </c>
      <c r="M98" s="6">
        <f>HYPERLINK("https://map.naver.com/p/search/세종특별자치시 고운동 1684", "지도Link")</f>
        <v/>
      </c>
      <c r="N98" s="6">
        <f>HYPERLINK("http://www.eum.go.kr/web/ar/lu/luLandDet.jsp?pnu=3611011200116840000&amp;isNoScr=script&amp;mode=search", "토지이음")</f>
        <v/>
      </c>
      <c r="O98" s="3" t="inlineStr">
        <is>
          <t>똑똑</t>
        </is>
      </c>
      <c r="P98" s="3" t="n">
        <v>1</v>
      </c>
      <c r="Q98" s="3" t="n">
        <v>330.1</v>
      </c>
      <c r="R98" s="3" t="inlineStr">
        <is>
          <t>지정되지않음</t>
        </is>
      </c>
      <c r="S98" s="3" t="inlineStr">
        <is>
          <t>주거나지</t>
        </is>
      </c>
      <c r="T98" s="3" t="inlineStr">
        <is>
          <t>평지</t>
        </is>
      </c>
      <c r="U98" s="3" t="inlineStr">
        <is>
          <t>세로장방</t>
        </is>
      </c>
      <c r="V98" s="3" t="inlineStr">
        <is>
          <t>소로한면</t>
        </is>
      </c>
    </row>
    <row r="99">
      <c r="A99" s="3" t="inlineStr">
        <is>
          <t>세종특별자치시 고운동 1702</t>
        </is>
      </c>
      <c r="B99" s="3" t="inlineStr">
        <is>
          <t>제1종전용주거지역</t>
        </is>
      </c>
      <c r="C99" s="3" t="inlineStr">
        <is>
          <t>대</t>
        </is>
      </c>
      <c r="D99" s="3" t="inlineStr">
        <is>
          <t>대</t>
        </is>
      </c>
      <c r="E99" s="3" t="inlineStr">
        <is>
          <t>매매</t>
        </is>
      </c>
      <c r="F99" s="4" t="n">
        <v>233000</v>
      </c>
      <c r="G99" s="4" t="n">
        <v>1544</v>
      </c>
      <c r="H99" s="4" t="n">
        <v>467</v>
      </c>
      <c r="I99" s="5" t="n">
        <v>498.9</v>
      </c>
      <c r="J99" s="4" t="n">
        <v>336.2</v>
      </c>
      <c r="K99" s="3" t="inlineStr">
        <is>
          <t>보육시설용지 유치원 어린이집 부지</t>
        </is>
      </c>
      <c r="L99" s="6">
        <f>HYPERLINK("https://fin.land.naver.com/articles/2648978969", "매물Link")</f>
        <v/>
      </c>
      <c r="M99" s="6">
        <f>HYPERLINK("https://map.naver.com/p/search/세종특별자치시 고운동 1702", "지도Link")</f>
        <v/>
      </c>
      <c r="N99" s="6">
        <f>HYPERLINK("http://www.eum.go.kr/web/ar/lu/luLandDet.jsp?pnu=3611011200117020000&amp;isNoScr=script&amp;mode=search", "토지이음")</f>
        <v/>
      </c>
      <c r="O99" s="3" t="inlineStr">
        <is>
          <t>세종스타</t>
        </is>
      </c>
      <c r="P99" s="3" t="n">
        <v>1</v>
      </c>
      <c r="Q99" s="3" t="n">
        <v>1544</v>
      </c>
      <c r="R99" s="3" t="inlineStr">
        <is>
          <t>지정되지않음</t>
        </is>
      </c>
      <c r="S99" s="3" t="inlineStr">
        <is>
          <t>주거기타</t>
        </is>
      </c>
      <c r="T99" s="3" t="inlineStr">
        <is>
          <t>평지</t>
        </is>
      </c>
      <c r="U99" s="3" t="inlineStr">
        <is>
          <t>정방형</t>
        </is>
      </c>
      <c r="V99" s="3" t="inlineStr">
        <is>
          <t>중로각지</t>
        </is>
      </c>
    </row>
    <row r="100">
      <c r="A100" s="3" t="inlineStr">
        <is>
          <t>세종특별자치시 고운동 1742</t>
        </is>
      </c>
      <c r="B100" s="3" t="inlineStr">
        <is>
          <t>제1종전용주거지역</t>
        </is>
      </c>
      <c r="C100" s="3" t="inlineStr">
        <is>
          <t>대</t>
        </is>
      </c>
      <c r="D100" s="3" t="inlineStr">
        <is>
          <t>대</t>
        </is>
      </c>
      <c r="E100" s="3" t="inlineStr">
        <is>
          <t>매매</t>
        </is>
      </c>
      <c r="F100" s="4" t="n">
        <v>60000</v>
      </c>
      <c r="G100" s="4" t="n">
        <v>345</v>
      </c>
      <c r="H100" s="4" t="n">
        <v>104</v>
      </c>
      <c r="I100" s="5" t="n">
        <v>576.9</v>
      </c>
      <c r="J100" s="4" t="n">
        <v>297.1</v>
      </c>
      <c r="K100" s="3" t="inlineStr">
        <is>
          <t>조율가능 남향 해잘드는곳 학교 상권 가까운위치</t>
        </is>
      </c>
      <c r="L100" s="6">
        <f>HYPERLINK("https://fin.land.naver.com/articles/2644908886", "매물Link")</f>
        <v/>
      </c>
      <c r="M100" s="6">
        <f>HYPERLINK("https://map.naver.com/p/search/세종특별자치시 고운동 1742", "지도Link")</f>
        <v/>
      </c>
      <c r="N100" s="6">
        <f>HYPERLINK("http://www.eum.go.kr/web/ar/lu/luLandDet.jsp?pnu=3611011200117420000&amp;isNoScr=script&amp;mode=search", "토지이음")</f>
        <v/>
      </c>
      <c r="O100" s="3" t="inlineStr">
        <is>
          <t>세종스타</t>
        </is>
      </c>
      <c r="P100" s="3" t="n">
        <v>1</v>
      </c>
      <c r="Q100" s="3" t="n">
        <v>345</v>
      </c>
      <c r="R100" s="3" t="inlineStr">
        <is>
          <t>지정되지않음</t>
        </is>
      </c>
      <c r="S100" s="3" t="inlineStr">
        <is>
          <t>주거나지</t>
        </is>
      </c>
      <c r="T100" s="3" t="inlineStr">
        <is>
          <t>평지</t>
        </is>
      </c>
      <c r="U100" s="3" t="inlineStr">
        <is>
          <t>정방형</t>
        </is>
      </c>
      <c r="V100" s="3" t="inlineStr">
        <is>
          <t>소로한면</t>
        </is>
      </c>
    </row>
    <row r="101">
      <c r="A101" s="3" t="inlineStr">
        <is>
          <t>세종특별자치시 고운동 1760</t>
        </is>
      </c>
      <c r="B101" s="3" t="inlineStr">
        <is>
          <t>제1종전용주거지역</t>
        </is>
      </c>
      <c r="C101" s="3" t="inlineStr">
        <is>
          <t>대</t>
        </is>
      </c>
      <c r="D101" s="3" t="inlineStr">
        <is>
          <t>대</t>
        </is>
      </c>
      <c r="E101" s="3" t="inlineStr">
        <is>
          <t>매매</t>
        </is>
      </c>
      <c r="F101" s="4" t="n">
        <v>68900</v>
      </c>
      <c r="G101" s="4" t="n">
        <v>350</v>
      </c>
      <c r="H101" s="4" t="n">
        <v>106</v>
      </c>
      <c r="I101" s="5" t="n">
        <v>650</v>
      </c>
      <c r="J101" s="4" t="n">
        <v>297.1</v>
      </c>
      <c r="K101" s="3" t="inlineStr">
        <is>
          <t>106.1p, 아파트 맞은편, 상가 인접</t>
        </is>
      </c>
      <c r="L101" s="6">
        <f>HYPERLINK("https://fin.land.naver.com/articles/2649008695", "매물Link")</f>
        <v/>
      </c>
      <c r="M101" s="6">
        <f>HYPERLINK("https://map.naver.com/p/search/세종특별자치시 고운동 1760", "지도Link")</f>
        <v/>
      </c>
      <c r="N101" s="6">
        <f>HYPERLINK("http://www.eum.go.kr/web/ar/lu/luLandDet.jsp?pnu=3611011200117600000&amp;isNoScr=script&amp;mode=search", "토지이음")</f>
        <v/>
      </c>
      <c r="O101" s="3" t="inlineStr">
        <is>
          <t>명진</t>
        </is>
      </c>
      <c r="P101" s="3" t="n">
        <v>1</v>
      </c>
      <c r="Q101" s="3" t="n">
        <v>350.1</v>
      </c>
      <c r="R101" s="3" t="inlineStr">
        <is>
          <t>지정되지않음</t>
        </is>
      </c>
      <c r="S101" s="3" t="inlineStr">
        <is>
          <t>주거나지</t>
        </is>
      </c>
      <c r="T101" s="3" t="inlineStr">
        <is>
          <t>평지</t>
        </is>
      </c>
      <c r="U101" s="3" t="inlineStr">
        <is>
          <t>정방형</t>
        </is>
      </c>
      <c r="V101" s="3" t="inlineStr">
        <is>
          <t>소로한면</t>
        </is>
      </c>
    </row>
    <row r="102">
      <c r="A102" s="3" t="inlineStr">
        <is>
          <t>세종특별자치시 고운동 1761</t>
        </is>
      </c>
      <c r="B102" s="3" t="inlineStr">
        <is>
          <t>제1종전용주거지역</t>
        </is>
      </c>
      <c r="C102" s="3" t="inlineStr">
        <is>
          <t>대</t>
        </is>
      </c>
      <c r="D102" s="3" t="inlineStr">
        <is>
          <t>대</t>
        </is>
      </c>
      <c r="E102" s="3" t="inlineStr">
        <is>
          <t>매매</t>
        </is>
      </c>
      <c r="F102" s="4" t="n">
        <v>60000</v>
      </c>
      <c r="G102" s="4" t="n">
        <v>356</v>
      </c>
      <c r="H102" s="4" t="n">
        <v>108</v>
      </c>
      <c r="I102" s="5" t="n">
        <v>555.6</v>
      </c>
      <c r="J102" s="4" t="n">
        <v>297.1</v>
      </c>
      <c r="K102" s="3" t="inlineStr">
        <is>
          <t>조율가능 고운초 고운중 도보1분 상권 복컴 도보3분</t>
        </is>
      </c>
      <c r="L102" s="6">
        <f>HYPERLINK("https://fin.land.naver.com/articles/2643971932", "매물Link")</f>
        <v/>
      </c>
      <c r="M102" s="6">
        <f>HYPERLINK("https://map.naver.com/p/search/세종특별자치시 고운동 1761", "지도Link")</f>
        <v/>
      </c>
      <c r="N102" s="6">
        <f>HYPERLINK("http://www.eum.go.kr/web/ar/lu/luLandDet.jsp?pnu=3611011200117610000&amp;isNoScr=script&amp;mode=search", "토지이음")</f>
        <v/>
      </c>
      <c r="O102" s="3" t="inlineStr">
        <is>
          <t>세종스타</t>
        </is>
      </c>
      <c r="P102" s="3" t="n">
        <v>2</v>
      </c>
      <c r="Q102" s="3" t="n">
        <v>356</v>
      </c>
      <c r="R102" s="3" t="inlineStr">
        <is>
          <t>지정되지않음</t>
        </is>
      </c>
      <c r="S102" s="3" t="inlineStr">
        <is>
          <t>주거나지</t>
        </is>
      </c>
      <c r="T102" s="3" t="inlineStr">
        <is>
          <t>평지</t>
        </is>
      </c>
      <c r="U102" s="3" t="inlineStr">
        <is>
          <t>정방형</t>
        </is>
      </c>
      <c r="V102" s="3" t="inlineStr">
        <is>
          <t>소로한면</t>
        </is>
      </c>
    </row>
    <row r="103">
      <c r="A103" s="3" t="inlineStr">
        <is>
          <t>세종특별자치시 고운동 1767</t>
        </is>
      </c>
      <c r="B103" s="3" t="inlineStr">
        <is>
          <t>제1종전용주거지역</t>
        </is>
      </c>
      <c r="C103" s="3" t="inlineStr">
        <is>
          <t>대</t>
        </is>
      </c>
      <c r="D103" s="3" t="inlineStr">
        <is>
          <t>대</t>
        </is>
      </c>
      <c r="E103" s="3" t="inlineStr">
        <is>
          <t>매매</t>
        </is>
      </c>
      <c r="F103" s="4" t="n">
        <v>57000</v>
      </c>
      <c r="G103" s="4" t="n">
        <v>334</v>
      </c>
      <c r="H103" s="4" t="n">
        <v>101</v>
      </c>
      <c r="I103" s="5" t="n">
        <v>564.4</v>
      </c>
      <c r="J103" s="4" t="n">
        <v>297.1</v>
      </c>
      <c r="K103" s="3" t="inlineStr">
        <is>
          <t>급매 조율가능 고운초중 도보3분 학원상권 복컴 도보5분</t>
        </is>
      </c>
      <c r="L103" s="6">
        <f>HYPERLINK("https://fin.land.naver.com/articles/2648979457", "매물Link")</f>
        <v/>
      </c>
      <c r="M103" s="6">
        <f>HYPERLINK("https://map.naver.com/p/search/세종특별자치시 고운동 1767", "지도Link")</f>
        <v/>
      </c>
      <c r="N103" s="6">
        <f>HYPERLINK("http://www.eum.go.kr/web/ar/lu/luLandDet.jsp?pnu=3611011200117670000&amp;isNoScr=script&amp;mode=search", "토지이음")</f>
        <v/>
      </c>
      <c r="O103" s="3" t="inlineStr">
        <is>
          <t>세종스타</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세종특별자치시 고운동 1767</t>
        </is>
      </c>
      <c r="B104" s="3" t="inlineStr">
        <is>
          <t>제1종전용주거지역</t>
        </is>
      </c>
      <c r="C104" s="3" t="inlineStr">
        <is>
          <t>대</t>
        </is>
      </c>
      <c r="D104" s="3" t="inlineStr">
        <is>
          <t>대</t>
        </is>
      </c>
      <c r="E104" s="3" t="inlineStr">
        <is>
          <t>매매</t>
        </is>
      </c>
      <c r="F104" s="4" t="n">
        <v>57000</v>
      </c>
      <c r="G104" s="4" t="n">
        <v>333</v>
      </c>
      <c r="H104" s="4" t="n">
        <v>101</v>
      </c>
      <c r="I104" s="5" t="n">
        <v>564.4</v>
      </c>
      <c r="J104" s="4" t="n">
        <v>297.1</v>
      </c>
      <c r="K104" s="3" t="inlineStr">
        <is>
          <t>저렴하게 나온 매물 , 예쁜집 지을수 있는 토지 . 쌀때 사서 집지으세요</t>
        </is>
      </c>
      <c r="L104" s="6">
        <f>HYPERLINK("https://fin.land.naver.com/articles/2647139766", "매물Link")</f>
        <v/>
      </c>
      <c r="M104" s="6">
        <f>HYPERLINK("https://map.naver.com/p/search/세종특별자치시 고운동 1767", "지도Link")</f>
        <v/>
      </c>
      <c r="N104" s="6">
        <f>HYPERLINK("http://www.eum.go.kr/web/ar/lu/luLandDet.jsp?pnu=3611011200117670000&amp;isNoScr=script&amp;mode=search", "토지이음")</f>
        <v/>
      </c>
      <c r="O104" s="3" t="inlineStr">
        <is>
          <t>세종특별시</t>
        </is>
      </c>
      <c r="P104" s="3" t="n">
        <v>1</v>
      </c>
      <c r="Q104" s="3" t="n">
        <v>334.4</v>
      </c>
      <c r="R104" s="3" t="inlineStr">
        <is>
          <t>지정되지않음</t>
        </is>
      </c>
      <c r="S104" s="3" t="inlineStr">
        <is>
          <t>주거나지</t>
        </is>
      </c>
      <c r="T104" s="3" t="inlineStr">
        <is>
          <t>평지</t>
        </is>
      </c>
      <c r="U104" s="3" t="inlineStr">
        <is>
          <t>정방형</t>
        </is>
      </c>
      <c r="V104" s="3" t="inlineStr">
        <is>
          <t>소로한면</t>
        </is>
      </c>
    </row>
    <row r="105">
      <c r="A105" s="3" t="inlineStr">
        <is>
          <t>세종특별자치시 고운동 1768</t>
        </is>
      </c>
      <c r="B105" s="3" t="inlineStr">
        <is>
          <t>제1종전용주거지역</t>
        </is>
      </c>
      <c r="C105" s="3" t="inlineStr">
        <is>
          <t>대</t>
        </is>
      </c>
      <c r="D105" s="3" t="inlineStr">
        <is>
          <t>대</t>
        </is>
      </c>
      <c r="E105" s="3" t="inlineStr">
        <is>
          <t>매매</t>
        </is>
      </c>
      <c r="F105" s="4" t="n">
        <v>95000</v>
      </c>
      <c r="G105" s="4" t="n">
        <v>336</v>
      </c>
      <c r="H105" s="4" t="n">
        <v>102</v>
      </c>
      <c r="I105" s="5" t="n">
        <v>931.4</v>
      </c>
      <c r="J105" s="4" t="n">
        <v>297.1</v>
      </c>
      <c r="K105" s="3" t="inlineStr">
        <is>
          <t>세종시 행복도시내 단독주택부지</t>
        </is>
      </c>
      <c r="L105" s="6">
        <f>HYPERLINK("https://fin.land.naver.com/articles/2647094510", "매물Link")</f>
        <v/>
      </c>
      <c r="M105" s="6">
        <f>HYPERLINK("https://map.naver.com/p/search/세종특별자치시 고운동 1768", "지도Link")</f>
        <v/>
      </c>
      <c r="N105" s="6">
        <f>HYPERLINK("http://www.eum.go.kr/web/ar/lu/luLandDet.jsp?pnu=3611011200117680000&amp;isNoScr=script&amp;mode=search", "토지이음")</f>
        <v/>
      </c>
      <c r="O105" s="3" t="inlineStr">
        <is>
          <t>명품시티</t>
        </is>
      </c>
      <c r="P105" s="3" t="n">
        <v>1</v>
      </c>
      <c r="Q105" s="3" t="n">
        <v>335.5</v>
      </c>
      <c r="R105" s="3" t="inlineStr">
        <is>
          <t>지정되지않음</t>
        </is>
      </c>
      <c r="S105" s="3" t="inlineStr">
        <is>
          <t>주거나지</t>
        </is>
      </c>
      <c r="T105" s="3" t="inlineStr">
        <is>
          <t>평지</t>
        </is>
      </c>
      <c r="U105" s="3" t="inlineStr">
        <is>
          <t>정방형</t>
        </is>
      </c>
      <c r="V105" s="3" t="inlineStr">
        <is>
          <t>소로한면</t>
        </is>
      </c>
    </row>
    <row r="106">
      <c r="A106" s="3" t="inlineStr">
        <is>
          <t>세종특별자치시 고운동 1780</t>
        </is>
      </c>
      <c r="B106" s="3" t="inlineStr">
        <is>
          <t>제1종전용주거지역</t>
        </is>
      </c>
      <c r="C106" s="3" t="inlineStr">
        <is>
          <t>대</t>
        </is>
      </c>
      <c r="D106" s="3" t="inlineStr">
        <is>
          <t>대</t>
        </is>
      </c>
      <c r="E106" s="3" t="inlineStr">
        <is>
          <t>매매</t>
        </is>
      </c>
      <c r="F106" s="4" t="n">
        <v>70000</v>
      </c>
      <c r="G106" s="4" t="n">
        <v>377</v>
      </c>
      <c r="H106" s="4" t="n">
        <v>114</v>
      </c>
      <c r="I106" s="5" t="n">
        <v>614</v>
      </c>
      <c r="J106" s="4" t="n">
        <v>324.3</v>
      </c>
      <c r="K106" s="3" t="inlineStr">
        <is>
          <t>3면이 도로인 개방감 넘치는 토지</t>
        </is>
      </c>
      <c r="L106" s="6">
        <f>HYPERLINK("https://fin.land.naver.com/articles/2649748261", "매물Link")</f>
        <v/>
      </c>
      <c r="M106" s="6">
        <f>HYPERLINK("https://map.naver.com/p/search/세종특별자치시 고운동 1780", "지도Link")</f>
        <v/>
      </c>
      <c r="N106" s="6">
        <f>HYPERLINK("http://www.eum.go.kr/web/ar/lu/luLandDet.jsp?pnu=3611011200117800000&amp;isNoScr=script&amp;mode=search", "토지이음")</f>
        <v/>
      </c>
      <c r="O106" s="3" t="inlineStr">
        <is>
          <t>킹세종</t>
        </is>
      </c>
      <c r="P106" s="3" t="n">
        <v>1</v>
      </c>
      <c r="Q106" s="3" t="n">
        <v>377</v>
      </c>
      <c r="R106" s="3" t="inlineStr">
        <is>
          <t>지정되지않음</t>
        </is>
      </c>
      <c r="S106" s="3" t="inlineStr">
        <is>
          <t>주거나지</t>
        </is>
      </c>
      <c r="T106" s="3" t="inlineStr">
        <is>
          <t>평지</t>
        </is>
      </c>
      <c r="U106" s="3" t="inlineStr">
        <is>
          <t>부정형</t>
        </is>
      </c>
      <c r="V106" s="3" t="inlineStr">
        <is>
          <t>중로각지</t>
        </is>
      </c>
    </row>
    <row r="107">
      <c r="A107" s="3" t="inlineStr">
        <is>
          <t>세종특별자치시 고운동 1827</t>
        </is>
      </c>
      <c r="B107" s="3" t="inlineStr">
        <is>
          <t>제1종전용주거지역</t>
        </is>
      </c>
      <c r="C107" s="3" t="inlineStr">
        <is>
          <t>대</t>
        </is>
      </c>
      <c r="D107" s="3" t="inlineStr">
        <is>
          <t>대</t>
        </is>
      </c>
      <c r="E107" s="3" t="inlineStr">
        <is>
          <t>매매</t>
        </is>
      </c>
      <c r="F107" s="4" t="n">
        <v>150000</v>
      </c>
      <c r="G107" s="4" t="n">
        <v>656</v>
      </c>
      <c r="H107" s="4" t="n">
        <v>198</v>
      </c>
      <c r="I107" s="5" t="n">
        <v>757.6</v>
      </c>
      <c r="J107" s="4" t="n">
        <v>309.2</v>
      </c>
      <c r="K107" s="3" t="inlineStr">
        <is>
          <t>nan</t>
        </is>
      </c>
      <c r="L107" s="6">
        <f>HYPERLINK("https://fin.land.naver.com/articles/2646710175", "매물Link")</f>
        <v/>
      </c>
      <c r="M107" s="6">
        <f>HYPERLINK("https://map.naver.com/p/search/세종특별자치시 고운동 1827", "지도Link")</f>
        <v/>
      </c>
      <c r="N107" s="6">
        <f>HYPERLINK("http://www.eum.go.kr/web/ar/lu/luLandDet.jsp?pnu=3611011200118270000&amp;isNoScr=script&amp;mode=search", "토지이음")</f>
        <v/>
      </c>
      <c r="O107" s="3" t="inlineStr">
        <is>
          <t>세종스타</t>
        </is>
      </c>
      <c r="P107" s="3" t="n">
        <v>2</v>
      </c>
      <c r="Q107" s="3" t="n">
        <v>656.5</v>
      </c>
      <c r="R107" s="3" t="inlineStr">
        <is>
          <t>지정되지않음</t>
        </is>
      </c>
      <c r="S107" s="3" t="inlineStr">
        <is>
          <t>주거나지</t>
        </is>
      </c>
      <c r="T107" s="3" t="inlineStr">
        <is>
          <t>평지</t>
        </is>
      </c>
      <c r="U107" s="3" t="inlineStr">
        <is>
          <t>세로장방</t>
        </is>
      </c>
      <c r="V107" s="3" t="inlineStr">
        <is>
          <t>소로한면</t>
        </is>
      </c>
    </row>
    <row r="108">
      <c r="A108" s="3" t="inlineStr">
        <is>
          <t>세종특별자치시 고운동 1830</t>
        </is>
      </c>
      <c r="B108" s="3" t="inlineStr">
        <is>
          <t>제1종전용주거지역</t>
        </is>
      </c>
      <c r="C108" s="3" t="inlineStr">
        <is>
          <t>대</t>
        </is>
      </c>
      <c r="D108" s="3" t="inlineStr">
        <is>
          <t>대</t>
        </is>
      </c>
      <c r="E108" s="3" t="inlineStr">
        <is>
          <t>매매</t>
        </is>
      </c>
      <c r="F108" s="4" t="n">
        <v>88000</v>
      </c>
      <c r="G108" s="4" t="n">
        <v>568</v>
      </c>
      <c r="H108" s="4" t="n">
        <v>172</v>
      </c>
      <c r="I108" s="5" t="n">
        <v>511.6</v>
      </c>
      <c r="J108" s="4" t="n">
        <v>309.7</v>
      </c>
      <c r="K108" s="3" t="inlineStr">
        <is>
          <t>nan</t>
        </is>
      </c>
      <c r="L108" s="6">
        <f>HYPERLINK("https://fin.land.naver.com/articles/2648024777", "매물Link")</f>
        <v/>
      </c>
      <c r="M108" s="6">
        <f>HYPERLINK("https://map.naver.com/p/search/세종특별자치시 고운동 1830", "지도Link")</f>
        <v/>
      </c>
      <c r="N108" s="6">
        <f>HYPERLINK("http://www.eum.go.kr/web/ar/lu/luLandDet.jsp?pnu=3611011200118300000&amp;isNoScr=script&amp;mode=search", "토지이음")</f>
        <v/>
      </c>
      <c r="O108" s="3" t="inlineStr">
        <is>
          <t>세종지평</t>
        </is>
      </c>
      <c r="P108" s="3" t="n">
        <v>1</v>
      </c>
      <c r="Q108" s="3" t="n">
        <v>568.3</v>
      </c>
      <c r="R108" s="3" t="inlineStr">
        <is>
          <t>지정되지않음</t>
        </is>
      </c>
      <c r="S108" s="3" t="inlineStr">
        <is>
          <t>주거나지</t>
        </is>
      </c>
      <c r="T108" s="3" t="inlineStr">
        <is>
          <t>평지</t>
        </is>
      </c>
      <c r="U108" s="3" t="inlineStr">
        <is>
          <t>세로장방</t>
        </is>
      </c>
      <c r="V108" s="3" t="inlineStr">
        <is>
          <t>소로한면</t>
        </is>
      </c>
    </row>
    <row r="109">
      <c r="A109" s="3" t="inlineStr">
        <is>
          <t>세종특별자치시 고운동 1835</t>
        </is>
      </c>
      <c r="B109" s="3" t="inlineStr">
        <is>
          <t>제1종전용주거지역</t>
        </is>
      </c>
      <c r="C109" s="3" t="inlineStr">
        <is>
          <t>대</t>
        </is>
      </c>
      <c r="D109" s="3" t="inlineStr">
        <is>
          <t>대</t>
        </is>
      </c>
      <c r="E109" s="3" t="inlineStr">
        <is>
          <t>매매</t>
        </is>
      </c>
      <c r="F109" s="4" t="n">
        <v>150000</v>
      </c>
      <c r="G109" s="4" t="n">
        <v>677</v>
      </c>
      <c r="H109" s="4" t="n">
        <v>205</v>
      </c>
      <c r="I109" s="5" t="n">
        <v>731.7</v>
      </c>
      <c r="J109" s="4" t="n">
        <v>309.2</v>
      </c>
      <c r="K109" s="3" t="inlineStr">
        <is>
          <t>지하주차장가능하여 개방감 있는 토지</t>
        </is>
      </c>
      <c r="L109" s="6">
        <f>HYPERLINK("https://fin.land.naver.com/articles/2645003696", "매물Link")</f>
        <v/>
      </c>
      <c r="M109" s="6">
        <f>HYPERLINK("https://map.naver.com/p/search/세종특별자치시 고운동 1835", "지도Link")</f>
        <v/>
      </c>
      <c r="N109" s="6">
        <f>HYPERLINK("http://www.eum.go.kr/web/ar/lu/luLandDet.jsp?pnu=3611011200118350000&amp;isNoScr=script&amp;mode=search", "토지이음")</f>
        <v/>
      </c>
      <c r="O109" s="3" t="inlineStr">
        <is>
          <t>킹세종</t>
        </is>
      </c>
      <c r="P109" s="3" t="n">
        <v>1</v>
      </c>
      <c r="Q109" s="3" t="n">
        <v>677.4</v>
      </c>
      <c r="R109" s="3" t="inlineStr">
        <is>
          <t>지정되지않음</t>
        </is>
      </c>
      <c r="S109" s="3" t="inlineStr">
        <is>
          <t>주거나지</t>
        </is>
      </c>
      <c r="T109" s="3" t="inlineStr">
        <is>
          <t>평지</t>
        </is>
      </c>
      <c r="U109" s="3" t="inlineStr">
        <is>
          <t>세로장방</t>
        </is>
      </c>
      <c r="V109" s="3" t="inlineStr">
        <is>
          <t>소로한면</t>
        </is>
      </c>
    </row>
    <row r="110">
      <c r="A110" s="3" t="inlineStr">
        <is>
          <t>세종특별자치시 고운동 1850</t>
        </is>
      </c>
      <c r="B110" s="3" t="inlineStr">
        <is>
          <t>제1종전용주거지역</t>
        </is>
      </c>
      <c r="C110" s="3" t="inlineStr">
        <is>
          <t>대</t>
        </is>
      </c>
      <c r="D110" s="3" t="inlineStr">
        <is>
          <t>대</t>
        </is>
      </c>
      <c r="E110" s="3" t="inlineStr">
        <is>
          <t>매매</t>
        </is>
      </c>
      <c r="F110" s="4" t="n">
        <v>75000</v>
      </c>
      <c r="G110" s="4" t="n">
        <v>511</v>
      </c>
      <c r="H110" s="4" t="n">
        <v>155</v>
      </c>
      <c r="I110" s="5" t="n">
        <v>483.9</v>
      </c>
      <c r="J110" s="4" t="n">
        <v>309.7</v>
      </c>
      <c r="K110" s="3" t="inlineStr">
        <is>
          <t>급매. 고급주택이 가능한 넓은 택지, 정남향</t>
        </is>
      </c>
      <c r="L110" s="6">
        <f>HYPERLINK("https://fin.land.naver.com/articles/2649456450", "매물Link")</f>
        <v/>
      </c>
      <c r="M110" s="6">
        <f>HYPERLINK("https://map.naver.com/p/search/세종특별자치시 고운동 1850", "지도Link")</f>
        <v/>
      </c>
      <c r="N110" s="6">
        <f>HYPERLINK("http://www.eum.go.kr/web/ar/lu/luLandDet.jsp?pnu=3611011200118500000&amp;isNoScr=script&amp;mode=search", "토지이음")</f>
        <v/>
      </c>
      <c r="O110" s="3" t="inlineStr">
        <is>
          <t>세종삼촌</t>
        </is>
      </c>
      <c r="P110" s="3" t="n">
        <v>1</v>
      </c>
      <c r="Q110" s="3" t="n">
        <v>512</v>
      </c>
      <c r="R110" s="3" t="inlineStr">
        <is>
          <t>지정되지않음</t>
        </is>
      </c>
      <c r="S110" s="3" t="inlineStr">
        <is>
          <t>주거나지</t>
        </is>
      </c>
      <c r="T110" s="3" t="inlineStr">
        <is>
          <t>평지</t>
        </is>
      </c>
      <c r="U110" s="3" t="inlineStr">
        <is>
          <t>세로장방</t>
        </is>
      </c>
      <c r="V110" s="3" t="inlineStr">
        <is>
          <t>소로한면</t>
        </is>
      </c>
    </row>
    <row r="111">
      <c r="A111" s="3" t="inlineStr">
        <is>
          <t>세종특별자치시 고운동 1906</t>
        </is>
      </c>
      <c r="B111" s="3" t="inlineStr">
        <is>
          <t>제1종전용주거지역</t>
        </is>
      </c>
      <c r="C111" s="3" t="inlineStr">
        <is>
          <t>대</t>
        </is>
      </c>
      <c r="D111" s="3" t="inlineStr">
        <is>
          <t>대</t>
        </is>
      </c>
      <c r="E111" s="3" t="inlineStr">
        <is>
          <t>매매</t>
        </is>
      </c>
      <c r="F111" s="4" t="n">
        <v>200000</v>
      </c>
      <c r="G111" s="4" t="n">
        <v>528</v>
      </c>
      <c r="H111" s="4" t="n">
        <v>160</v>
      </c>
      <c r="I111" s="5" t="n">
        <v>1250</v>
      </c>
      <c r="J111" s="4" t="n">
        <v>879</v>
      </c>
      <c r="K111" s="3" t="inlineStr">
        <is>
          <t>고운동 근생용지 코너위치 3면 접근용이 근생시설최적지</t>
        </is>
      </c>
      <c r="L111" s="6">
        <f>HYPERLINK("https://fin.land.naver.com/articles/2649447450", "매물Link")</f>
        <v/>
      </c>
      <c r="M111" s="6">
        <f>HYPERLINK("https://map.naver.com/p/search/세종특별자치시 고운동 1906", "지도Link")</f>
        <v/>
      </c>
      <c r="N111" s="6">
        <f>HYPERLINK("http://www.eum.go.kr/web/ar/lu/luLandDet.jsp?pnu=3611011200119060000&amp;isNoScr=script&amp;mode=search", "토지이음")</f>
        <v/>
      </c>
      <c r="O111" s="3" t="inlineStr">
        <is>
          <t>서초만땅</t>
        </is>
      </c>
      <c r="P111" s="3" t="n">
        <v>1</v>
      </c>
      <c r="Q111" s="3" t="n">
        <v>528.3</v>
      </c>
      <c r="R111" s="3" t="inlineStr">
        <is>
          <t>지정되지않음</t>
        </is>
      </c>
      <c r="S111" s="3" t="inlineStr">
        <is>
          <t>상업용</t>
        </is>
      </c>
      <c r="T111" s="3" t="inlineStr">
        <is>
          <t>평지</t>
        </is>
      </c>
      <c r="U111" s="3" t="inlineStr">
        <is>
          <t>세로장방</t>
        </is>
      </c>
      <c r="V111" s="3" t="inlineStr">
        <is>
          <t>중로각지</t>
        </is>
      </c>
    </row>
    <row r="112">
      <c r="A112" s="3" t="inlineStr">
        <is>
          <t>세종특별자치시 고운동 1934</t>
        </is>
      </c>
      <c r="B112" s="3" t="inlineStr">
        <is>
          <t>제1종전용주거지역</t>
        </is>
      </c>
      <c r="C112" s="3" t="inlineStr">
        <is>
          <t>대</t>
        </is>
      </c>
      <c r="D112" s="3" t="inlineStr">
        <is>
          <t>대</t>
        </is>
      </c>
      <c r="E112" s="3" t="inlineStr">
        <is>
          <t>매매</t>
        </is>
      </c>
      <c r="F112" s="4" t="n">
        <v>85000</v>
      </c>
      <c r="G112" s="4" t="n">
        <v>331</v>
      </c>
      <c r="H112" s="4" t="n">
        <v>100</v>
      </c>
      <c r="I112" s="5" t="n">
        <v>850</v>
      </c>
      <c r="J112" s="4" t="n">
        <v>297.2</v>
      </c>
      <c r="K112" s="3" t="inlineStr">
        <is>
          <t>인근 고급단독주택형성된 남향의 반듯한 단독주택부지, 가격조율가능</t>
        </is>
      </c>
      <c r="L112" s="6">
        <f>HYPERLINK("https://fin.land.naver.com/articles/2647094929", "매물Link")</f>
        <v/>
      </c>
      <c r="M112" s="6">
        <f>HYPERLINK("https://map.naver.com/p/search/세종특별자치시 고운동 1934", "지도Link")</f>
        <v/>
      </c>
      <c r="N112" s="6">
        <f>HYPERLINK("http://www.eum.go.kr/web/ar/lu/luLandDet.jsp?pnu=3611011200119340000&amp;isNoScr=script&amp;mode=search", "토지이음")</f>
        <v/>
      </c>
      <c r="O112" s="3" t="inlineStr">
        <is>
          <t>명품시티</t>
        </is>
      </c>
      <c r="P112" s="3" t="n">
        <v>1</v>
      </c>
      <c r="Q112" s="3" t="n">
        <v>331</v>
      </c>
      <c r="R112" s="3" t="inlineStr">
        <is>
          <t>지정되지않음</t>
        </is>
      </c>
      <c r="S112" s="3" t="inlineStr">
        <is>
          <t>주거나지</t>
        </is>
      </c>
      <c r="T112" s="3" t="inlineStr">
        <is>
          <t>평지</t>
        </is>
      </c>
      <c r="U112" s="3" t="inlineStr">
        <is>
          <t>세로장방</t>
        </is>
      </c>
      <c r="V112" s="3" t="inlineStr">
        <is>
          <t>소로한면</t>
        </is>
      </c>
    </row>
    <row r="113">
      <c r="A113" s="3" t="inlineStr">
        <is>
          <t>세종특별자치시 고운동 1940</t>
        </is>
      </c>
      <c r="B113" s="3" t="inlineStr">
        <is>
          <t>제1종전용주거지역</t>
        </is>
      </c>
      <c r="C113" s="3" t="inlineStr">
        <is>
          <t>대</t>
        </is>
      </c>
      <c r="D113" s="3" t="inlineStr">
        <is>
          <t>대</t>
        </is>
      </c>
      <c r="E113" s="3" t="inlineStr">
        <is>
          <t>매매</t>
        </is>
      </c>
      <c r="F113" s="4" t="n">
        <v>54000</v>
      </c>
      <c r="G113" s="4" t="n">
        <v>355</v>
      </c>
      <c r="H113" s="4" t="n">
        <v>107</v>
      </c>
      <c r="I113" s="5" t="n">
        <v>504.7</v>
      </c>
      <c r="J113" s="4" t="n">
        <v>335.5</v>
      </c>
      <c r="K113" s="3" t="inlineStr">
        <is>
          <t>nan</t>
        </is>
      </c>
      <c r="L113" s="6">
        <f>HYPERLINK("https://fin.land.naver.com/articles/2648367069", "매물Link")</f>
        <v/>
      </c>
      <c r="M113" s="6">
        <f>HYPERLINK("https://map.naver.com/p/search/세종특별자치시 고운동 1940", "지도Link")</f>
        <v/>
      </c>
      <c r="N113" s="6">
        <f>HYPERLINK("http://www.eum.go.kr/web/ar/lu/luLandDet.jsp?pnu=3611011200119400000&amp;isNoScr=script&amp;mode=search", "토지이음")</f>
        <v/>
      </c>
      <c r="O113" s="3" t="inlineStr">
        <is>
          <t>백프로</t>
        </is>
      </c>
      <c r="P113" s="3" t="n">
        <v>1</v>
      </c>
      <c r="Q113" s="3" t="n">
        <v>355.9</v>
      </c>
      <c r="R113" s="3" t="inlineStr">
        <is>
          <t>지정되지않음</t>
        </is>
      </c>
      <c r="S113" s="3" t="inlineStr">
        <is>
          <t>주거나지</t>
        </is>
      </c>
      <c r="T113" s="3" t="inlineStr">
        <is>
          <t>평지</t>
        </is>
      </c>
      <c r="U113" s="3" t="inlineStr">
        <is>
          <t>세로장방</t>
        </is>
      </c>
      <c r="V113" s="3" t="inlineStr">
        <is>
          <t>중로각지</t>
        </is>
      </c>
    </row>
    <row r="114">
      <c r="A114" s="3" t="inlineStr">
        <is>
          <t>세종특별자치시 고운동 1951</t>
        </is>
      </c>
      <c r="B114" s="3" t="inlineStr">
        <is>
          <t>제1종전용주거지역</t>
        </is>
      </c>
      <c r="C114" s="3" t="inlineStr">
        <is>
          <t>대</t>
        </is>
      </c>
      <c r="D114" s="3" t="inlineStr">
        <is>
          <t>대</t>
        </is>
      </c>
      <c r="E114" s="3" t="inlineStr">
        <is>
          <t>매매</t>
        </is>
      </c>
      <c r="F114" s="4" t="n">
        <v>52000</v>
      </c>
      <c r="G114" s="4" t="n">
        <v>334</v>
      </c>
      <c r="H114" s="4" t="n">
        <v>101</v>
      </c>
      <c r="I114" s="5" t="n">
        <v>514.9</v>
      </c>
      <c r="J114" s="4" t="n">
        <v>308.7</v>
      </c>
      <c r="K114" s="3" t="inlineStr">
        <is>
          <t>코너각지에 보행자도로 접하고 남향으로 반듯한 단독주택부지, 가격조정 가능</t>
        </is>
      </c>
      <c r="L114" s="6">
        <f>HYPERLINK("https://fin.land.naver.com/articles/2649697362", "매물Link")</f>
        <v/>
      </c>
      <c r="M114" s="6">
        <f>HYPERLINK("https://map.naver.com/p/search/세종특별자치시 고운동 1951", "지도Link")</f>
        <v/>
      </c>
      <c r="N114" s="6">
        <f>HYPERLINK("http://www.eum.go.kr/web/ar/lu/luLandDet.jsp?pnu=3611011200119510000&amp;isNoScr=script&amp;mode=search", "토지이음")</f>
        <v/>
      </c>
      <c r="O114" s="3" t="inlineStr">
        <is>
          <t>온뜰</t>
        </is>
      </c>
      <c r="P114" s="3" t="n">
        <v>1</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세종특별자치시 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코너 급매, 초중교 인접, 생활편의시설 다양함, 대중교통 편리함</t>
        </is>
      </c>
      <c r="L115" s="6">
        <f>HYPERLINK("https://fin.land.naver.com/articles/2649034509", "매물Link")</f>
        <v/>
      </c>
      <c r="M115" s="6">
        <f>HYPERLINK("https://map.naver.com/p/search/세종특별자치시 고운동 1951", "지도Link")</f>
        <v/>
      </c>
      <c r="N115" s="6">
        <f>HYPERLINK("http://www.eum.go.kr/web/ar/lu/luLandDet.jsp?pnu=3611011200119510000&amp;isNoScr=script&amp;mode=search", "토지이음")</f>
        <v/>
      </c>
      <c r="O115" s="3" t="inlineStr">
        <is>
          <t>백프로</t>
        </is>
      </c>
      <c r="P115" s="3" t="n">
        <v>2</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세종특별자치시 고운동 1951</t>
        </is>
      </c>
      <c r="B116" s="3" t="inlineStr">
        <is>
          <t>제1종전용주거지역</t>
        </is>
      </c>
      <c r="C116" s="3" t="inlineStr">
        <is>
          <t>대</t>
        </is>
      </c>
      <c r="D116" s="3" t="inlineStr">
        <is>
          <t>대</t>
        </is>
      </c>
      <c r="E116" s="3" t="inlineStr">
        <is>
          <t>매매</t>
        </is>
      </c>
      <c r="F116" s="4" t="n">
        <v>50000</v>
      </c>
      <c r="G116" s="4" t="n">
        <v>334</v>
      </c>
      <c r="H116" s="4" t="n">
        <v>101</v>
      </c>
      <c r="I116" s="5" t="n">
        <v>495</v>
      </c>
      <c r="J116" s="4" t="n">
        <v>308.7</v>
      </c>
      <c r="K116" s="3" t="inlineStr">
        <is>
          <t>급매,막힘없는 코너각지,주민센터 및 항아리중심상권</t>
        </is>
      </c>
      <c r="L116" s="6">
        <f>HYPERLINK("https://fin.land.naver.com/articles/2644714013", "매물Link")</f>
        <v/>
      </c>
      <c r="M116" s="6">
        <f>HYPERLINK("https://map.naver.com/p/search/세종특별자치시 고운동 1951", "지도Link")</f>
        <v/>
      </c>
      <c r="N116" s="6">
        <f>HYPERLINK("http://www.eum.go.kr/web/ar/lu/luLandDet.jsp?pnu=3611011200119510000&amp;isNoScr=script&amp;mode=search", "토지이음")</f>
        <v/>
      </c>
      <c r="O116" s="3" t="inlineStr">
        <is>
          <t>고운맘</t>
        </is>
      </c>
      <c r="P116" s="3" t="n">
        <v>1</v>
      </c>
      <c r="Q116" s="3" t="n">
        <v>334</v>
      </c>
      <c r="R116" s="3" t="inlineStr">
        <is>
          <t>지정되지않음</t>
        </is>
      </c>
      <c r="S116" s="3" t="inlineStr">
        <is>
          <t>주거나지</t>
        </is>
      </c>
      <c r="T116" s="3" t="inlineStr">
        <is>
          <t>평지</t>
        </is>
      </c>
      <c r="U116" s="3" t="inlineStr">
        <is>
          <t>사다리형</t>
        </is>
      </c>
      <c r="V116" s="3" t="inlineStr">
        <is>
          <t>소로각지</t>
        </is>
      </c>
    </row>
    <row r="117">
      <c r="A117" s="3" t="inlineStr">
        <is>
          <t>세종특별자치시 고운동 1954</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급매,전원형 주택단지 남향필지</t>
        </is>
      </c>
      <c r="L117" s="6">
        <f>HYPERLINK("https://fin.land.naver.com/articles/2649745305", "매물Link")</f>
        <v/>
      </c>
      <c r="M117" s="6">
        <f>HYPERLINK("https://map.naver.com/p/search/세종특별자치시 고운동 1954", "지도Link")</f>
        <v/>
      </c>
      <c r="N117" s="6">
        <f>HYPERLINK("http://www.eum.go.kr/web/ar/lu/luLandDet.jsp?pnu=3611011200119540000&amp;isNoScr=script&amp;mode=search", "토지이음")</f>
        <v/>
      </c>
      <c r="O117" s="3" t="inlineStr">
        <is>
          <t>킹세종</t>
        </is>
      </c>
      <c r="P117" s="3" t="n">
        <v>2</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세종특별자치시 고운동 1955</t>
        </is>
      </c>
      <c r="B118" s="3" t="inlineStr">
        <is>
          <t>제1종전용주거지역</t>
        </is>
      </c>
      <c r="C118" s="3" t="inlineStr">
        <is>
          <t>대</t>
        </is>
      </c>
      <c r="D118" s="3" t="inlineStr">
        <is>
          <t>대</t>
        </is>
      </c>
      <c r="E118" s="3" t="inlineStr">
        <is>
          <t>매매</t>
        </is>
      </c>
      <c r="F118" s="4" t="n">
        <v>63000</v>
      </c>
      <c r="G118" s="4" t="n">
        <v>375</v>
      </c>
      <c r="H118" s="4" t="n">
        <v>113</v>
      </c>
      <c r="I118" s="5" t="n">
        <v>557.5</v>
      </c>
      <c r="J118" s="4" t="n">
        <v>297.1</v>
      </c>
      <c r="K118" s="3" t="inlineStr">
        <is>
          <t>남향,  공원인접,  학교 및 편의시설</t>
        </is>
      </c>
      <c r="L118" s="6">
        <f>HYPERLINK("https://fin.land.naver.com/articles/2649038204", "매물Link")</f>
        <v/>
      </c>
      <c r="M118" s="6">
        <f>HYPERLINK("https://map.naver.com/p/search/세종특별자치시 고운동 1955", "지도Link")</f>
        <v/>
      </c>
      <c r="N118" s="6">
        <f>HYPERLINK("http://www.eum.go.kr/web/ar/lu/luLandDet.jsp?pnu=3611011200119550000&amp;isNoScr=script&amp;mode=search", "토지이음")</f>
        <v/>
      </c>
      <c r="O118" s="3" t="inlineStr">
        <is>
          <t>백프로</t>
        </is>
      </c>
      <c r="P118" s="3" t="n">
        <v>3</v>
      </c>
      <c r="Q118" s="3" t="n">
        <v>375.4</v>
      </c>
      <c r="R118" s="3" t="inlineStr">
        <is>
          <t>지정되지않음</t>
        </is>
      </c>
      <c r="S118" s="3" t="inlineStr">
        <is>
          <t>주거나지</t>
        </is>
      </c>
      <c r="T118" s="3" t="inlineStr">
        <is>
          <t>평지</t>
        </is>
      </c>
      <c r="U118" s="3" t="inlineStr">
        <is>
          <t>세로장방</t>
        </is>
      </c>
      <c r="V118" s="3" t="inlineStr">
        <is>
          <t>소로한면</t>
        </is>
      </c>
    </row>
    <row r="119">
      <c r="A119" s="3" t="inlineStr">
        <is>
          <t>세종특별자치시 고운동 1959</t>
        </is>
      </c>
      <c r="B119" s="3" t="inlineStr">
        <is>
          <t>제1종전용주거지역</t>
        </is>
      </c>
      <c r="C119" s="3" t="inlineStr">
        <is>
          <t>대</t>
        </is>
      </c>
      <c r="D119" s="3" t="inlineStr">
        <is>
          <t>대</t>
        </is>
      </c>
      <c r="E119" s="3" t="inlineStr">
        <is>
          <t>매매</t>
        </is>
      </c>
      <c r="F119" s="4" t="n">
        <v>65000</v>
      </c>
      <c r="G119" s="4" t="n">
        <v>352</v>
      </c>
      <c r="H119" s="4" t="n">
        <v>106</v>
      </c>
      <c r="I119" s="5" t="n">
        <v>613.2</v>
      </c>
      <c r="J119" s="4" t="n">
        <v>297.1</v>
      </c>
      <c r="K119" s="3" t="inlineStr">
        <is>
          <t>공원조망 정남향 최고위치 조율가능</t>
        </is>
      </c>
      <c r="L119" s="6">
        <f>HYPERLINK("https://fin.land.naver.com/articles/2644917615", "매물Link")</f>
        <v/>
      </c>
      <c r="M119" s="6">
        <f>HYPERLINK("https://map.naver.com/p/search/세종특별자치시 고운동 1959", "지도Link")</f>
        <v/>
      </c>
      <c r="N119" s="6">
        <f>HYPERLINK("http://www.eum.go.kr/web/ar/lu/luLandDet.jsp?pnu=3611011200119590000&amp;isNoScr=script&amp;mode=search", "토지이음")</f>
        <v/>
      </c>
      <c r="O119" s="3" t="inlineStr">
        <is>
          <t>세종스타</t>
        </is>
      </c>
      <c r="P119" s="3" t="n">
        <v>1</v>
      </c>
      <c r="Q119" s="3" t="n">
        <v>352</v>
      </c>
      <c r="R119" s="3" t="inlineStr">
        <is>
          <t>지정되지않음</t>
        </is>
      </c>
      <c r="S119" s="3" t="inlineStr">
        <is>
          <t>주거나지</t>
        </is>
      </c>
      <c r="T119" s="3" t="inlineStr">
        <is>
          <t>평지</t>
        </is>
      </c>
      <c r="U119" s="3" t="inlineStr">
        <is>
          <t>세로장방</t>
        </is>
      </c>
      <c r="V119" s="3" t="inlineStr">
        <is>
          <t>소로한면</t>
        </is>
      </c>
    </row>
    <row r="120">
      <c r="A120" s="3" t="inlineStr">
        <is>
          <t>세종특별자치시 고운동 1967</t>
        </is>
      </c>
      <c r="B120" s="3" t="inlineStr">
        <is>
          <t>제1종전용주거지역</t>
        </is>
      </c>
      <c r="C120" s="3" t="inlineStr">
        <is>
          <t>대</t>
        </is>
      </c>
      <c r="D120" s="3" t="inlineStr">
        <is>
          <t>대</t>
        </is>
      </c>
      <c r="E120" s="3" t="inlineStr">
        <is>
          <t>매매</t>
        </is>
      </c>
      <c r="F120" s="4" t="n">
        <v>64900</v>
      </c>
      <c r="G120" s="4" t="n">
        <v>390</v>
      </c>
      <c r="H120" s="4" t="n">
        <v>118</v>
      </c>
      <c r="I120" s="5" t="n">
        <v>550</v>
      </c>
      <c r="J120" s="4" t="n">
        <v>297.2</v>
      </c>
      <c r="K120" s="3" t="inlineStr">
        <is>
          <t>위치 좋은 큰 면적 단독주택지 매매</t>
        </is>
      </c>
      <c r="L120" s="6">
        <f>HYPERLINK("https://fin.land.naver.com/articles/2646674386", "매물Link")</f>
        <v/>
      </c>
      <c r="M120" s="6">
        <f>HYPERLINK("https://map.naver.com/p/search/세종특별자치시 고운동 1967", "지도Link")</f>
        <v/>
      </c>
      <c r="N120" s="6">
        <f>HYPERLINK("http://www.eum.go.kr/web/ar/lu/luLandDet.jsp?pnu=3611011200119670000&amp;isNoScr=script&amp;mode=search", "토지이음")</f>
        <v/>
      </c>
      <c r="O120" s="3" t="inlineStr">
        <is>
          <t>로데오상가</t>
        </is>
      </c>
      <c r="P120" s="3" t="n">
        <v>1</v>
      </c>
      <c r="Q120" s="3" t="n">
        <v>390</v>
      </c>
      <c r="R120" s="3" t="inlineStr">
        <is>
          <t>지정되지않음</t>
        </is>
      </c>
      <c r="S120" s="3" t="inlineStr">
        <is>
          <t>주거나지</t>
        </is>
      </c>
      <c r="T120" s="3" t="inlineStr">
        <is>
          <t>평지</t>
        </is>
      </c>
      <c r="U120" s="3" t="inlineStr">
        <is>
          <t>세로장방</t>
        </is>
      </c>
      <c r="V120" s="3" t="inlineStr">
        <is>
          <t>소로한면</t>
        </is>
      </c>
    </row>
    <row r="121">
      <c r="A121" s="3" t="inlineStr">
        <is>
          <t>세종특별자치시 고운동 1980</t>
        </is>
      </c>
      <c r="B121" s="3" t="inlineStr">
        <is>
          <t>제1종전용주거지역</t>
        </is>
      </c>
      <c r="C121" s="3" t="inlineStr">
        <is>
          <t>대</t>
        </is>
      </c>
      <c r="D121" s="3" t="inlineStr">
        <is>
          <t>대</t>
        </is>
      </c>
      <c r="E121" s="3" t="inlineStr">
        <is>
          <t>매매</t>
        </is>
      </c>
      <c r="F121" s="4" t="n">
        <v>75000</v>
      </c>
      <c r="G121" s="4" t="n">
        <v>362</v>
      </c>
      <c r="H121" s="4" t="n">
        <v>110</v>
      </c>
      <c r="I121" s="5" t="n">
        <v>681.8</v>
      </c>
      <c r="J121" s="4" t="n">
        <v>297.2</v>
      </c>
      <c r="K121" s="3" t="inlineStr">
        <is>
          <t>I 신한 I 일조권 최상, 햇살 가득한 정남향 단독주택 필지</t>
        </is>
      </c>
      <c r="L121" s="6">
        <f>HYPERLINK("https://fin.land.naver.com/articles/2645748156", "매물Link")</f>
        <v/>
      </c>
      <c r="M121" s="6">
        <f>HYPERLINK("https://map.naver.com/p/search/세종특별자치시 고운동 1980", "지도Link")</f>
        <v/>
      </c>
      <c r="N121" s="6">
        <f>HYPERLINK("http://www.eum.go.kr/web/ar/lu/luLandDet.jsp?pnu=3611011200119800000&amp;isNoScr=script&amp;mode=search", "토지이음")</f>
        <v/>
      </c>
      <c r="O121" s="3" t="inlineStr">
        <is>
          <t>세종신한</t>
        </is>
      </c>
      <c r="P121" s="3" t="n">
        <v>1</v>
      </c>
      <c r="Q121" s="3" t="n">
        <v>362.1</v>
      </c>
      <c r="R121" s="3" t="inlineStr">
        <is>
          <t>지정되지않음</t>
        </is>
      </c>
      <c r="S121" s="3" t="inlineStr">
        <is>
          <t>주거나지</t>
        </is>
      </c>
      <c r="T121" s="3" t="inlineStr">
        <is>
          <t>평지</t>
        </is>
      </c>
      <c r="U121" s="3" t="inlineStr">
        <is>
          <t>세로장방</t>
        </is>
      </c>
      <c r="V121" s="3" t="inlineStr">
        <is>
          <t>소로한면</t>
        </is>
      </c>
    </row>
    <row r="122">
      <c r="A122" s="3" t="inlineStr">
        <is>
          <t>세종특별자치시 고운동 2014</t>
        </is>
      </c>
      <c r="B122" s="3" t="inlineStr">
        <is>
          <t>제1종전용주거지역</t>
        </is>
      </c>
      <c r="C122" s="3" t="inlineStr">
        <is>
          <t>대</t>
        </is>
      </c>
      <c r="D122" s="3" t="inlineStr">
        <is>
          <t>대</t>
        </is>
      </c>
      <c r="E122" s="3" t="inlineStr">
        <is>
          <t>매매</t>
        </is>
      </c>
      <c r="F122" s="4" t="n">
        <v>65000</v>
      </c>
      <c r="G122" s="4" t="n">
        <v>389</v>
      </c>
      <c r="H122" s="4" t="n">
        <v>118</v>
      </c>
      <c r="I122" s="5" t="n">
        <v>550.8</v>
      </c>
      <c r="J122" s="4" t="n">
        <v>297.2</v>
      </c>
      <c r="K122" s="3" t="inlineStr">
        <is>
          <t>급매매,전원형 주택단지 ,남향에 보행자도로 접</t>
        </is>
      </c>
      <c r="L122" s="6">
        <f>HYPERLINK("https://fin.land.naver.com/articles/2649627304", "매물Link")</f>
        <v/>
      </c>
      <c r="M122" s="6">
        <f>HYPERLINK("https://map.naver.com/p/search/세종특별자치시 고운동 2014", "지도Link")</f>
        <v/>
      </c>
      <c r="N122" s="6">
        <f>HYPERLINK("http://www.eum.go.kr/web/ar/lu/luLandDet.jsp?pnu=3611011200120140000&amp;isNoScr=script&amp;mode=search", "토지이음")</f>
        <v/>
      </c>
      <c r="O122" s="3" t="inlineStr">
        <is>
          <t>킹세종</t>
        </is>
      </c>
      <c r="P122" s="3" t="n">
        <v>2</v>
      </c>
      <c r="Q122" s="3" t="n">
        <v>389.7</v>
      </c>
      <c r="R122" s="3" t="inlineStr">
        <is>
          <t>지정되지않음</t>
        </is>
      </c>
      <c r="S122" s="3" t="inlineStr">
        <is>
          <t>주거나지</t>
        </is>
      </c>
      <c r="T122" s="3" t="inlineStr">
        <is>
          <t>평지</t>
        </is>
      </c>
      <c r="U122" s="3" t="inlineStr">
        <is>
          <t>세로장방</t>
        </is>
      </c>
      <c r="V122" s="3" t="inlineStr">
        <is>
          <t>소로한면</t>
        </is>
      </c>
    </row>
    <row r="123">
      <c r="A123" s="3" t="inlineStr">
        <is>
          <t>세종특별자치시 고운동 2025</t>
        </is>
      </c>
      <c r="B123" s="3" t="inlineStr">
        <is>
          <t>제1종전용주거지역</t>
        </is>
      </c>
      <c r="C123" s="3" t="inlineStr">
        <is>
          <t>대</t>
        </is>
      </c>
      <c r="D123" s="3" t="inlineStr">
        <is>
          <t>대</t>
        </is>
      </c>
      <c r="E123" s="3" t="inlineStr">
        <is>
          <t>매매</t>
        </is>
      </c>
      <c r="F123" s="4" t="n">
        <v>101920</v>
      </c>
      <c r="G123" s="4" t="n">
        <v>345</v>
      </c>
      <c r="H123" s="4" t="n">
        <v>104</v>
      </c>
      <c r="I123" s="5" t="n">
        <v>980</v>
      </c>
      <c r="J123" s="4" t="n">
        <v>297.2</v>
      </c>
      <c r="K123" s="3" t="inlineStr">
        <is>
          <t>고운동 1종 전용주거지역 단독주택지 매매,정남향,뻥뷰</t>
        </is>
      </c>
      <c r="L123" s="6">
        <f>HYPERLINK("https://fin.land.naver.com/articles/2644745174", "매물Link")</f>
        <v/>
      </c>
      <c r="M123" s="6">
        <f>HYPERLINK("https://map.naver.com/p/search/세종특별자치시 고운동 2025", "지도Link")</f>
        <v/>
      </c>
      <c r="N123" s="6">
        <f>HYPERLINK("http://www.eum.go.kr/web/ar/lu/luLandDet.jsp?pnu=3611011200120250000&amp;isNoScr=script&amp;mode=search", "토지이음")</f>
        <v/>
      </c>
      <c r="O123" s="3" t="inlineStr">
        <is>
          <t>천재원</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세종특별자치시 고운동 2025</t>
        </is>
      </c>
      <c r="B124" s="3" t="inlineStr">
        <is>
          <t>제1종전용주거지역</t>
        </is>
      </c>
      <c r="C124" s="3" t="inlineStr">
        <is>
          <t>대</t>
        </is>
      </c>
      <c r="D124" s="3" t="inlineStr">
        <is>
          <t>대</t>
        </is>
      </c>
      <c r="E124" s="3" t="inlineStr">
        <is>
          <t>매매</t>
        </is>
      </c>
      <c r="F124" s="4" t="n">
        <v>79000</v>
      </c>
      <c r="G124" s="4" t="n">
        <v>345</v>
      </c>
      <c r="H124" s="4" t="n">
        <v>104</v>
      </c>
      <c r="I124" s="5" t="n">
        <v>759.6</v>
      </c>
      <c r="J124" s="4" t="n">
        <v>297.2</v>
      </c>
      <c r="K124" s="3" t="inlineStr">
        <is>
          <t>고운동 남측, 인기좋은 단독주택지, 주변에 예쁜 주택 지어져 있음</t>
        </is>
      </c>
      <c r="L124" s="6">
        <f>HYPERLINK("https://fin.land.naver.com/articles/2647095527", "매물Link")</f>
        <v/>
      </c>
      <c r="M124" s="6">
        <f>HYPERLINK("https://map.naver.com/p/search/세종특별자치시 고운동 2025", "지도Link")</f>
        <v/>
      </c>
      <c r="N124" s="6">
        <f>HYPERLINK("http://www.eum.go.kr/web/ar/lu/luLandDet.jsp?pnu=3611011200120250000&amp;isNoScr=script&amp;mode=search", "토지이음")</f>
        <v/>
      </c>
      <c r="O124" s="3" t="inlineStr">
        <is>
          <t>명품시티</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세종특별자치시 고운동 2025</t>
        </is>
      </c>
      <c r="B125" s="3" t="inlineStr">
        <is>
          <t>제1종전용주거지역</t>
        </is>
      </c>
      <c r="C125" s="3" t="inlineStr">
        <is>
          <t>대</t>
        </is>
      </c>
      <c r="D125" s="3" t="inlineStr">
        <is>
          <t>대</t>
        </is>
      </c>
      <c r="E125" s="3" t="inlineStr">
        <is>
          <t>매매</t>
        </is>
      </c>
      <c r="F125" s="4" t="n">
        <v>91000</v>
      </c>
      <c r="G125" s="4" t="n">
        <v>345</v>
      </c>
      <c r="H125" s="4" t="n">
        <v>104</v>
      </c>
      <c r="I125" s="5" t="n">
        <v>875</v>
      </c>
      <c r="J125" s="4" t="n">
        <v>297.2</v>
      </c>
      <c r="K125" s="3" t="inlineStr">
        <is>
          <t>도로 접한 남향 주택 건축하기좋은 면적과 모양</t>
        </is>
      </c>
      <c r="L125" s="6">
        <f>HYPERLINK("https://fin.land.naver.com/articles/2644527861", "매물Link")</f>
        <v/>
      </c>
      <c r="M125" s="6">
        <f>HYPERLINK("https://map.naver.com/p/search/세종특별자치시 고운동 2025", "지도Link")</f>
        <v/>
      </c>
      <c r="N125" s="6">
        <f>HYPERLINK("http://www.eum.go.kr/web/ar/lu/luLandDet.jsp?pnu=3611011200120250000&amp;isNoScr=script&amp;mode=search", "토지이음")</f>
        <v/>
      </c>
      <c r="O125" s="3" t="inlineStr">
        <is>
          <t>학하랜드</t>
        </is>
      </c>
      <c r="P125" s="3" t="n">
        <v>1</v>
      </c>
      <c r="Q125" s="3" t="n">
        <v>345</v>
      </c>
      <c r="R125" s="3" t="inlineStr">
        <is>
          <t>지정되지않음</t>
        </is>
      </c>
      <c r="S125" s="3" t="inlineStr">
        <is>
          <t>주거나지</t>
        </is>
      </c>
      <c r="T125" s="3" t="inlineStr">
        <is>
          <t>평지</t>
        </is>
      </c>
      <c r="U125" s="3" t="inlineStr">
        <is>
          <t>세로장방</t>
        </is>
      </c>
      <c r="V125" s="3" t="inlineStr">
        <is>
          <t>소로한면</t>
        </is>
      </c>
    </row>
    <row r="126">
      <c r="A126" s="3" t="inlineStr">
        <is>
          <t>세종특별자치시 고운동 2035</t>
        </is>
      </c>
      <c r="B126" s="3" t="inlineStr">
        <is>
          <t>제1종전용주거지역</t>
        </is>
      </c>
      <c r="C126" s="3" t="inlineStr">
        <is>
          <t>대</t>
        </is>
      </c>
      <c r="D126" s="3" t="inlineStr">
        <is>
          <t>대</t>
        </is>
      </c>
      <c r="E126" s="3" t="inlineStr">
        <is>
          <t>매매</t>
        </is>
      </c>
      <c r="F126" s="4" t="n">
        <v>57000</v>
      </c>
      <c r="G126" s="4" t="n">
        <v>349</v>
      </c>
      <c r="H126" s="4" t="n">
        <v>106</v>
      </c>
      <c r="I126" s="5" t="n">
        <v>537.7</v>
      </c>
      <c r="J126" s="4" t="n">
        <v>297.1</v>
      </c>
      <c r="K126" s="3" t="inlineStr">
        <is>
          <t>급매 뒷편 넓은공원 남쪽 연결녹지 시유지접함</t>
        </is>
      </c>
      <c r="L126" s="6">
        <f>HYPERLINK("https://fin.land.naver.com/articles/2649812086", "매물Link")</f>
        <v/>
      </c>
      <c r="M126" s="6">
        <f>HYPERLINK("https://map.naver.com/p/search/세종특별자치시 고운동 2035", "지도Link")</f>
        <v/>
      </c>
      <c r="N126" s="6">
        <f>HYPERLINK("http://www.eum.go.kr/web/ar/lu/luLandDet.jsp?pnu=3611011200120350000&amp;isNoScr=script&amp;mode=search", "토지이음")</f>
        <v/>
      </c>
      <c r="O126" s="3" t="inlineStr">
        <is>
          <t>세종스타</t>
        </is>
      </c>
      <c r="P126" s="3" t="n">
        <v>1</v>
      </c>
      <c r="Q126" s="3" t="n">
        <v>349.7</v>
      </c>
      <c r="R126" s="3" t="inlineStr">
        <is>
          <t>지정되지않음</t>
        </is>
      </c>
      <c r="S126" s="3" t="inlineStr">
        <is>
          <t>주거나지</t>
        </is>
      </c>
      <c r="T126" s="3" t="inlineStr">
        <is>
          <t>평지</t>
        </is>
      </c>
      <c r="U126" s="3" t="inlineStr">
        <is>
          <t>세로장방</t>
        </is>
      </c>
      <c r="V126" s="3" t="inlineStr">
        <is>
          <t>소로한면</t>
        </is>
      </c>
    </row>
    <row r="127">
      <c r="A127" s="3" t="inlineStr">
        <is>
          <t>세종특별자치시 고운동 2043</t>
        </is>
      </c>
      <c r="B127" s="3" t="inlineStr">
        <is>
          <t>제1종전용주거지역</t>
        </is>
      </c>
      <c r="C127" s="3" t="inlineStr">
        <is>
          <t>대</t>
        </is>
      </c>
      <c r="D127" s="3" t="inlineStr">
        <is>
          <t>대</t>
        </is>
      </c>
      <c r="E127" s="3" t="inlineStr">
        <is>
          <t>매매</t>
        </is>
      </c>
      <c r="F127" s="4" t="n">
        <v>70000</v>
      </c>
      <c r="G127" s="4" t="n">
        <v>392</v>
      </c>
      <c r="H127" s="4" t="n">
        <v>119</v>
      </c>
      <c r="I127" s="5" t="n">
        <v>588.2</v>
      </c>
      <c r="J127" s="4" t="n">
        <v>308.7</v>
      </c>
      <c r="K127" s="3" t="inlineStr">
        <is>
          <t>코너각지 정남향 고운동 선호도 높은 D8구역 단독주택지</t>
        </is>
      </c>
      <c r="L127" s="6">
        <f>HYPERLINK("https://fin.land.naver.com/articles/2645721125", "매물Link")</f>
        <v/>
      </c>
      <c r="M127" s="6">
        <f>HYPERLINK("https://map.naver.com/p/search/세종특별자치시 고운동 2043", "지도Link")</f>
        <v/>
      </c>
      <c r="N127" s="6">
        <f>HYPERLINK("http://www.eum.go.kr/web/ar/lu/luLandDet.jsp?pnu=3611011200120430000&amp;isNoScr=script&amp;mode=search", "토지이음")</f>
        <v/>
      </c>
      <c r="O127" s="3" t="inlineStr">
        <is>
          <t>세종스타</t>
        </is>
      </c>
      <c r="P127" s="3" t="n">
        <v>1</v>
      </c>
      <c r="Q127" s="3" t="n">
        <v>392.2</v>
      </c>
      <c r="R127" s="3" t="inlineStr">
        <is>
          <t>지정되지않음</t>
        </is>
      </c>
      <c r="S127" s="3" t="inlineStr">
        <is>
          <t>주거나지</t>
        </is>
      </c>
      <c r="T127" s="3" t="inlineStr">
        <is>
          <t>평지</t>
        </is>
      </c>
      <c r="U127" s="3" t="inlineStr">
        <is>
          <t>사다리형</t>
        </is>
      </c>
      <c r="V127" s="3" t="inlineStr">
        <is>
          <t>소로각지</t>
        </is>
      </c>
    </row>
    <row r="128">
      <c r="A128" s="3" t="inlineStr">
        <is>
          <t>세종특별자치시 고운동 2052</t>
        </is>
      </c>
      <c r="B128" s="3" t="inlineStr">
        <is>
          <t>제1종전용주거지역</t>
        </is>
      </c>
      <c r="C128" s="3" t="inlineStr">
        <is>
          <t>대</t>
        </is>
      </c>
      <c r="D128" s="3" t="inlineStr">
        <is>
          <t>대</t>
        </is>
      </c>
      <c r="E128" s="3" t="inlineStr">
        <is>
          <t>매매</t>
        </is>
      </c>
      <c r="F128" s="4" t="n">
        <v>73500</v>
      </c>
      <c r="G128" s="4" t="n">
        <v>348</v>
      </c>
      <c r="H128" s="4" t="n">
        <v>105</v>
      </c>
      <c r="I128" s="5" t="n">
        <v>700</v>
      </c>
      <c r="J128" s="4" t="n">
        <v>335.5</v>
      </c>
      <c r="K128" s="3" t="inlineStr">
        <is>
          <t>코너각지 막힘 없는 정남향의 택지</t>
        </is>
      </c>
      <c r="L128" s="6">
        <f>HYPERLINK("https://fin.land.naver.com/articles/2646440107", "매물Link")</f>
        <v/>
      </c>
      <c r="M128" s="6">
        <f>HYPERLINK("https://map.naver.com/p/search/세종특별자치시 고운동 2052", "지도Link")</f>
        <v/>
      </c>
      <c r="N128" s="6">
        <f>HYPERLINK("http://www.eum.go.kr/web/ar/lu/luLandDet.jsp?pnu=3611011200120520000&amp;isNoScr=script&amp;mode=search", "토지이음")</f>
        <v/>
      </c>
      <c r="O128" s="3" t="inlineStr">
        <is>
          <t>노은탑</t>
        </is>
      </c>
      <c r="P128" s="3" t="n">
        <v>1</v>
      </c>
      <c r="Q128" s="3" t="n">
        <v>348</v>
      </c>
      <c r="R128" s="3" t="inlineStr">
        <is>
          <t>지정되지않음</t>
        </is>
      </c>
      <c r="S128" s="3" t="inlineStr">
        <is>
          <t>주거나지</t>
        </is>
      </c>
      <c r="T128" s="3" t="inlineStr">
        <is>
          <t>평지</t>
        </is>
      </c>
      <c r="U128" s="3" t="inlineStr">
        <is>
          <t>세로장방</t>
        </is>
      </c>
      <c r="V128" s="3" t="inlineStr">
        <is>
          <t>중로각지</t>
        </is>
      </c>
    </row>
    <row r="129">
      <c r="A129" s="3" t="inlineStr">
        <is>
          <t>세종특별자치시 고운동 2098</t>
        </is>
      </c>
      <c r="B129" s="3" t="inlineStr">
        <is>
          <t>일반상업지역</t>
        </is>
      </c>
      <c r="C129" s="3" t="inlineStr">
        <is>
          <t>대</t>
        </is>
      </c>
      <c r="D129" s="3" t="inlineStr">
        <is>
          <t>대</t>
        </is>
      </c>
      <c r="E129" s="3" t="inlineStr">
        <is>
          <t>매매</t>
        </is>
      </c>
      <c r="F129" s="4" t="n">
        <v>530000</v>
      </c>
      <c r="G129" s="4" t="n">
        <v>615</v>
      </c>
      <c r="H129" s="4" t="n">
        <v>186</v>
      </c>
      <c r="I129" s="5" t="n">
        <v>2849.5</v>
      </c>
      <c r="J129" s="4" t="n">
        <v>1021.2</v>
      </c>
      <c r="K129" s="3" t="inlineStr">
        <is>
          <t>세종시 일반상업지 토지, 메디컬 및 상가빌딩 건축부지 추천</t>
        </is>
      </c>
      <c r="L129" s="6">
        <f>HYPERLINK("https://fin.land.naver.com/articles/2646662918", "매물Link")</f>
        <v/>
      </c>
      <c r="M129" s="6">
        <f>HYPERLINK("https://map.naver.com/p/search/세종특별자치시 고운동 2098", "지도Link")</f>
        <v/>
      </c>
      <c r="N129" s="6">
        <f>HYPERLINK("http://www.eum.go.kr/web/ar/lu/luLandDet.jsp?pnu=3611011200120980000&amp;isNoScr=script&amp;mode=search", "토지이음")</f>
        <v/>
      </c>
      <c r="O129" s="3" t="inlineStr">
        <is>
          <t>혜성</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세종특별자치시 고운동 2098</t>
        </is>
      </c>
      <c r="B130" s="3" t="inlineStr">
        <is>
          <t>일반상업지역</t>
        </is>
      </c>
      <c r="C130" s="3" t="inlineStr">
        <is>
          <t>대</t>
        </is>
      </c>
      <c r="D130" s="3" t="inlineStr">
        <is>
          <t>대</t>
        </is>
      </c>
      <c r="E130" s="3" t="inlineStr">
        <is>
          <t>매매</t>
        </is>
      </c>
      <c r="F130" s="4" t="n">
        <v>539400</v>
      </c>
      <c r="G130" s="4" t="n">
        <v>615</v>
      </c>
      <c r="H130" s="4" t="n">
        <v>186</v>
      </c>
      <c r="I130" s="5" t="n">
        <v>2900</v>
      </c>
      <c r="J130" s="4" t="n">
        <v>1021.2</v>
      </c>
      <c r="K130" s="3" t="inlineStr">
        <is>
          <t>세종시 고운동 상업지역 토지 매매</t>
        </is>
      </c>
      <c r="L130" s="6">
        <f>HYPERLINK("https://fin.land.naver.com/articles/2649606368", "매물Link")</f>
        <v/>
      </c>
      <c r="M130" s="6">
        <f>HYPERLINK("https://map.naver.com/p/search/세종특별자치시 고운동 2098", "지도Link")</f>
        <v/>
      </c>
      <c r="N130" s="6">
        <f>HYPERLINK("http://www.eum.go.kr/web/ar/lu/luLandDet.jsp?pnu=3611011200120980000&amp;isNoScr=script&amp;mode=search", "토지이음")</f>
        <v/>
      </c>
      <c r="O130" s="3" t="inlineStr">
        <is>
          <t>행복가득한</t>
        </is>
      </c>
      <c r="P130" s="3" t="n">
        <v>1</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세종특별자치시 고운동 2098</t>
        </is>
      </c>
      <c r="B131" s="3" t="inlineStr">
        <is>
          <t>일반상업지역</t>
        </is>
      </c>
      <c r="C131" s="3" t="inlineStr">
        <is>
          <t>대</t>
        </is>
      </c>
      <c r="D131" s="3" t="inlineStr">
        <is>
          <t>대</t>
        </is>
      </c>
      <c r="E131" s="3" t="inlineStr">
        <is>
          <t>매매</t>
        </is>
      </c>
      <c r="F131" s="4" t="n">
        <v>530000</v>
      </c>
      <c r="G131" s="4" t="n">
        <v>615</v>
      </c>
      <c r="H131" s="4" t="n">
        <v>186</v>
      </c>
      <c r="I131" s="5" t="n">
        <v>2849.5</v>
      </c>
      <c r="J131" s="4" t="n">
        <v>1021.2</v>
      </c>
      <c r="K131" s="3" t="inlineStr">
        <is>
          <t>세종시립도서관 인근에 위치한 대로변에 접한 위치좋은 대지 입니다.</t>
        </is>
      </c>
      <c r="L131" s="6">
        <f>HYPERLINK("https://fin.land.naver.com/articles/2649493417", "매물Link")</f>
        <v/>
      </c>
      <c r="M131" s="6">
        <f>HYPERLINK("https://map.naver.com/p/search/세종특별자치시 고운동 2098", "지도Link")</f>
        <v/>
      </c>
      <c r="N131" s="6">
        <f>HYPERLINK("http://www.eum.go.kr/web/ar/lu/luLandDet.jsp?pnu=3611011200120980000&amp;isNoScr=script&amp;mode=search", "토지이음")</f>
        <v/>
      </c>
      <c r="O131" s="3" t="inlineStr">
        <is>
          <t>가람</t>
        </is>
      </c>
      <c r="P131" s="3" t="n">
        <v>4</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세종특별자치시 고운동 2098</t>
        </is>
      </c>
      <c r="B132" s="3" t="inlineStr">
        <is>
          <t>일반상업지역</t>
        </is>
      </c>
      <c r="C132" s="3" t="inlineStr">
        <is>
          <t>대</t>
        </is>
      </c>
      <c r="D132" s="3" t="inlineStr">
        <is>
          <t>대</t>
        </is>
      </c>
      <c r="E132" s="3" t="inlineStr">
        <is>
          <t>매매</t>
        </is>
      </c>
      <c r="F132" s="4" t="n">
        <v>483600</v>
      </c>
      <c r="G132" s="4" t="n">
        <v>615</v>
      </c>
      <c r="H132" s="4" t="n">
        <v>186</v>
      </c>
      <c r="I132" s="5" t="n">
        <v>2600</v>
      </c>
      <c r="J132" s="4" t="n">
        <v>1021.2</v>
      </c>
      <c r="K132" s="3" t="inlineStr">
        <is>
          <t>세종 행복도시 상업지역 내 귀한 토지</t>
        </is>
      </c>
      <c r="L132" s="6">
        <f>HYPERLINK("https://fin.land.naver.com/articles/2644435616", "매물Link")</f>
        <v/>
      </c>
      <c r="M132" s="6">
        <f>HYPERLINK("https://map.naver.com/p/search/세종특별자치시 고운동 2098", "지도Link")</f>
        <v/>
      </c>
      <c r="N132" s="6">
        <f>HYPERLINK("http://www.eum.go.kr/web/ar/lu/luLandDet.jsp?pnu=3611011200120980000&amp;isNoScr=script&amp;mode=search", "토지이음")</f>
        <v/>
      </c>
      <c r="O132" s="3" t="inlineStr">
        <is>
          <t>수자인시티</t>
        </is>
      </c>
      <c r="P132" s="3" t="n">
        <v>2</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세종특별자치시 고운동 2098</t>
        </is>
      </c>
      <c r="B133" s="3" t="inlineStr">
        <is>
          <t>일반상업지역</t>
        </is>
      </c>
      <c r="C133" s="3" t="inlineStr">
        <is>
          <t>대</t>
        </is>
      </c>
      <c r="D133" s="3" t="inlineStr">
        <is>
          <t>대</t>
        </is>
      </c>
      <c r="E133" s="3" t="inlineStr">
        <is>
          <t>매매</t>
        </is>
      </c>
      <c r="F133" s="4" t="n">
        <v>540000</v>
      </c>
      <c r="G133" s="4" t="n">
        <v>615</v>
      </c>
      <c r="H133" s="4" t="n">
        <v>186</v>
      </c>
      <c r="I133" s="5" t="n">
        <v>2903.2</v>
      </c>
      <c r="J133" s="4" t="n">
        <v>1021.2</v>
      </c>
      <c r="K133" s="3" t="inlineStr">
        <is>
          <t>귀한 상업지 토지, 병원,근생, 주요도로 접근성유리 ,향후 상권활성화</t>
        </is>
      </c>
      <c r="L133" s="6">
        <f>HYPERLINK("https://fin.land.naver.com/articles/2646054776", "매물Link")</f>
        <v/>
      </c>
      <c r="M133" s="6">
        <f>HYPERLINK("https://map.naver.com/p/search/세종특별자치시 고운동 2098", "지도Link")</f>
        <v/>
      </c>
      <c r="N133" s="6">
        <f>HYPERLINK("http://www.eum.go.kr/web/ar/lu/luLandDet.jsp?pnu=3611011200120980000&amp;isNoScr=script&amp;mode=search", "토지이음")</f>
        <v/>
      </c>
      <c r="O133" s="3" t="inlineStr">
        <is>
          <t>세종특별시</t>
        </is>
      </c>
      <c r="P133" s="3" t="n">
        <v>1</v>
      </c>
      <c r="Q133" s="3" t="n">
        <v>615.5</v>
      </c>
      <c r="R133" s="3" t="inlineStr">
        <is>
          <t>지정되지않음</t>
        </is>
      </c>
      <c r="S133" s="3" t="inlineStr">
        <is>
          <t>상업나지</t>
        </is>
      </c>
      <c r="T133" s="3" t="inlineStr">
        <is>
          <t>평지</t>
        </is>
      </c>
      <c r="U133" s="3" t="inlineStr">
        <is>
          <t>세로장방</t>
        </is>
      </c>
      <c r="V133" s="3" t="inlineStr">
        <is>
          <t>중로한면</t>
        </is>
      </c>
    </row>
    <row r="134">
      <c r="A134" s="3" t="inlineStr">
        <is>
          <t>세종특별자치시 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파크힐즈 토지매매, 삼거리 앞</t>
        </is>
      </c>
      <c r="L134" s="6">
        <f>HYPERLINK("https://fin.land.naver.com/articles/2648833625", "매물Link")</f>
        <v/>
      </c>
      <c r="M134" s="6">
        <f>HYPERLINK("https://map.naver.com/p/search/세종특별자치시 고운동 2106-12", "지도Link")</f>
        <v/>
      </c>
      <c r="N134" s="6">
        <f>HYPERLINK("http://www.eum.go.kr/web/ar/lu/luLandDet.jsp?pnu=3611011200121060012&amp;isNoScr=script&amp;mode=search", "토지이음")</f>
        <v/>
      </c>
      <c r="O134" s="3" t="inlineStr">
        <is>
          <t>세종무지개</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세종특별자치시 고운동 2106-12</t>
        </is>
      </c>
      <c r="B135" s="3" t="inlineStr">
        <is>
          <t>제1종전용주거지역</t>
        </is>
      </c>
      <c r="C135" s="3" t="inlineStr">
        <is>
          <t>대</t>
        </is>
      </c>
      <c r="D135" s="3" t="inlineStr">
        <is>
          <t>대</t>
        </is>
      </c>
      <c r="E135" s="3" t="inlineStr">
        <is>
          <t>매매</t>
        </is>
      </c>
      <c r="F135" s="4" t="n">
        <v>80000</v>
      </c>
      <c r="G135" s="4" t="n">
        <v>386</v>
      </c>
      <c r="H135" s="4" t="n">
        <v>117</v>
      </c>
      <c r="I135" s="5" t="n">
        <v>683.8</v>
      </c>
      <c r="J135" s="4" t="n">
        <v>290.5</v>
      </c>
      <c r="K135" s="3" t="inlineStr">
        <is>
          <t>총 117p, 파크힐즈, 조율가능, 입지좋은 곳</t>
        </is>
      </c>
      <c r="L135" s="6">
        <f>HYPERLINK("https://fin.land.naver.com/articles/2648414195", "매물Link")</f>
        <v/>
      </c>
      <c r="M135" s="6">
        <f>HYPERLINK("https://map.naver.com/p/search/세종특별자치시 고운동 2106-12", "지도Link")</f>
        <v/>
      </c>
      <c r="N135" s="6">
        <f>HYPERLINK("http://www.eum.go.kr/web/ar/lu/luLandDet.jsp?pnu=3611011200121060012&amp;isNoScr=script&amp;mode=search", "토지이음")</f>
        <v/>
      </c>
      <c r="O135" s="3" t="inlineStr">
        <is>
          <t>명진</t>
        </is>
      </c>
      <c r="P135" s="3" t="n">
        <v>1</v>
      </c>
      <c r="Q135" s="3" t="n">
        <v>386</v>
      </c>
      <c r="R135" s="3" t="inlineStr">
        <is>
          <t>지정되지않음</t>
        </is>
      </c>
      <c r="S135" s="3" t="inlineStr">
        <is>
          <t>주거나지</t>
        </is>
      </c>
      <c r="T135" s="3" t="inlineStr">
        <is>
          <t>평지</t>
        </is>
      </c>
      <c r="U135" s="3" t="inlineStr">
        <is>
          <t>사다리형</t>
        </is>
      </c>
      <c r="V135" s="3" t="inlineStr">
        <is>
          <t>중로각지</t>
        </is>
      </c>
    </row>
    <row r="136">
      <c r="A136" s="3" t="inlineStr">
        <is>
          <t>세종특별자치시 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전용 120.9p, 파크힐즈 단독주택 토지 매매</t>
        </is>
      </c>
      <c r="L136" s="6">
        <f>HYPERLINK("https://fin.land.naver.com/articles/2644494734", "매물Link")</f>
        <v/>
      </c>
      <c r="M136" s="6">
        <f>HYPERLINK("https://map.naver.com/p/search/세종특별자치시 고운동 2106-19", "지도Link")</f>
        <v/>
      </c>
      <c r="N136" s="6">
        <f>HYPERLINK("http://www.eum.go.kr/web/ar/lu/luLandDet.jsp?pnu=3611011200121060019&amp;isNoScr=script&amp;mode=search", "토지이음")</f>
        <v/>
      </c>
      <c r="O136" s="3" t="inlineStr">
        <is>
          <t>세종무지개</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세종특별자치시 고운동 2106-19</t>
        </is>
      </c>
      <c r="B137" s="3" t="inlineStr">
        <is>
          <t>제1종전용주거지역</t>
        </is>
      </c>
      <c r="C137" s="3" t="inlineStr">
        <is>
          <t>대</t>
        </is>
      </c>
      <c r="D137" s="3" t="inlineStr">
        <is>
          <t>대</t>
        </is>
      </c>
      <c r="E137" s="3" t="inlineStr">
        <is>
          <t>매매</t>
        </is>
      </c>
      <c r="F137" s="4" t="n">
        <v>85000</v>
      </c>
      <c r="G137" s="4" t="n">
        <v>398</v>
      </c>
      <c r="H137" s="4" t="n">
        <v>120</v>
      </c>
      <c r="I137" s="5" t="n">
        <v>708.3</v>
      </c>
      <c r="J137" s="4" t="n">
        <v>293.4</v>
      </c>
      <c r="K137" s="3" t="inlineStr">
        <is>
          <t>총 120.9p, 파크힐즈 단독주택 토지, 네모반듯</t>
        </is>
      </c>
      <c r="L137" s="6">
        <f>HYPERLINK("https://fin.land.naver.com/articles/2648152800", "매물Link")</f>
        <v/>
      </c>
      <c r="M137" s="6">
        <f>HYPERLINK("https://map.naver.com/p/search/세종특별자치시 고운동 2106-19", "지도Link")</f>
        <v/>
      </c>
      <c r="N137" s="6">
        <f>HYPERLINK("http://www.eum.go.kr/web/ar/lu/luLandDet.jsp?pnu=3611011200121060019&amp;isNoScr=script&amp;mode=search", "토지이음")</f>
        <v/>
      </c>
      <c r="O137" s="3" t="inlineStr">
        <is>
          <t>명진</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세종특별자치시 고운동 2106-19</t>
        </is>
      </c>
      <c r="B138" s="3" t="inlineStr">
        <is>
          <t>제1종전용주거지역</t>
        </is>
      </c>
      <c r="C138" s="3" t="inlineStr">
        <is>
          <t>대</t>
        </is>
      </c>
      <c r="D138" s="3" t="inlineStr">
        <is>
          <t>대</t>
        </is>
      </c>
      <c r="E138" s="3" t="inlineStr">
        <is>
          <t>매매</t>
        </is>
      </c>
      <c r="F138" s="4" t="n">
        <v>80000</v>
      </c>
      <c r="G138" s="4" t="n">
        <v>398</v>
      </c>
      <c r="H138" s="4" t="n">
        <v>120</v>
      </c>
      <c r="I138" s="5" t="n">
        <v>666.7</v>
      </c>
      <c r="J138" s="4" t="n">
        <v>293.4</v>
      </c>
      <c r="K138" s="3" t="inlineStr">
        <is>
          <t>타운하우스내 대지, 고운뜰공원산책로 및 상권 인접</t>
        </is>
      </c>
      <c r="L138" s="6">
        <f>HYPERLINK("https://fin.land.naver.com/articles/2649399557", "매물Link")</f>
        <v/>
      </c>
      <c r="M138" s="6">
        <f>HYPERLINK("https://map.naver.com/p/search/세종특별자치시 고운동 2106-19", "지도Link")</f>
        <v/>
      </c>
      <c r="N138" s="6">
        <f>HYPERLINK("http://www.eum.go.kr/web/ar/lu/luLandDet.jsp?pnu=3611011200121060019&amp;isNoScr=script&amp;mode=search", "토지이음")</f>
        <v/>
      </c>
      <c r="O138" s="3" t="inlineStr">
        <is>
          <t>세종해비치</t>
        </is>
      </c>
      <c r="P138" s="3" t="n">
        <v>1</v>
      </c>
      <c r="Q138" s="3" t="n">
        <v>398.9</v>
      </c>
      <c r="R138" s="3" t="inlineStr">
        <is>
          <t>지정되지않음</t>
        </is>
      </c>
      <c r="S138" s="3" t="inlineStr">
        <is>
          <t>주거나지</t>
        </is>
      </c>
      <c r="T138" s="3" t="inlineStr">
        <is>
          <t>평지</t>
        </is>
      </c>
      <c r="U138" s="3" t="inlineStr">
        <is>
          <t>세로장방</t>
        </is>
      </c>
      <c r="V138" s="3" t="inlineStr">
        <is>
          <t>중로각지</t>
        </is>
      </c>
    </row>
    <row r="139">
      <c r="A139" s="3" t="inlineStr">
        <is>
          <t>세종특별자치시 고운동 2106-2</t>
        </is>
      </c>
      <c r="B139" s="3" t="inlineStr">
        <is>
          <t>제1종전용주거지역</t>
        </is>
      </c>
      <c r="C139" s="3" t="inlineStr">
        <is>
          <t>대</t>
        </is>
      </c>
      <c r="D139" s="3" t="inlineStr">
        <is>
          <t>대</t>
        </is>
      </c>
      <c r="E139" s="3" t="inlineStr">
        <is>
          <t>매매</t>
        </is>
      </c>
      <c r="F139" s="4" t="n">
        <v>110000</v>
      </c>
      <c r="G139" s="4" t="n">
        <v>378</v>
      </c>
      <c r="H139" s="4" t="n">
        <v>114</v>
      </c>
      <c r="I139" s="5" t="n">
        <v>964.9</v>
      </c>
      <c r="J139" s="4" t="n">
        <v>282.1</v>
      </c>
      <c r="K139" s="3" t="inlineStr">
        <is>
          <t>조율가능 벙커주차장가능 파크힐즈내 위치최상</t>
        </is>
      </c>
      <c r="L139" s="6">
        <f>HYPERLINK("https://fin.land.naver.com/articles/2649812012", "매물Link")</f>
        <v/>
      </c>
      <c r="M139" s="6">
        <f>HYPERLINK("https://map.naver.com/p/search/세종특별자치시 고운동 2106-2", "지도Link")</f>
        <v/>
      </c>
      <c r="N139" s="6">
        <f>HYPERLINK("http://www.eum.go.kr/web/ar/lu/luLandDet.jsp?pnu=3611011200121060002&amp;isNoScr=script&amp;mode=search", "토지이음")</f>
        <v/>
      </c>
      <c r="O139" s="3" t="inlineStr">
        <is>
          <t>세종스타</t>
        </is>
      </c>
      <c r="P139" s="3" t="n">
        <v>1</v>
      </c>
      <c r="Q139" s="3" t="n">
        <v>378</v>
      </c>
      <c r="R139" s="3" t="inlineStr">
        <is>
          <t>지정되지않음</t>
        </is>
      </c>
      <c r="S139" s="3" t="inlineStr">
        <is>
          <t>주거나지</t>
        </is>
      </c>
      <c r="T139" s="3" t="inlineStr">
        <is>
          <t>평지</t>
        </is>
      </c>
      <c r="U139" s="3" t="inlineStr">
        <is>
          <t>사다리형</t>
        </is>
      </c>
      <c r="V139" s="3" t="inlineStr">
        <is>
          <t>소로한면</t>
        </is>
      </c>
    </row>
    <row r="140">
      <c r="A140" s="3" t="inlineStr">
        <is>
          <t>세종특별자치시 고운동 2106-24</t>
        </is>
      </c>
      <c r="B140" s="3" t="inlineStr">
        <is>
          <t>제1종전용주거지역</t>
        </is>
      </c>
      <c r="C140" s="3" t="inlineStr">
        <is>
          <t>대</t>
        </is>
      </c>
      <c r="D140" s="3" t="inlineStr">
        <is>
          <t>대</t>
        </is>
      </c>
      <c r="E140" s="3" t="inlineStr">
        <is>
          <t>매매</t>
        </is>
      </c>
      <c r="F140" s="4" t="n">
        <v>90000</v>
      </c>
      <c r="G140" s="4" t="n">
        <v>371</v>
      </c>
      <c r="H140" s="4" t="n">
        <v>112</v>
      </c>
      <c r="I140" s="5" t="n">
        <v>803.6</v>
      </c>
      <c r="J140" s="4" t="n">
        <v>282.1</v>
      </c>
      <c r="K140" s="3" t="inlineStr">
        <is>
          <t>nan</t>
        </is>
      </c>
      <c r="L140" s="6">
        <f>HYPERLINK("https://fin.land.naver.com/articles/2647095292", "매물Link")</f>
        <v/>
      </c>
      <c r="M140" s="6">
        <f>HYPERLINK("https://map.naver.com/p/search/세종특별자치시 고운동 2106-24", "지도Link")</f>
        <v/>
      </c>
      <c r="N140" s="6">
        <f>HYPERLINK("http://www.eum.go.kr/web/ar/lu/luLandDet.jsp?pnu=3611011200121060024&amp;isNoScr=script&amp;mode=search", "토지이음")</f>
        <v/>
      </c>
      <c r="O140" s="3" t="inlineStr">
        <is>
          <t>명품시티</t>
        </is>
      </c>
      <c r="P140" s="3" t="n">
        <v>1</v>
      </c>
      <c r="Q140" s="3" t="n">
        <v>371.1</v>
      </c>
      <c r="R140" s="3" t="inlineStr">
        <is>
          <t>지정되지않음</t>
        </is>
      </c>
      <c r="S140" s="3" t="inlineStr">
        <is>
          <t>주거나지</t>
        </is>
      </c>
      <c r="T140" s="3" t="inlineStr">
        <is>
          <t>평지</t>
        </is>
      </c>
      <c r="U140" s="3" t="inlineStr">
        <is>
          <t>사다리형</t>
        </is>
      </c>
      <c r="V140" s="3" t="inlineStr">
        <is>
          <t>소로한면</t>
        </is>
      </c>
    </row>
    <row r="141">
      <c r="A141" s="3" t="inlineStr">
        <is>
          <t>세종특별자치시 고운동 2106-26</t>
        </is>
      </c>
      <c r="B141" s="3" t="inlineStr">
        <is>
          <t>제1종전용주거지역</t>
        </is>
      </c>
      <c r="C141" s="3" t="inlineStr">
        <is>
          <t>대</t>
        </is>
      </c>
      <c r="D141" s="3" t="inlineStr">
        <is>
          <t>대</t>
        </is>
      </c>
      <c r="E141" s="3" t="inlineStr">
        <is>
          <t>매매</t>
        </is>
      </c>
      <c r="F141" s="4" t="n">
        <v>69000</v>
      </c>
      <c r="G141" s="4" t="n">
        <v>367</v>
      </c>
      <c r="H141" s="4" t="n">
        <v>111</v>
      </c>
      <c r="I141" s="5" t="n">
        <v>621.6</v>
      </c>
      <c r="J141" s="4" t="n">
        <v>285</v>
      </c>
      <c r="K141" s="3" t="inlineStr">
        <is>
          <t>급매 고급 타운하우스 파크힐즈 최저가</t>
        </is>
      </c>
      <c r="L141" s="6">
        <f>HYPERLINK("https://fin.land.naver.com/articles/2649812113", "매물Link")</f>
        <v/>
      </c>
      <c r="M141" s="6">
        <f>HYPERLINK("https://map.naver.com/p/search/세종특별자치시 고운동 2106-26", "지도Link")</f>
        <v/>
      </c>
      <c r="N141" s="6">
        <f>HYPERLINK("http://www.eum.go.kr/web/ar/lu/luLandDet.jsp?pnu=3611011200121060026&amp;isNoScr=script&amp;mode=search", "토지이음")</f>
        <v/>
      </c>
      <c r="O141" s="3" t="inlineStr">
        <is>
          <t>세종스타</t>
        </is>
      </c>
      <c r="P141" s="3" t="n">
        <v>1</v>
      </c>
      <c r="Q141" s="3" t="n">
        <v>367.4</v>
      </c>
      <c r="R141" s="3" t="inlineStr">
        <is>
          <t>지정되지않음</t>
        </is>
      </c>
      <c r="S141" s="3" t="inlineStr">
        <is>
          <t>주거나지</t>
        </is>
      </c>
      <c r="T141" s="3" t="inlineStr">
        <is>
          <t>평지</t>
        </is>
      </c>
      <c r="U141" s="3" t="inlineStr">
        <is>
          <t>세로장방</t>
        </is>
      </c>
      <c r="V141" s="3" t="inlineStr">
        <is>
          <t>소로한면</t>
        </is>
      </c>
    </row>
    <row r="142">
      <c r="A142" s="3" t="inlineStr">
        <is>
          <t>세종특별자치시 고운동 2106-8</t>
        </is>
      </c>
      <c r="B142" s="3" t="inlineStr">
        <is>
          <t>제1종전용주거지역</t>
        </is>
      </c>
      <c r="C142" s="3" t="inlineStr">
        <is>
          <t>대</t>
        </is>
      </c>
      <c r="D142" s="3" t="inlineStr">
        <is>
          <t>대</t>
        </is>
      </c>
      <c r="E142" s="3" t="inlineStr">
        <is>
          <t>매매</t>
        </is>
      </c>
      <c r="F142" s="4" t="n">
        <v>120000</v>
      </c>
      <c r="G142" s="4" t="n">
        <v>387</v>
      </c>
      <c r="H142" s="4" t="n">
        <v>117</v>
      </c>
      <c r="I142" s="5" t="n">
        <v>1025.6</v>
      </c>
      <c r="J142" s="4" t="n">
        <v>282.1</v>
      </c>
      <c r="K142" s="3" t="inlineStr">
        <is>
          <t>벙커형 주차장가능 최고로얄필지 사생활보호최고 뒷마당 넓은곳</t>
        </is>
      </c>
      <c r="L142" s="6">
        <f>HYPERLINK("https://fin.land.naver.com/articles/2645721389", "매물Link")</f>
        <v/>
      </c>
      <c r="M142" s="6">
        <f>HYPERLINK("https://map.naver.com/p/search/세종특별자치시 고운동 2106-8", "지도Link")</f>
        <v/>
      </c>
      <c r="N142" s="6">
        <f>HYPERLINK("http://www.eum.go.kr/web/ar/lu/luLandDet.jsp?pnu=3611011200121060008&amp;isNoScr=script&amp;mode=search", "토지이음")</f>
        <v/>
      </c>
      <c r="O142" s="3" t="inlineStr">
        <is>
          <t>세종스타</t>
        </is>
      </c>
      <c r="P142" s="3" t="n">
        <v>1</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세종특별자치시 고운동 2106-8</t>
        </is>
      </c>
      <c r="B143" s="3" t="inlineStr">
        <is>
          <t>제1종전용주거지역</t>
        </is>
      </c>
      <c r="C143" s="3" t="inlineStr">
        <is>
          <t>대</t>
        </is>
      </c>
      <c r="D143" s="3" t="inlineStr">
        <is>
          <t>대</t>
        </is>
      </c>
      <c r="E143" s="3" t="inlineStr">
        <is>
          <t>매매</t>
        </is>
      </c>
      <c r="F143" s="4" t="n">
        <v>120000</v>
      </c>
      <c r="G143" s="4" t="n">
        <v>386</v>
      </c>
      <c r="H143" s="4" t="n">
        <v>117</v>
      </c>
      <c r="I143" s="5" t="n">
        <v>1025.6</v>
      </c>
      <c r="J143" s="4" t="n">
        <v>282.1</v>
      </c>
      <c r="K143" s="3" t="inlineStr">
        <is>
          <t>총 117.2p, 고운동 고급 타운하우스 토지매매</t>
        </is>
      </c>
      <c r="L143" s="6">
        <f>HYPERLINK("https://fin.land.naver.com/articles/2649022626", "매물Link")</f>
        <v/>
      </c>
      <c r="M143" s="6">
        <f>HYPERLINK("https://map.naver.com/p/search/세종특별자치시 고운동 2106-8", "지도Link")</f>
        <v/>
      </c>
      <c r="N143" s="6">
        <f>HYPERLINK("http://www.eum.go.kr/web/ar/lu/luLandDet.jsp?pnu=3611011200121060008&amp;isNoScr=script&amp;mode=search", "토지이음")</f>
        <v/>
      </c>
      <c r="O143" s="3" t="inlineStr">
        <is>
          <t>명진</t>
        </is>
      </c>
      <c r="P143" s="3" t="n">
        <v>2</v>
      </c>
      <c r="Q143" s="3" t="n">
        <v>386.7</v>
      </c>
      <c r="R143" s="3" t="inlineStr">
        <is>
          <t>지정되지않음</t>
        </is>
      </c>
      <c r="S143" s="3" t="inlineStr">
        <is>
          <t>주거나지</t>
        </is>
      </c>
      <c r="T143" s="3" t="inlineStr">
        <is>
          <t>평지</t>
        </is>
      </c>
      <c r="U143" s="3" t="inlineStr">
        <is>
          <t>사다리형</t>
        </is>
      </c>
      <c r="V143" s="3" t="inlineStr">
        <is>
          <t>소로한면</t>
        </is>
      </c>
    </row>
    <row r="144">
      <c r="A144" s="3" t="inlineStr">
        <is>
          <t>세종특별자치시 고운동 2108-11</t>
        </is>
      </c>
      <c r="B144" s="3" t="inlineStr">
        <is>
          <t>제1종전용주거지역</t>
        </is>
      </c>
      <c r="C144" s="3" t="inlineStr">
        <is>
          <t>대</t>
        </is>
      </c>
      <c r="D144" s="3" t="inlineStr">
        <is>
          <t>대</t>
        </is>
      </c>
      <c r="E144" s="3" t="inlineStr">
        <is>
          <t>매매</t>
        </is>
      </c>
      <c r="F144" s="4" t="n">
        <v>90000</v>
      </c>
      <c r="G144" s="4" t="n">
        <v>400</v>
      </c>
      <c r="H144" s="4" t="n">
        <v>121</v>
      </c>
      <c r="I144" s="5" t="n">
        <v>743.8</v>
      </c>
      <c r="J144" s="4" t="n">
        <v>271.2</v>
      </c>
      <c r="K144" s="3" t="inlineStr">
        <is>
          <t>리안비채 토지 매매, 벙커주차장가능, 입지 굿</t>
        </is>
      </c>
      <c r="L144" s="6">
        <f>HYPERLINK("https://fin.land.naver.com/articles/2648121524", "매물Link")</f>
        <v/>
      </c>
      <c r="M144" s="6">
        <f>HYPERLINK("https://map.naver.com/p/search/세종특별자치시 고운동 2108-11", "지도Link")</f>
        <v/>
      </c>
      <c r="N144" s="6">
        <f>HYPERLINK("http://www.eum.go.kr/web/ar/lu/luLandDet.jsp?pnu=3611011200121080011&amp;isNoScr=script&amp;mode=search", "토지이음")</f>
        <v/>
      </c>
      <c r="O144" s="3" t="inlineStr">
        <is>
          <t>세종무지개</t>
        </is>
      </c>
      <c r="P144" s="3" t="n">
        <v>1</v>
      </c>
      <c r="Q144" s="3" t="n">
        <v>400</v>
      </c>
      <c r="R144" s="3" t="inlineStr">
        <is>
          <t>지정되지않음</t>
        </is>
      </c>
      <c r="S144" s="3" t="inlineStr">
        <is>
          <t>주거나지</t>
        </is>
      </c>
      <c r="T144" s="3" t="inlineStr">
        <is>
          <t>평지</t>
        </is>
      </c>
      <c r="U144" s="3" t="inlineStr">
        <is>
          <t>사다리형</t>
        </is>
      </c>
      <c r="V144" s="3" t="inlineStr">
        <is>
          <t>소로한면</t>
        </is>
      </c>
    </row>
    <row r="145">
      <c r="A145" s="3" t="inlineStr">
        <is>
          <t>세종특별자치시 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세종시 블록형 리안비채힐즈 단독택지</t>
        </is>
      </c>
      <c r="L145" s="6">
        <f>HYPERLINK("https://fin.land.naver.com/articles/2645276002", "매물Link")</f>
        <v/>
      </c>
      <c r="M145" s="6">
        <f>HYPERLINK("https://map.naver.com/p/search/세종특별자치시 고운동 2108-38", "지도Link")</f>
        <v/>
      </c>
      <c r="N145" s="6">
        <f>HYPERLINK("http://www.eum.go.kr/web/ar/lu/luLandDet.jsp?pnu=3611011200121080038&amp;isNoScr=script&amp;mode=search", "토지이음")</f>
        <v/>
      </c>
      <c r="O145" s="3" t="inlineStr">
        <is>
          <t>부엉이</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세종특별자치시 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총 118.8p, 리안비체힐즈 단독주택 토지매매</t>
        </is>
      </c>
      <c r="L146" s="6">
        <f>HYPERLINK("https://fin.land.naver.com/articles/2649022250", "매물Link")</f>
        <v/>
      </c>
      <c r="M146" s="6">
        <f>HYPERLINK("https://map.naver.com/p/search/세종특별자치시 고운동 2108-38", "지도Link")</f>
        <v/>
      </c>
      <c r="N146" s="6">
        <f>HYPERLINK("http://www.eum.go.kr/web/ar/lu/luLandDet.jsp?pnu=3611011200121080038&amp;isNoScr=script&amp;mode=search", "토지이음")</f>
        <v/>
      </c>
      <c r="O146" s="3" t="inlineStr">
        <is>
          <t>명진</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세종특별자치시 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생명나무,리안비체힐즈 타운하우스 부지</t>
        </is>
      </c>
      <c r="L147" s="6">
        <f>HYPERLINK("https://fin.land.naver.com/articles/2644319204", "매물Link")</f>
        <v/>
      </c>
      <c r="M147" s="6">
        <f>HYPERLINK("https://map.naver.com/p/search/세종특별자치시 고운동 2108-38", "지도Link")</f>
        <v/>
      </c>
      <c r="N147" s="6">
        <f>HYPERLINK("http://www.eum.go.kr/web/ar/lu/luLandDet.jsp?pnu=3611011200121080038&amp;isNoScr=script&amp;mode=search", "토지이음")</f>
        <v/>
      </c>
      <c r="O147" s="3" t="inlineStr">
        <is>
          <t>생명나무</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세종특별자치시 고운동 2108-38</t>
        </is>
      </c>
      <c r="B148" s="3" t="inlineStr">
        <is>
          <t>제1종전용주거지역</t>
        </is>
      </c>
      <c r="C148" s="3" t="inlineStr">
        <is>
          <t>대</t>
        </is>
      </c>
      <c r="D148" s="3" t="inlineStr">
        <is>
          <t>대</t>
        </is>
      </c>
      <c r="E148" s="3" t="inlineStr">
        <is>
          <t>매매</t>
        </is>
      </c>
      <c r="F148" s="4" t="n">
        <v>70000</v>
      </c>
      <c r="G148" s="4" t="n">
        <v>392</v>
      </c>
      <c r="H148" s="4" t="n">
        <v>119</v>
      </c>
      <c r="I148" s="5" t="n">
        <v>588.2</v>
      </c>
      <c r="J148" s="4" t="n">
        <v>284.7</v>
      </c>
      <c r="K148" s="3" t="inlineStr">
        <is>
          <t>118.8p, 비안비채힐즈 블록형 타운하우스 단독주택 토지매매</t>
        </is>
      </c>
      <c r="L148" s="6">
        <f>HYPERLINK("https://fin.land.naver.com/articles/2644217186", "매물Link")</f>
        <v/>
      </c>
      <c r="M148" s="6">
        <f>HYPERLINK("https://map.naver.com/p/search/세종특별자치시 고운동 2108-38", "지도Link")</f>
        <v/>
      </c>
      <c r="N148" s="6">
        <f>HYPERLINK("http://www.eum.go.kr/web/ar/lu/luLandDet.jsp?pnu=3611011200121080038&amp;isNoScr=script&amp;mode=search", "토지이음")</f>
        <v/>
      </c>
      <c r="O148" s="3" t="inlineStr">
        <is>
          <t>세종무지개</t>
        </is>
      </c>
      <c r="P148" s="3" t="n">
        <v>1</v>
      </c>
      <c r="Q148" s="3" t="n">
        <v>392.1</v>
      </c>
      <c r="R148" s="3" t="inlineStr">
        <is>
          <t>지정되지않음</t>
        </is>
      </c>
      <c r="S148" s="3" t="inlineStr">
        <is>
          <t>주거나지</t>
        </is>
      </c>
      <c r="T148" s="3" t="inlineStr">
        <is>
          <t>평지</t>
        </is>
      </c>
      <c r="U148" s="3" t="inlineStr">
        <is>
          <t>사다리형</t>
        </is>
      </c>
      <c r="V148" s="3" t="inlineStr">
        <is>
          <t>소로각지</t>
        </is>
      </c>
    </row>
    <row r="149">
      <c r="A149" s="3" t="inlineStr">
        <is>
          <t>세종특별자치시 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HYPERLINK("https://map.naver.com/p/search/세종특별자치시 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세종특별자치시 고운동 2108-45</t>
        </is>
      </c>
      <c r="B150" s="3" t="inlineStr">
        <is>
          <t>제1종전용주거지역</t>
        </is>
      </c>
      <c r="C150" s="3" t="inlineStr">
        <is>
          <t>대</t>
        </is>
      </c>
      <c r="D150" s="3" t="inlineStr">
        <is>
          <t>대</t>
        </is>
      </c>
      <c r="E150" s="3" t="inlineStr">
        <is>
          <t>매매</t>
        </is>
      </c>
      <c r="F150" s="4" t="n">
        <v>85000</v>
      </c>
      <c r="G150" s="4" t="n">
        <v>380</v>
      </c>
      <c r="H150" s="4" t="n">
        <v>115</v>
      </c>
      <c r="I150" s="5" t="n">
        <v>739.1</v>
      </c>
      <c r="J150" s="4" t="n">
        <v>286.8</v>
      </c>
      <c r="K150" s="3" t="inlineStr">
        <is>
          <t>115.2p, 고운동 리안비체힐즈 단독주택 토지매매</t>
        </is>
      </c>
      <c r="L150" s="6">
        <f>HYPERLINK("https://fin.land.naver.com/articles/2649022173", "매물Link")</f>
        <v/>
      </c>
      <c r="M150" s="6">
        <f>HYPERLINK("https://map.naver.com/p/search/세종특별자치시 고운동 2108-45", "지도Link")</f>
        <v/>
      </c>
      <c r="N150" s="6">
        <f>HYPERLINK("http://www.eum.go.kr/web/ar/lu/luLandDet.jsp?pnu=3611011200121080045&amp;isNoScr=script&amp;mode=search", "토지이음")</f>
        <v/>
      </c>
      <c r="O150" s="3" t="inlineStr">
        <is>
          <t>명진</t>
        </is>
      </c>
      <c r="P150" s="3" t="n">
        <v>1</v>
      </c>
      <c r="Q150" s="3" t="n">
        <v>380</v>
      </c>
      <c r="R150" s="3" t="inlineStr">
        <is>
          <t>지정되지않음</t>
        </is>
      </c>
      <c r="S150" s="3" t="inlineStr">
        <is>
          <t>주거나지</t>
        </is>
      </c>
      <c r="T150" s="3" t="inlineStr">
        <is>
          <t>평지</t>
        </is>
      </c>
      <c r="U150" s="3" t="inlineStr">
        <is>
          <t>사다리형</t>
        </is>
      </c>
      <c r="V150" s="3" t="inlineStr">
        <is>
          <t>중로각지</t>
        </is>
      </c>
    </row>
    <row r="151">
      <c r="A151" s="3" t="inlineStr">
        <is>
          <t>세종특별자치시 고운동 2108-51</t>
        </is>
      </c>
      <c r="B151" s="3" t="inlineStr">
        <is>
          <t>제1종전용주거지역</t>
        </is>
      </c>
      <c r="C151" s="3" t="inlineStr">
        <is>
          <t>대</t>
        </is>
      </c>
      <c r="D151" s="3" t="inlineStr">
        <is>
          <t>대</t>
        </is>
      </c>
      <c r="E151" s="3" t="inlineStr">
        <is>
          <t>매매</t>
        </is>
      </c>
      <c r="F151" s="4" t="n">
        <v>90000</v>
      </c>
      <c r="G151" s="4" t="n">
        <v>395</v>
      </c>
      <c r="H151" s="4" t="n">
        <v>119</v>
      </c>
      <c r="I151" s="5" t="n">
        <v>756.3</v>
      </c>
      <c r="J151" s="4" t="n">
        <v>286.8</v>
      </c>
      <c r="K151" s="3" t="inlineStr">
        <is>
          <t>119.7p, 리안비채힐즈 토지매매</t>
        </is>
      </c>
      <c r="L151" s="6">
        <f>HYPERLINK("https://fin.land.naver.com/articles/2644480217", "매물Link")</f>
        <v/>
      </c>
      <c r="M151" s="6">
        <f>HYPERLINK("https://map.naver.com/p/search/세종특별자치시 고운동 2108-51", "지도Link")</f>
        <v/>
      </c>
      <c r="N151" s="6">
        <f>HYPERLINK("http://www.eum.go.kr/web/ar/lu/luLandDet.jsp?pnu=3611011200121080051&amp;isNoScr=script&amp;mode=search", "토지이음")</f>
        <v/>
      </c>
      <c r="O151" s="3" t="inlineStr">
        <is>
          <t>세종무지개</t>
        </is>
      </c>
      <c r="P151" s="3" t="n">
        <v>1</v>
      </c>
      <c r="Q151" s="3" t="n">
        <v>395</v>
      </c>
      <c r="R151" s="3" t="inlineStr">
        <is>
          <t>지정되지않음</t>
        </is>
      </c>
      <c r="S151" s="3" t="inlineStr">
        <is>
          <t>주거나지</t>
        </is>
      </c>
      <c r="T151" s="3" t="inlineStr">
        <is>
          <t>평지</t>
        </is>
      </c>
      <c r="U151" s="3" t="inlineStr">
        <is>
          <t>사다리형</t>
        </is>
      </c>
      <c r="V151" s="3" t="inlineStr">
        <is>
          <t>중로각지</t>
        </is>
      </c>
    </row>
    <row r="152">
      <c r="A152" s="3" t="inlineStr">
        <is>
          <t>세종특별자치시 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HYPERLINK("https://map.naver.com/p/search/세종특별자치시 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세종특별자치시 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108.3p, 노블테라스 토지매매, 분양가 이하</t>
        </is>
      </c>
      <c r="L153" s="6">
        <f>HYPERLINK("https://fin.land.naver.com/articles/2644480765", "매물Link")</f>
        <v/>
      </c>
      <c r="M153" s="6">
        <f>HYPERLINK("https://map.naver.com/p/search/세종특별자치시 고운동 2110-6", "지도Link")</f>
        <v/>
      </c>
      <c r="N153" s="6">
        <f>HYPERLINK("http://www.eum.go.kr/web/ar/lu/luLandDet.jsp?pnu=3611011200121100006&amp;isNoScr=script&amp;mode=search", "토지이음")</f>
        <v/>
      </c>
      <c r="O153" s="3" t="inlineStr">
        <is>
          <t>세종무지개</t>
        </is>
      </c>
      <c r="P153" s="3" t="n">
        <v>1</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세종특별자치시 고운동 2110-6</t>
        </is>
      </c>
      <c r="B154" s="3" t="inlineStr">
        <is>
          <t>제1종전용주거지역</t>
        </is>
      </c>
      <c r="C154" s="3" t="inlineStr">
        <is>
          <t>대</t>
        </is>
      </c>
      <c r="D154" s="3" t="inlineStr">
        <is>
          <t>대</t>
        </is>
      </c>
      <c r="E154" s="3" t="inlineStr">
        <is>
          <t>매매</t>
        </is>
      </c>
      <c r="F154" s="4" t="n">
        <v>70000</v>
      </c>
      <c r="G154" s="4" t="n">
        <v>357</v>
      </c>
      <c r="H154" s="4" t="n">
        <v>108</v>
      </c>
      <c r="I154" s="5" t="n">
        <v>648.1</v>
      </c>
      <c r="J154" s="4" t="n">
        <v>357.7</v>
      </c>
      <c r="K154" s="3" t="inlineStr">
        <is>
          <t>고운동 노블테라스 토지매매</t>
        </is>
      </c>
      <c r="L154" s="6">
        <f>HYPERLINK("https://fin.land.naver.com/articles/2644106271", "매물Link")</f>
        <v/>
      </c>
      <c r="M154" s="6">
        <f>HYPERLINK("https://map.naver.com/p/search/세종특별자치시 고운동 2110-6", "지도Link")</f>
        <v/>
      </c>
      <c r="N154" s="6">
        <f>HYPERLINK("http://www.eum.go.kr/web/ar/lu/luLandDet.jsp?pnu=3611011200121100006&amp;isNoScr=script&amp;mode=search", "토지이음")</f>
        <v/>
      </c>
      <c r="O154" s="3" t="inlineStr">
        <is>
          <t>고운동리치세종</t>
        </is>
      </c>
      <c r="P154" s="3" t="n">
        <v>2</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세종특별자치시 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HYPERLINK("https://map.naver.com/p/search/세종특별자치시 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세종특별자치시 고운동 2110-7</t>
        </is>
      </c>
      <c r="B156" s="3" t="inlineStr">
        <is>
          <t>제1종전용주거지역</t>
        </is>
      </c>
      <c r="C156" s="3" t="inlineStr">
        <is>
          <t>대</t>
        </is>
      </c>
      <c r="D156" s="3" t="inlineStr">
        <is>
          <t>대</t>
        </is>
      </c>
      <c r="E156" s="3" t="inlineStr">
        <is>
          <t>매매</t>
        </is>
      </c>
      <c r="F156" s="4" t="n">
        <v>60000</v>
      </c>
      <c r="G156" s="4" t="n">
        <v>357</v>
      </c>
      <c r="H156" s="4" t="n">
        <v>108</v>
      </c>
      <c r="I156" s="5" t="n">
        <v>555.6</v>
      </c>
      <c r="J156" s="4" t="n">
        <v>357.7</v>
      </c>
      <c r="K156" s="3" t="inlineStr">
        <is>
          <t>108.3p, 노블테라스, 단독주택 토지매매</t>
        </is>
      </c>
      <c r="L156" s="6">
        <f>HYPERLINK("https://fin.land.naver.com/articles/2644480955", "매물Link")</f>
        <v/>
      </c>
      <c r="M156" s="6">
        <f>HYPERLINK("https://map.naver.com/p/search/세종특별자치시 고운동 2110-7", "지도Link")</f>
        <v/>
      </c>
      <c r="N156" s="6">
        <f>HYPERLINK("http://www.eum.go.kr/web/ar/lu/luLandDet.jsp?pnu=3611011200121100007&amp;isNoScr=script&amp;mode=search", "토지이음")</f>
        <v/>
      </c>
      <c r="O156" s="3" t="inlineStr">
        <is>
          <t>세종무지개</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세종특별자치시 고운동 2110-8</t>
        </is>
      </c>
      <c r="B157" s="3" t="inlineStr">
        <is>
          <t>제1종전용주거지역</t>
        </is>
      </c>
      <c r="C157" s="3" t="inlineStr">
        <is>
          <t>대</t>
        </is>
      </c>
      <c r="D157" s="3" t="inlineStr">
        <is>
          <t>대</t>
        </is>
      </c>
      <c r="E157" s="3" t="inlineStr">
        <is>
          <t>매매</t>
        </is>
      </c>
      <c r="F157" s="4" t="n">
        <v>59000</v>
      </c>
      <c r="G157" s="4" t="n">
        <v>357</v>
      </c>
      <c r="H157" s="4" t="n">
        <v>108</v>
      </c>
      <c r="I157" s="5" t="n">
        <v>546.3</v>
      </c>
      <c r="J157" s="4" t="n">
        <v>357.7</v>
      </c>
      <c r="K157" s="3" t="inlineStr">
        <is>
          <t>급매,고운동 최상의 고급택지 타운하우스,저렴한 단독주택지</t>
        </is>
      </c>
      <c r="L157" s="6">
        <f>HYPERLINK("https://fin.land.naver.com/articles/2646658274", "매물Link")</f>
        <v/>
      </c>
      <c r="M157" s="6">
        <f>HYPERLINK("https://map.naver.com/p/search/세종특별자치시 고운동 2110-8", "지도Link")</f>
        <v/>
      </c>
      <c r="N157" s="6">
        <f>HYPERLINK("http://www.eum.go.kr/web/ar/lu/luLandDet.jsp?pnu=3611011200121100008&amp;isNoScr=script&amp;mode=search", "토지이음")</f>
        <v/>
      </c>
      <c r="O157" s="3" t="inlineStr">
        <is>
          <t>고운맘</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세종특별자치시 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HYPERLINK("https://map.naver.com/p/search/세종특별자치시 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세종특별자치시 고운동 2110-9</t>
        </is>
      </c>
      <c r="B159" s="3" t="inlineStr">
        <is>
          <t>제1종전용주거지역</t>
        </is>
      </c>
      <c r="C159" s="3" t="inlineStr">
        <is>
          <t>대</t>
        </is>
      </c>
      <c r="D159" s="3" t="inlineStr">
        <is>
          <t>대</t>
        </is>
      </c>
      <c r="E159" s="3" t="inlineStr">
        <is>
          <t>매매</t>
        </is>
      </c>
      <c r="F159" s="4" t="n">
        <v>55000</v>
      </c>
      <c r="G159" s="4" t="n">
        <v>357</v>
      </c>
      <c r="H159" s="4" t="n">
        <v>108</v>
      </c>
      <c r="I159" s="5" t="n">
        <v>509.3</v>
      </c>
      <c r="J159" s="4" t="n">
        <v>357.7</v>
      </c>
      <c r="K159" s="3" t="inlineStr">
        <is>
          <t>108.3P, 노블테라스, 도로변으로 앞쪽에 위치함</t>
        </is>
      </c>
      <c r="L159" s="6">
        <f>HYPERLINK("https://fin.land.naver.com/articles/2647420346", "매물Link")</f>
        <v/>
      </c>
      <c r="M159" s="6">
        <f>HYPERLINK("https://map.naver.com/p/search/세종특별자치시 고운동 2110-9", "지도Link")</f>
        <v/>
      </c>
      <c r="N159" s="6">
        <f>HYPERLINK("http://www.eum.go.kr/web/ar/lu/luLandDet.jsp?pnu=3611011200121100009&amp;isNoScr=script&amp;mode=search", "토지이음")</f>
        <v/>
      </c>
      <c r="O159" s="3" t="inlineStr">
        <is>
          <t>명진</t>
        </is>
      </c>
      <c r="P159" s="3" t="n">
        <v>1</v>
      </c>
      <c r="Q159" s="3" t="n">
        <v>357.5</v>
      </c>
      <c r="R159" s="3" t="inlineStr">
        <is>
          <t>지정되지않음</t>
        </is>
      </c>
      <c r="S159" s="3" t="inlineStr">
        <is>
          <t>주거나지</t>
        </is>
      </c>
      <c r="T159" s="3" t="inlineStr">
        <is>
          <t>평지</t>
        </is>
      </c>
      <c r="U159" s="3" t="inlineStr">
        <is>
          <t>세로장방</t>
        </is>
      </c>
      <c r="V159" s="3" t="inlineStr">
        <is>
          <t>중로각지</t>
        </is>
      </c>
    </row>
    <row r="160">
      <c r="A160" s="3" t="inlineStr">
        <is>
          <t>세종특별자치시 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HYPERLINK("https://map.naver.com/p/search/세종특별자치시 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세종특별자치시 고운동 2128</t>
        </is>
      </c>
      <c r="B161" s="3" t="inlineStr">
        <is>
          <t>제1종전용주거지역</t>
        </is>
      </c>
      <c r="C161" s="3" t="inlineStr">
        <is>
          <t>대</t>
        </is>
      </c>
      <c r="D161" s="3" t="inlineStr">
        <is>
          <t>대</t>
        </is>
      </c>
      <c r="E161" s="3" t="inlineStr">
        <is>
          <t>매매</t>
        </is>
      </c>
      <c r="F161" s="4" t="n">
        <v>49955</v>
      </c>
      <c r="G161" s="4" t="n">
        <v>300</v>
      </c>
      <c r="H161" s="4" t="n">
        <v>91</v>
      </c>
      <c r="I161" s="5" t="n">
        <v>549</v>
      </c>
      <c r="J161" s="4" t="n">
        <v>249.7</v>
      </c>
      <c r="K161" s="3" t="inlineStr">
        <is>
          <t>90.9p, 지대 높은 한옥 마을 토지매매</t>
        </is>
      </c>
      <c r="L161" s="6">
        <f>HYPERLINK("https://fin.land.naver.com/articles/2644481187", "매물Link")</f>
        <v/>
      </c>
      <c r="M161" s="6">
        <f>HYPERLINK("https://map.naver.com/p/search/세종특별자치시 고운동 2128", "지도Link")</f>
        <v/>
      </c>
      <c r="N161" s="6">
        <f>HYPERLINK("http://www.eum.go.kr/web/ar/lu/luLandDet.jsp?pnu=3611011200121280000&amp;isNoScr=script&amp;mode=search", "토지이음")</f>
        <v/>
      </c>
      <c r="O161" s="3" t="inlineStr">
        <is>
          <t>세종무지개</t>
        </is>
      </c>
      <c r="P161" s="3" t="n">
        <v>1</v>
      </c>
      <c r="Q161" s="3" t="n">
        <v>300</v>
      </c>
      <c r="R161" s="3" t="inlineStr">
        <is>
          <t>지정되지않음</t>
        </is>
      </c>
      <c r="S161" s="3" t="inlineStr">
        <is>
          <t>주거나지</t>
        </is>
      </c>
      <c r="T161" s="3" t="inlineStr">
        <is>
          <t>평지</t>
        </is>
      </c>
      <c r="U161" s="3" t="inlineStr">
        <is>
          <t>사다리형</t>
        </is>
      </c>
      <c r="V161" s="3" t="inlineStr">
        <is>
          <t>세로한면(가)</t>
        </is>
      </c>
    </row>
    <row r="162">
      <c r="A162" s="3" t="inlineStr">
        <is>
          <t>세종특별자치시 고운동 2137</t>
        </is>
      </c>
      <c r="B162" s="3" t="inlineStr">
        <is>
          <t>제1종전용주거지역</t>
        </is>
      </c>
      <c r="C162" s="3" t="inlineStr">
        <is>
          <t>대</t>
        </is>
      </c>
      <c r="D162" s="3" t="inlineStr">
        <is>
          <t>대</t>
        </is>
      </c>
      <c r="E162" s="3" t="inlineStr">
        <is>
          <t>매매</t>
        </is>
      </c>
      <c r="F162" s="4" t="n">
        <v>50000</v>
      </c>
      <c r="G162" s="4" t="n">
        <v>289</v>
      </c>
      <c r="H162" s="4" t="n">
        <v>87</v>
      </c>
      <c r="I162" s="5" t="n">
        <v>574.7</v>
      </c>
      <c r="J162" s="4" t="n">
        <v>249.7</v>
      </c>
      <c r="K162" s="3" t="inlineStr">
        <is>
          <t>급매, 조율가능, 총 87.9p, 한옥마을 위치좋은 토지</t>
        </is>
      </c>
      <c r="L162" s="6">
        <f>HYPERLINK("https://fin.land.naver.com/articles/2648996399", "매물Link")</f>
        <v/>
      </c>
      <c r="M162" s="6">
        <f>HYPERLINK("https://map.naver.com/p/search/세종특별자치시 고운동 2137", "지도Link")</f>
        <v/>
      </c>
      <c r="N162" s="6">
        <f>HYPERLINK("http://www.eum.go.kr/web/ar/lu/luLandDet.jsp?pnu=3611011200121370000&amp;isNoScr=script&amp;mode=search", "토지이음")</f>
        <v/>
      </c>
      <c r="O162" s="3" t="inlineStr">
        <is>
          <t>명진</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세종특별자치시 고운동 2137</t>
        </is>
      </c>
      <c r="B163" s="3" t="inlineStr">
        <is>
          <t>제1종전용주거지역</t>
        </is>
      </c>
      <c r="C163" s="3" t="inlineStr">
        <is>
          <t>대</t>
        </is>
      </c>
      <c r="D163" s="3" t="inlineStr">
        <is>
          <t>대</t>
        </is>
      </c>
      <c r="E163" s="3" t="inlineStr">
        <is>
          <t>매매</t>
        </is>
      </c>
      <c r="F163" s="4" t="n">
        <v>50000</v>
      </c>
      <c r="G163" s="4" t="n">
        <v>295</v>
      </c>
      <c r="H163" s="4" t="n">
        <v>89</v>
      </c>
      <c r="I163" s="5" t="n">
        <v>561.8</v>
      </c>
      <c r="J163" s="4" t="n">
        <v>249.7</v>
      </c>
      <c r="K163" s="3" t="inlineStr">
        <is>
          <t>급매 산접한 최상위치 건축하기 좋은 토지모양</t>
        </is>
      </c>
      <c r="L163" s="6">
        <f>HYPERLINK("https://fin.land.naver.com/articles/2649424986", "매물Link")</f>
        <v/>
      </c>
      <c r="M163" s="6">
        <f>HYPERLINK("https://map.naver.com/p/search/세종특별자치시 고운동 2137", "지도Link")</f>
        <v/>
      </c>
      <c r="N163" s="6">
        <f>HYPERLINK("http://www.eum.go.kr/web/ar/lu/luLandDet.jsp?pnu=3611011200121370000&amp;isNoScr=script&amp;mode=search", "토지이음")</f>
        <v/>
      </c>
      <c r="O163" s="3" t="inlineStr">
        <is>
          <t>세종스타</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세종특별자치시 고운동 2137</t>
        </is>
      </c>
      <c r="B164" s="3" t="inlineStr">
        <is>
          <t>제1종전용주거지역</t>
        </is>
      </c>
      <c r="C164" s="3" t="inlineStr">
        <is>
          <t>대</t>
        </is>
      </c>
      <c r="D164" s="3" t="inlineStr">
        <is>
          <t>대</t>
        </is>
      </c>
      <c r="E164" s="3" t="inlineStr">
        <is>
          <t>매매</t>
        </is>
      </c>
      <c r="F164" s="4" t="n">
        <v>50000</v>
      </c>
      <c r="G164" s="4" t="n">
        <v>290</v>
      </c>
      <c r="H164" s="4" t="n">
        <v>88</v>
      </c>
      <c r="I164" s="5" t="n">
        <v>568.2</v>
      </c>
      <c r="J164" s="4" t="n">
        <v>249.7</v>
      </c>
      <c r="K164" s="3" t="inlineStr">
        <is>
          <t>한옥마을토지 급매, 조율도 가능합니다</t>
        </is>
      </c>
      <c r="L164" s="6">
        <f>HYPERLINK("https://fin.land.naver.com/articles/2647424210", "매물Link")</f>
        <v/>
      </c>
      <c r="M164" s="6">
        <f>HYPERLINK("https://map.naver.com/p/search/세종특별자치시 고운동 2137", "지도Link")</f>
        <v/>
      </c>
      <c r="N164" s="6">
        <f>HYPERLINK("http://www.eum.go.kr/web/ar/lu/luLandDet.jsp?pnu=3611011200121370000&amp;isNoScr=script&amp;mode=search", "토지이음")</f>
        <v/>
      </c>
      <c r="O164" s="3" t="inlineStr">
        <is>
          <t>세종무지개</t>
        </is>
      </c>
      <c r="P164" s="3" t="n">
        <v>1</v>
      </c>
      <c r="Q164" s="3" t="n">
        <v>295</v>
      </c>
      <c r="R164" s="3" t="inlineStr">
        <is>
          <t>지정되지않음</t>
        </is>
      </c>
      <c r="S164" s="3" t="inlineStr">
        <is>
          <t>주거나지</t>
        </is>
      </c>
      <c r="T164" s="3" t="inlineStr">
        <is>
          <t>평지</t>
        </is>
      </c>
      <c r="U164" s="3" t="inlineStr">
        <is>
          <t>사다리형</t>
        </is>
      </c>
      <c r="V164" s="3" t="inlineStr">
        <is>
          <t>세로한면(가)</t>
        </is>
      </c>
    </row>
    <row r="165">
      <c r="A165" s="3" t="inlineStr">
        <is>
          <t>세종특별자치시 고운동 2161</t>
        </is>
      </c>
      <c r="B165" s="3" t="inlineStr">
        <is>
          <t>제1종전용주거지역</t>
        </is>
      </c>
      <c r="C165" s="3" t="inlineStr">
        <is>
          <t>대</t>
        </is>
      </c>
      <c r="D165" s="3" t="inlineStr">
        <is>
          <t>대</t>
        </is>
      </c>
      <c r="E165" s="3" t="inlineStr">
        <is>
          <t>매매</t>
        </is>
      </c>
      <c r="F165" s="4" t="n">
        <v>80000</v>
      </c>
      <c r="G165" s="4" t="n">
        <v>304</v>
      </c>
      <c r="H165" s="4" t="n">
        <v>92</v>
      </c>
      <c r="I165" s="5" t="n">
        <v>869.6</v>
      </c>
      <c r="J165" s="4" t="n">
        <v>680.7</v>
      </c>
      <c r="K165" s="3" t="inlineStr">
        <is>
          <t>한옥마을 근생용지 투자추천 010 3819 3805</t>
        </is>
      </c>
      <c r="L165" s="6">
        <f>HYPERLINK("https://fin.land.naver.com/articles/2649329270", "매물Link")</f>
        <v/>
      </c>
      <c r="M165" s="6">
        <f>HYPERLINK("https://map.naver.com/p/search/세종특별자치시 고운동 2161", "지도Link")</f>
        <v/>
      </c>
      <c r="N165" s="6">
        <f>HYPERLINK("http://www.eum.go.kr/web/ar/lu/luLandDet.jsp?pnu=3611011200121610000&amp;isNoScr=script&amp;mode=search", "토지이음")</f>
        <v/>
      </c>
      <c r="O165" s="3" t="inlineStr">
        <is>
          <t>국제</t>
        </is>
      </c>
      <c r="P165" s="3" t="n">
        <v>3</v>
      </c>
      <c r="Q165" s="3" t="n">
        <v>304.8</v>
      </c>
      <c r="R165" s="3" t="inlineStr">
        <is>
          <t>지정되지않음</t>
        </is>
      </c>
      <c r="S165" s="3" t="inlineStr">
        <is>
          <t>상업나지</t>
        </is>
      </c>
      <c r="T165" s="3" t="inlineStr">
        <is>
          <t>평지</t>
        </is>
      </c>
      <c r="U165" s="3" t="inlineStr">
        <is>
          <t>세로장방</t>
        </is>
      </c>
      <c r="V165" s="3" t="inlineStr">
        <is>
          <t>소로한면</t>
        </is>
      </c>
    </row>
    <row r="166">
      <c r="A166" s="3" t="inlineStr">
        <is>
          <t>세종특별자치시 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HYPERLINK("https://map.naver.com/p/search/세종특별자치시 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세종특별자치시 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96.1p, 한옥마을 근생토지, 위치 좋고 노출 좋은 토지</t>
        </is>
      </c>
      <c r="L167" s="6">
        <f>HYPERLINK("https://fin.land.naver.com/articles/2649596569", "매물Link")</f>
        <v/>
      </c>
      <c r="M167" s="6">
        <f>HYPERLINK("https://map.naver.com/p/search/세종특별자치시 고운동 2162", "지도Link")</f>
        <v/>
      </c>
      <c r="N167" s="6">
        <f>HYPERLINK("http://www.eum.go.kr/web/ar/lu/luLandDet.jsp?pnu=3611011200121620000&amp;isNoScr=script&amp;mode=search", "토지이음")</f>
        <v/>
      </c>
      <c r="O167" s="3" t="inlineStr">
        <is>
          <t>세종무지개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세종특별자치시 고운동 2162</t>
        </is>
      </c>
      <c r="B168" s="3" t="inlineStr">
        <is>
          <t>제1종전용주거지역</t>
        </is>
      </c>
      <c r="C168" s="3" t="inlineStr">
        <is>
          <t>대</t>
        </is>
      </c>
      <c r="D168" s="3" t="inlineStr">
        <is>
          <t>대</t>
        </is>
      </c>
      <c r="E168" s="3" t="inlineStr">
        <is>
          <t>매매</t>
        </is>
      </c>
      <c r="F168" s="4" t="n">
        <v>150000</v>
      </c>
      <c r="G168" s="4" t="n">
        <v>317</v>
      </c>
      <c r="H168" s="4" t="n">
        <v>96</v>
      </c>
      <c r="I168" s="5" t="n">
        <v>1562.5</v>
      </c>
      <c r="J168" s="4" t="n">
        <v>735.5</v>
      </c>
      <c r="K168" s="3" t="inlineStr">
        <is>
          <t>한옥마을  귀한 근생 용지 .   커피숍 ,식당 등추천, 주변 아파트밀집</t>
        </is>
      </c>
      <c r="L168" s="6">
        <f>HYPERLINK("https://fin.land.naver.com/articles/2644461299", "매물Link")</f>
        <v/>
      </c>
      <c r="M168" s="6">
        <f>HYPERLINK("https://map.naver.com/p/search/세종특별자치시 고운동 2162", "지도Link")</f>
        <v/>
      </c>
      <c r="N168" s="6">
        <f>HYPERLINK("http://www.eum.go.kr/web/ar/lu/luLandDet.jsp?pnu=3611011200121620000&amp;isNoScr=script&amp;mode=search", "토지이음")</f>
        <v/>
      </c>
      <c r="O168" s="3" t="inlineStr">
        <is>
          <t>세종특별시</t>
        </is>
      </c>
      <c r="P168" s="3" t="n">
        <v>1</v>
      </c>
      <c r="Q168" s="3" t="n">
        <v>317.2</v>
      </c>
      <c r="R168" s="3" t="inlineStr">
        <is>
          <t>지정되지않음</t>
        </is>
      </c>
      <c r="S168" s="3" t="inlineStr">
        <is>
          <t>상업나지</t>
        </is>
      </c>
      <c r="T168" s="3" t="inlineStr">
        <is>
          <t>평지</t>
        </is>
      </c>
      <c r="U168" s="3" t="inlineStr">
        <is>
          <t>가로장방</t>
        </is>
      </c>
      <c r="V168" s="3" t="inlineStr">
        <is>
          <t>소로각지</t>
        </is>
      </c>
    </row>
    <row r="169">
      <c r="A169" s="3" t="inlineStr">
        <is>
          <t>세종특별자치시 고운동 2202</t>
        </is>
      </c>
      <c r="B169" s="3" t="inlineStr">
        <is>
          <t>제1종전용주거지역</t>
        </is>
      </c>
      <c r="C169" s="3" t="inlineStr">
        <is>
          <t>대</t>
        </is>
      </c>
      <c r="D169" s="3" t="inlineStr">
        <is>
          <t>대</t>
        </is>
      </c>
      <c r="E169" s="3" t="inlineStr">
        <is>
          <t>매매</t>
        </is>
      </c>
      <c r="F169" s="4" t="n">
        <v>50000</v>
      </c>
      <c r="G169" s="4" t="n">
        <v>322</v>
      </c>
      <c r="H169" s="4" t="n">
        <v>97</v>
      </c>
      <c r="I169" s="5" t="n">
        <v>515.5</v>
      </c>
      <c r="J169" s="4" t="n">
        <v>249.7</v>
      </c>
      <c r="K169" s="3" t="inlineStr">
        <is>
          <t>한옥마을토지, 위치 좋은곳</t>
        </is>
      </c>
      <c r="L169" s="6">
        <f>HYPERLINK("https://fin.land.naver.com/articles/2648832539", "매물Link")</f>
        <v/>
      </c>
      <c r="M169" s="6">
        <f>HYPERLINK("https://map.naver.com/p/search/세종특별자치시 고운동 2202", "지도Link")</f>
        <v/>
      </c>
      <c r="N169" s="6">
        <f>HYPERLINK("http://www.eum.go.kr/web/ar/lu/luLandDet.jsp?pnu=3611011200122020000&amp;isNoScr=script&amp;mode=search", "토지이음")</f>
        <v/>
      </c>
      <c r="O169" s="3" t="inlineStr">
        <is>
          <t>세종무지개</t>
        </is>
      </c>
      <c r="P169" s="3" t="n">
        <v>1</v>
      </c>
      <c r="Q169" s="3" t="n">
        <v>322.6</v>
      </c>
      <c r="R169" s="3" t="inlineStr">
        <is>
          <t>지정되지않음</t>
        </is>
      </c>
      <c r="S169" s="3" t="inlineStr">
        <is>
          <t>주거나지</t>
        </is>
      </c>
      <c r="T169" s="3" t="inlineStr">
        <is>
          <t>평지</t>
        </is>
      </c>
      <c r="U169" s="3" t="inlineStr">
        <is>
          <t>사다리형</t>
        </is>
      </c>
      <c r="V169" s="3" t="inlineStr">
        <is>
          <t>세로한면(가)</t>
        </is>
      </c>
    </row>
    <row r="170">
      <c r="A170" s="3" t="inlineStr">
        <is>
          <t>세종특별자치시 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HYPERLINK("https://map.naver.com/p/search/세종특별자치시 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세종특별자치시 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HYPERLINK("https://map.naver.com/p/search/세종특별자치시 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세종특별자치시 고운동 893-10</t>
        </is>
      </c>
      <c r="B172" s="3" t="inlineStr">
        <is>
          <t>제1종전용주거지역</t>
        </is>
      </c>
      <c r="C172" s="3" t="inlineStr">
        <is>
          <t>대</t>
        </is>
      </c>
      <c r="D172" s="3" t="inlineStr">
        <is>
          <t>대</t>
        </is>
      </c>
      <c r="E172" s="3" t="inlineStr">
        <is>
          <t>매매</t>
        </is>
      </c>
      <c r="F172" s="4" t="n">
        <v>56000</v>
      </c>
      <c r="G172" s="4" t="n">
        <v>374</v>
      </c>
      <c r="H172" s="4" t="n">
        <v>113</v>
      </c>
      <c r="I172" s="5" t="n">
        <v>495.6</v>
      </c>
      <c r="J172" s="4" t="n">
        <v>319.6</v>
      </c>
      <c r="K172" s="3" t="inlineStr">
        <is>
          <t>고운동 단독주택지</t>
        </is>
      </c>
      <c r="L172" s="6">
        <f>HYPERLINK("https://fin.land.naver.com/articles/2648385636", "매물Link")</f>
        <v/>
      </c>
      <c r="M172" s="6">
        <f>HYPERLINK("https://map.naver.com/p/search/세종특별자치시 고운동 893-10", "지도Link")</f>
        <v/>
      </c>
      <c r="N172" s="6">
        <f>HYPERLINK("http://www.eum.go.kr/web/ar/lu/luLandDet.jsp?pnu=3611011200108930010&amp;isNoScr=script&amp;mode=search", "토지이음")</f>
        <v/>
      </c>
      <c r="O172" s="3" t="inlineStr">
        <is>
          <t>현대파라곤</t>
        </is>
      </c>
      <c r="P172" s="3" t="n">
        <v>1</v>
      </c>
      <c r="Q172" s="3" t="n">
        <v>256.3</v>
      </c>
      <c r="R172" s="3" t="inlineStr">
        <is>
          <t>지정되지않음</t>
        </is>
      </c>
      <c r="S172" s="3" t="inlineStr">
        <is>
          <t>주거나지</t>
        </is>
      </c>
      <c r="T172" s="3" t="inlineStr">
        <is>
          <t>평지</t>
        </is>
      </c>
      <c r="U172" s="3" t="inlineStr">
        <is>
          <t>가로장방</t>
        </is>
      </c>
      <c r="V172" s="3" t="inlineStr">
        <is>
          <t>소로한면</t>
        </is>
      </c>
    </row>
    <row r="173">
      <c r="A173" s="3" t="inlineStr">
        <is>
          <t>세종특별자치시 고운동 893-20</t>
        </is>
      </c>
      <c r="B173" s="3" t="inlineStr">
        <is>
          <t>제1종전용주거지역</t>
        </is>
      </c>
      <c r="C173" s="3" t="inlineStr">
        <is>
          <t>대</t>
        </is>
      </c>
      <c r="D173" s="3" t="inlineStr">
        <is>
          <t>대</t>
        </is>
      </c>
      <c r="E173" s="3" t="inlineStr">
        <is>
          <t>매매</t>
        </is>
      </c>
      <c r="F173" s="4" t="n">
        <v>43000</v>
      </c>
      <c r="G173" s="4" t="n">
        <v>251</v>
      </c>
      <c r="H173" s="4" t="n">
        <v>76</v>
      </c>
      <c r="I173" s="5" t="n">
        <v>565.8</v>
      </c>
      <c r="J173" s="4" t="n">
        <v>319.6</v>
      </c>
      <c r="K173" s="3" t="inlineStr">
        <is>
          <t>급매, 조망 좋은 고운동에 있는 세종네이플리브 단독주택지 입니다</t>
        </is>
      </c>
      <c r="L173" s="6">
        <f>HYPERLINK("https://fin.land.naver.com/articles/2646085040", "매물Link")</f>
        <v/>
      </c>
      <c r="M173" s="6">
        <f>HYPERLINK("https://map.naver.com/p/search/세종특별자치시 고운동 893-20", "지도Link")</f>
        <v/>
      </c>
      <c r="N173" s="6">
        <f>HYPERLINK("http://www.eum.go.kr/web/ar/lu/luLandDet.jsp?pnu=3611011200108930020&amp;isNoScr=script&amp;mode=search", "토지이음")</f>
        <v/>
      </c>
      <c r="O173" s="3" t="inlineStr">
        <is>
          <t>스마일세종</t>
        </is>
      </c>
      <c r="P173" s="3" t="n">
        <v>1</v>
      </c>
      <c r="Q173" s="3" t="n">
        <v>251.1</v>
      </c>
      <c r="R173" s="3" t="inlineStr">
        <is>
          <t>지정되지않음</t>
        </is>
      </c>
      <c r="S173" s="3" t="inlineStr">
        <is>
          <t>주거나지</t>
        </is>
      </c>
      <c r="T173" s="3" t="inlineStr">
        <is>
          <t>평지</t>
        </is>
      </c>
      <c r="U173" s="3" t="inlineStr">
        <is>
          <t>가로장방</t>
        </is>
      </c>
      <c r="V173" s="3" t="inlineStr">
        <is>
          <t>소로한면</t>
        </is>
      </c>
    </row>
    <row r="174">
      <c r="A174" s="3" t="inlineStr">
        <is>
          <t>세종특별자치시 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HYPERLINK("https://map.naver.com/p/search/세종특별자치시 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세종특별자치시 고운동 893-27</t>
        </is>
      </c>
      <c r="B175" s="3" t="inlineStr">
        <is>
          <t>제1종전용주거지역</t>
        </is>
      </c>
      <c r="C175" s="3" t="inlineStr">
        <is>
          <t>대</t>
        </is>
      </c>
      <c r="D175" s="3" t="inlineStr">
        <is>
          <t>대</t>
        </is>
      </c>
      <c r="E175" s="3" t="inlineStr">
        <is>
          <t>매매</t>
        </is>
      </c>
      <c r="F175" s="4" t="n">
        <v>45000</v>
      </c>
      <c r="G175" s="4" t="n">
        <v>252</v>
      </c>
      <c r="H175" s="4" t="n">
        <v>76</v>
      </c>
      <c r="I175" s="5" t="n">
        <v>592.1</v>
      </c>
      <c r="J175" s="4" t="n">
        <v>319.6</v>
      </c>
      <c r="K175" s="3" t="inlineStr">
        <is>
          <t>급매, 네이플리브 토지 76.3p, 도로지분 35.1p 총 111.4p</t>
        </is>
      </c>
      <c r="L175" s="6">
        <f>HYPERLINK("https://fin.land.naver.com/articles/2649017269", "매물Link")</f>
        <v/>
      </c>
      <c r="M175" s="6">
        <f>HYPERLINK("https://map.naver.com/p/search/세종특별자치시 고운동 893-27", "지도Link")</f>
        <v/>
      </c>
      <c r="N175" s="6">
        <f>HYPERLINK("http://www.eum.go.kr/web/ar/lu/luLandDet.jsp?pnu=3611011200108930027&amp;isNoScr=script&amp;mode=search", "토지이음")</f>
        <v/>
      </c>
      <c r="O175" s="3" t="inlineStr">
        <is>
          <t>명진</t>
        </is>
      </c>
      <c r="P175" s="3" t="n">
        <v>1</v>
      </c>
      <c r="Q175" s="3" t="n">
        <v>252.1</v>
      </c>
      <c r="R175" s="3" t="inlineStr">
        <is>
          <t>지정되지않음</t>
        </is>
      </c>
      <c r="S175" s="3" t="inlineStr">
        <is>
          <t>주거나지</t>
        </is>
      </c>
      <c r="T175" s="3" t="inlineStr">
        <is>
          <t>평지</t>
        </is>
      </c>
      <c r="U175" s="3" t="inlineStr">
        <is>
          <t>가로장방</t>
        </is>
      </c>
      <c r="V175" s="3" t="inlineStr">
        <is>
          <t>소로한면</t>
        </is>
      </c>
    </row>
    <row r="176">
      <c r="A176" s="3" t="inlineStr">
        <is>
          <t>세종특별자치시 고운동 893-7</t>
        </is>
      </c>
      <c r="B176" s="3" t="inlineStr">
        <is>
          <t>제1종전용주거지역</t>
        </is>
      </c>
      <c r="C176" s="3" t="inlineStr">
        <is>
          <t>대</t>
        </is>
      </c>
      <c r="D176" s="3" t="inlineStr">
        <is>
          <t>대</t>
        </is>
      </c>
      <c r="E176" s="3" t="inlineStr">
        <is>
          <t>매매</t>
        </is>
      </c>
      <c r="F176" s="4" t="n">
        <v>49500</v>
      </c>
      <c r="G176" s="4" t="n">
        <v>256</v>
      </c>
      <c r="H176" s="4" t="n">
        <v>77</v>
      </c>
      <c r="I176" s="5" t="n">
        <v>642.9</v>
      </c>
      <c r="J176" s="4" t="n">
        <v>319.6</v>
      </c>
      <c r="K176" s="3" t="inlineStr">
        <is>
          <t>타운하우스부지 a타입 건축가능 합니다</t>
        </is>
      </c>
      <c r="L176" s="6">
        <f>HYPERLINK("https://fin.land.naver.com/articles/2646061697", "매물Link")</f>
        <v/>
      </c>
      <c r="M176" s="6">
        <f>HYPERLINK("https://map.naver.com/p/search/세종특별자치시 고운동 893-7", "지도Link")</f>
        <v/>
      </c>
      <c r="N176" s="6">
        <f>HYPERLINK("http://www.eum.go.kr/web/ar/lu/luLandDet.jsp?pnu=3611011200108930007&amp;isNoScr=script&amp;mode=search", "토지이음")</f>
        <v/>
      </c>
      <c r="O176" s="3" t="inlineStr">
        <is>
          <t>은성</t>
        </is>
      </c>
      <c r="P176" s="3" t="n">
        <v>1</v>
      </c>
      <c r="Q176" s="3" t="n">
        <v>256.8</v>
      </c>
      <c r="R176" s="3" t="inlineStr">
        <is>
          <t>지정되지않음</t>
        </is>
      </c>
      <c r="S176" s="3" t="inlineStr">
        <is>
          <t>주거나지</t>
        </is>
      </c>
      <c r="T176" s="3" t="inlineStr">
        <is>
          <t>평지</t>
        </is>
      </c>
      <c r="U176" s="3" t="inlineStr">
        <is>
          <t>가로장방</t>
        </is>
      </c>
      <c r="V176" s="3" t="inlineStr">
        <is>
          <t>소로한면</t>
        </is>
      </c>
    </row>
    <row r="177">
      <c r="A177" s="3" t="inlineStr">
        <is>
          <t>세종특별자치시 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r급매 타운하우스부지 A타입 건축가능</t>
        </is>
      </c>
      <c r="L177" s="6">
        <f>HYPERLINK("https://fin.land.naver.com/articles/2648877685", "매물Link")</f>
        <v/>
      </c>
      <c r="M177" s="6">
        <f>HYPERLINK("https://map.naver.com/p/search/세종특별자치시 고운동 894-1", "지도Link")</f>
        <v/>
      </c>
      <c r="N177" s="6">
        <f>HYPERLINK("http://www.eum.go.kr/web/ar/lu/luLandDet.jsp?pnu=3611011200108940001&amp;isNoScr=script&amp;mode=search", "토지이음")</f>
        <v/>
      </c>
      <c r="O177" s="3" t="inlineStr">
        <is>
          <t>써니</t>
        </is>
      </c>
      <c r="P177" s="3" t="n">
        <v>2</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세종특별자치시 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HYPERLINK("https://map.naver.com/p/search/세종특별자치시 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세종특별자치시 고운동 894-1</t>
        </is>
      </c>
      <c r="B179" s="3" t="inlineStr">
        <is>
          <t>제1종전용주거지역</t>
        </is>
      </c>
      <c r="C179" s="3" t="inlineStr">
        <is>
          <t>대</t>
        </is>
      </c>
      <c r="D179" s="3" t="inlineStr">
        <is>
          <t>대</t>
        </is>
      </c>
      <c r="E179" s="3" t="inlineStr">
        <is>
          <t>매매</t>
        </is>
      </c>
      <c r="F179" s="4" t="n">
        <v>38000</v>
      </c>
      <c r="G179" s="4" t="n">
        <v>250</v>
      </c>
      <c r="H179" s="4" t="n">
        <v>76</v>
      </c>
      <c r="I179" s="5" t="n">
        <v>500</v>
      </c>
      <c r="J179" s="4" t="n">
        <v>319.6</v>
      </c>
      <c r="K179" s="3" t="inlineStr">
        <is>
          <t>고운동 사진O 고운동 코지빌 타운하우스 내 A타입 건축가능토지 매매</t>
        </is>
      </c>
      <c r="L179" s="6">
        <f>HYPERLINK("https://fin.land.naver.com/articles/2649499148", "매물Link")</f>
        <v/>
      </c>
      <c r="M179" s="6">
        <f>HYPERLINK("https://map.naver.com/p/search/세종특별자치시 고운동 894-1", "지도Link")</f>
        <v/>
      </c>
      <c r="N179" s="6">
        <f>HYPERLINK("http://www.eum.go.kr/web/ar/lu/luLandDet.jsp?pnu=3611011200108940001&amp;isNoScr=script&amp;mode=search", "토지이음")</f>
        <v/>
      </c>
      <c r="O179" s="3" t="inlineStr">
        <is>
          <t>리슈빌대주</t>
        </is>
      </c>
      <c r="P179" s="3" t="n">
        <v>1</v>
      </c>
      <c r="Q179" s="3" t="n">
        <v>250.2</v>
      </c>
      <c r="R179" s="3" t="inlineStr">
        <is>
          <t>지정되지않음</t>
        </is>
      </c>
      <c r="S179" s="3" t="inlineStr">
        <is>
          <t>주거나지</t>
        </is>
      </c>
      <c r="T179" s="3" t="inlineStr">
        <is>
          <t>평지</t>
        </is>
      </c>
      <c r="U179" s="3" t="inlineStr">
        <is>
          <t>세로장방</t>
        </is>
      </c>
      <c r="V179" s="3" t="inlineStr">
        <is>
          <t>소로한면</t>
        </is>
      </c>
    </row>
    <row r="180">
      <c r="A180" s="3" t="inlineStr">
        <is>
          <t>세종특별자치시 고운동 894-17</t>
        </is>
      </c>
      <c r="B180" s="3" t="inlineStr">
        <is>
          <t>제1종전용주거지역</t>
        </is>
      </c>
      <c r="C180" s="3" t="inlineStr">
        <is>
          <t>대</t>
        </is>
      </c>
      <c r="D180" s="3" t="inlineStr">
        <is>
          <t>대</t>
        </is>
      </c>
      <c r="E180" s="3" t="inlineStr">
        <is>
          <t>매매</t>
        </is>
      </c>
      <c r="F180" s="4" t="n">
        <v>53000</v>
      </c>
      <c r="G180" s="4" t="n">
        <v>244</v>
      </c>
      <c r="H180" s="4" t="n">
        <v>74</v>
      </c>
      <c r="I180" s="5" t="n">
        <v>716.2</v>
      </c>
      <c r="J180" s="4" t="n">
        <v>319.6</v>
      </c>
      <c r="K180" s="3" t="inlineStr">
        <is>
          <t>고운동 단독주택지 매매 합니다</t>
        </is>
      </c>
      <c r="L180" s="6">
        <f>HYPERLINK("https://fin.land.naver.com/articles/2647535398", "매물Link")</f>
        <v/>
      </c>
      <c r="M180" s="6">
        <f>HYPERLINK("https://map.naver.com/p/search/세종특별자치시 고운동 894-17", "지도Link")</f>
        <v/>
      </c>
      <c r="N180" s="6">
        <f>HYPERLINK("http://www.eum.go.kr/web/ar/lu/luLandDet.jsp?pnu=3611011200108940017&amp;isNoScr=script&amp;mode=search", "토지이음")</f>
        <v/>
      </c>
      <c r="O180" s="3" t="inlineStr">
        <is>
          <t>태양투</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세종특별자치시 고운동 894-21</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 코지빌 토지매매</t>
        </is>
      </c>
      <c r="L181" s="6">
        <f>HYPERLINK("https://fin.land.naver.com/articles/2649595000", "매물Link")</f>
        <v/>
      </c>
      <c r="M181" s="6">
        <f>HYPERLINK("https://map.naver.com/p/search/세종특별자치시 고운동 894-21", "지도Link")</f>
        <v/>
      </c>
      <c r="N181" s="6">
        <f>HYPERLINK("http://www.eum.go.kr/web/ar/lu/luLandDet.jsp?pnu=3611011200108940021&amp;isNoScr=script&amp;mode=search", "토지이음")</f>
        <v/>
      </c>
      <c r="O181" s="3" t="inlineStr">
        <is>
          <t>황금도장</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세종특별자치시 고운동 894-25</t>
        </is>
      </c>
      <c r="B182" s="3" t="inlineStr">
        <is>
          <t>제1종전용주거지역</t>
        </is>
      </c>
      <c r="C182" s="3" t="inlineStr">
        <is>
          <t>대</t>
        </is>
      </c>
      <c r="D182" s="3" t="inlineStr">
        <is>
          <t>대</t>
        </is>
      </c>
      <c r="E182" s="3" t="inlineStr">
        <is>
          <t>매매</t>
        </is>
      </c>
      <c r="F182" s="4" t="n">
        <v>49000</v>
      </c>
      <c r="G182" s="4" t="n">
        <v>244</v>
      </c>
      <c r="H182" s="4" t="n">
        <v>74</v>
      </c>
      <c r="I182" s="5" t="n">
        <v>662.2</v>
      </c>
      <c r="J182" s="4" t="n">
        <v>319.6</v>
      </c>
      <c r="K182" s="3" t="inlineStr">
        <is>
          <t>고운동타운하우스토지매매 가격조정가능</t>
        </is>
      </c>
      <c r="L182" s="6">
        <f>HYPERLINK("https://fin.land.naver.com/articles/2645356321", "매물Link")</f>
        <v/>
      </c>
      <c r="M182" s="6">
        <f>HYPERLINK("https://map.naver.com/p/search/세종특별자치시 고운동 894-25", "지도Link")</f>
        <v/>
      </c>
      <c r="N182" s="6">
        <f>HYPERLINK("http://www.eum.go.kr/web/ar/lu/luLandDet.jsp?pnu=3611011200108940025&amp;isNoScr=script&amp;mode=search", "토지이음")</f>
        <v/>
      </c>
      <c r="O182" s="3" t="inlineStr">
        <is>
          <t>고운동리치세종</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세종특별자치시 고운동 894-26</t>
        </is>
      </c>
      <c r="B183" s="3" t="inlineStr">
        <is>
          <t>제1종전용주거지역</t>
        </is>
      </c>
      <c r="C183" s="3" t="inlineStr">
        <is>
          <t>대</t>
        </is>
      </c>
      <c r="D183" s="3" t="inlineStr">
        <is>
          <t>대</t>
        </is>
      </c>
      <c r="E183" s="3" t="inlineStr">
        <is>
          <t>매매</t>
        </is>
      </c>
      <c r="F183" s="4" t="n">
        <v>50000</v>
      </c>
      <c r="G183" s="4" t="n">
        <v>244</v>
      </c>
      <c r="H183" s="4" t="n">
        <v>74</v>
      </c>
      <c r="I183" s="5" t="n">
        <v>675.7</v>
      </c>
      <c r="J183" s="4" t="n">
        <v>319.6</v>
      </c>
      <c r="K183" s="3" t="inlineStr">
        <is>
          <t>코지빌 토지매매, 74.18p, 도로지분 별도, 조율가능</t>
        </is>
      </c>
      <c r="L183" s="6">
        <f>HYPERLINK("https://fin.land.naver.com/articles/2646696503", "매물Link")</f>
        <v/>
      </c>
      <c r="M183" s="6">
        <f>HYPERLINK("https://map.naver.com/p/search/세종특별자치시 고운동 894-26", "지도Link")</f>
        <v/>
      </c>
      <c r="N183" s="6">
        <f>HYPERLINK("http://www.eum.go.kr/web/ar/lu/luLandDet.jsp?pnu=3611011200108940026&amp;isNoScr=script&amp;mode=search", "토지이음")</f>
        <v/>
      </c>
      <c r="O183" s="3" t="inlineStr">
        <is>
          <t>세종무지개</t>
        </is>
      </c>
      <c r="P183" s="3" t="n">
        <v>1</v>
      </c>
      <c r="Q183" s="3" t="n">
        <v>244.8</v>
      </c>
      <c r="R183" s="3" t="inlineStr">
        <is>
          <t>지정되지않음</t>
        </is>
      </c>
      <c r="S183" s="3" t="inlineStr">
        <is>
          <t>주거나지</t>
        </is>
      </c>
      <c r="T183" s="3" t="inlineStr">
        <is>
          <t>평지</t>
        </is>
      </c>
      <c r="U183" s="3" t="inlineStr">
        <is>
          <t>세로장방</t>
        </is>
      </c>
      <c r="V183" s="3" t="inlineStr">
        <is>
          <t>소로한면</t>
        </is>
      </c>
    </row>
    <row r="184">
      <c r="A184" s="3" t="inlineStr">
        <is>
          <t>세종특별자치시 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nan</t>
        </is>
      </c>
      <c r="L184" s="6">
        <f>HYPERLINK("https://fin.land.naver.com/articles/2644701452", "매물Link")</f>
        <v/>
      </c>
      <c r="M184" s="6">
        <f>HYPERLINK("https://map.naver.com/p/search/세종특별자치시 고운동 894-35", "지도Link")</f>
        <v/>
      </c>
      <c r="N184" s="6">
        <f>HYPERLINK("http://www.eum.go.kr/web/ar/lu/luLandDet.jsp?pnu=3611011200108940035&amp;isNoScr=script&amp;mode=search", "토지이음")</f>
        <v/>
      </c>
      <c r="O184" s="3" t="inlineStr">
        <is>
          <t>고운동리치세종</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세종특별자치시 고운동 894-35</t>
        </is>
      </c>
      <c r="B185" s="3" t="inlineStr">
        <is>
          <t>제1종전용주거지역</t>
        </is>
      </c>
      <c r="C185" s="3" t="inlineStr">
        <is>
          <t>대</t>
        </is>
      </c>
      <c r="D185" s="3" t="inlineStr">
        <is>
          <t>대</t>
        </is>
      </c>
      <c r="E185" s="3" t="inlineStr">
        <is>
          <t>매매</t>
        </is>
      </c>
      <c r="F185" s="4" t="n">
        <v>44000</v>
      </c>
      <c r="G185" s="4" t="n">
        <v>288</v>
      </c>
      <c r="H185" s="4" t="n">
        <v>87</v>
      </c>
      <c r="I185" s="5" t="n">
        <v>505.7</v>
      </c>
      <c r="J185" s="4" t="n">
        <v>319.6</v>
      </c>
      <c r="K185" s="3" t="inlineStr">
        <is>
          <t>급매, 코지빌 단독주택지 토지매매</t>
        </is>
      </c>
      <c r="L185" s="6">
        <f>HYPERLINK("https://fin.land.naver.com/articles/2645493715", "매물Link")</f>
        <v/>
      </c>
      <c r="M185" s="6">
        <f>HYPERLINK("https://map.naver.com/p/search/세종특별자치시 고운동 894-35", "지도Link")</f>
        <v/>
      </c>
      <c r="N185" s="6">
        <f>HYPERLINK("http://www.eum.go.kr/web/ar/lu/luLandDet.jsp?pnu=3611011200108940035&amp;isNoScr=script&amp;mode=search", "토지이음")</f>
        <v/>
      </c>
      <c r="O185" s="3" t="inlineStr">
        <is>
          <t>명진</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세종특별자치시 고운동 894-35</t>
        </is>
      </c>
      <c r="B186" s="3" t="inlineStr">
        <is>
          <t>제1종전용주거지역</t>
        </is>
      </c>
      <c r="C186" s="3" t="inlineStr">
        <is>
          <t>대</t>
        </is>
      </c>
      <c r="D186" s="3" t="inlineStr">
        <is>
          <t>대</t>
        </is>
      </c>
      <c r="E186" s="3" t="inlineStr">
        <is>
          <t>매매</t>
        </is>
      </c>
      <c r="F186" s="4" t="n">
        <v>44000</v>
      </c>
      <c r="G186" s="4" t="n">
        <v>290</v>
      </c>
      <c r="H186" s="4" t="n">
        <v>88</v>
      </c>
      <c r="I186" s="5" t="n">
        <v>500</v>
      </c>
      <c r="J186" s="4" t="n">
        <v>319.6</v>
      </c>
      <c r="K186" s="3" t="inlineStr">
        <is>
          <t>코지빌 토지매매, 공원 옆, 앞쪽 입지 좋은 토지</t>
        </is>
      </c>
      <c r="L186" s="6">
        <f>HYPERLINK("https://fin.land.naver.com/articles/2645385552", "매물Link")</f>
        <v/>
      </c>
      <c r="M186" s="6">
        <f>HYPERLINK("https://map.naver.com/p/search/세종특별자치시 고운동 894-35", "지도Link")</f>
        <v/>
      </c>
      <c r="N186" s="6">
        <f>HYPERLINK("http://www.eum.go.kr/web/ar/lu/luLandDet.jsp?pnu=3611011200108940035&amp;isNoScr=script&amp;mode=search",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세종특별자치시 고운동 894-37</t>
        </is>
      </c>
      <c r="B187" s="3" t="inlineStr">
        <is>
          <t>제1종전용주거지역</t>
        </is>
      </c>
      <c r="C187" s="3" t="inlineStr">
        <is>
          <t>대</t>
        </is>
      </c>
      <c r="D187" s="3" t="inlineStr">
        <is>
          <t>대</t>
        </is>
      </c>
      <c r="E187" s="3" t="inlineStr">
        <is>
          <t>매매</t>
        </is>
      </c>
      <c r="F187" s="4" t="n">
        <v>66000</v>
      </c>
      <c r="G187" s="4" t="n">
        <v>290</v>
      </c>
      <c r="H187" s="4" t="n">
        <v>88</v>
      </c>
      <c r="I187" s="5" t="n">
        <v>750</v>
      </c>
      <c r="J187" s="4" t="n">
        <v>319.6</v>
      </c>
      <c r="K187" s="3" t="inlineStr">
        <is>
          <t>고운동 코지빌 입구쪽 코너 타운하우스 택지</t>
        </is>
      </c>
      <c r="L187" s="6">
        <f>HYPERLINK("https://fin.land.naver.com/articles/2644482020", "매물Link")</f>
        <v/>
      </c>
      <c r="M187" s="6">
        <f>HYPERLINK("https://map.naver.com/p/search/세종특별자치시 고운동 894-37", "지도Link")</f>
        <v/>
      </c>
      <c r="N187" s="6">
        <f>HYPERLINK("http://www.eum.go.kr/web/ar/lu/luLandDet.jsp?pnu=3611011200108940037&amp;isNoScr=script&amp;mode=search", "토지이음")</f>
        <v/>
      </c>
      <c r="O187" s="3" t="inlineStr">
        <is>
          <t>세종무지개</t>
        </is>
      </c>
      <c r="P187" s="3" t="n">
        <v>1</v>
      </c>
      <c r="Q187" s="3" t="n">
        <v>290.7</v>
      </c>
      <c r="R187" s="3" t="inlineStr">
        <is>
          <t>지정되지않음</t>
        </is>
      </c>
      <c r="S187" s="3" t="inlineStr">
        <is>
          <t>주거나지</t>
        </is>
      </c>
      <c r="T187" s="3" t="inlineStr">
        <is>
          <t>평지</t>
        </is>
      </c>
      <c r="U187" s="3" t="inlineStr">
        <is>
          <t>세로장방</t>
        </is>
      </c>
      <c r="V187" s="3" t="inlineStr">
        <is>
          <t>소로한면</t>
        </is>
      </c>
    </row>
    <row r="188">
      <c r="A188" s="3" t="inlineStr">
        <is>
          <t>세종특별자치시 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 세종코지빌 타운하우스  투자하기 좋은</t>
        </is>
      </c>
      <c r="L188" s="6">
        <f>HYPERLINK("https://fin.land.naver.com/articles/2649937236", "매물Link")</f>
        <v/>
      </c>
      <c r="M188" s="6">
        <f>HYPERLINK("https://map.naver.com/p/search/세종특별자치시 고운동 894-42", "지도Link")</f>
        <v/>
      </c>
      <c r="N188" s="6">
        <f>HYPERLINK("http://www.eum.go.kr/web/ar/lu/luLandDet.jsp?pnu=3611011200108940042&amp;isNoScr=script&amp;mode=search", "토지이음")</f>
        <v/>
      </c>
      <c r="O188" s="3" t="inlineStr">
        <is>
          <t>은성</t>
        </is>
      </c>
      <c r="P188" s="3" t="n">
        <v>1</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세종특별자치시 고운동 894-42</t>
        </is>
      </c>
      <c r="B189" s="3" t="inlineStr">
        <is>
          <t>제1종전용주거지역</t>
        </is>
      </c>
      <c r="C189" s="3" t="inlineStr">
        <is>
          <t>대</t>
        </is>
      </c>
      <c r="D189" s="3" t="inlineStr">
        <is>
          <t>대</t>
        </is>
      </c>
      <c r="E189" s="3" t="inlineStr">
        <is>
          <t>매매</t>
        </is>
      </c>
      <c r="F189" s="4" t="n">
        <v>42000</v>
      </c>
      <c r="G189" s="4" t="n">
        <v>463</v>
      </c>
      <c r="H189" s="4" t="n">
        <v>140</v>
      </c>
      <c r="I189" s="5" t="n">
        <v>300</v>
      </c>
      <c r="J189" s="4" t="n">
        <v>319.6</v>
      </c>
      <c r="K189" s="3" t="inlineStr">
        <is>
          <t>고운동타운하스토지매매 가격조정가능</t>
        </is>
      </c>
      <c r="L189" s="6">
        <f>HYPERLINK("https://fin.land.naver.com/articles/2650003835", "매물Link")</f>
        <v/>
      </c>
      <c r="M189" s="6">
        <f>HYPERLINK("https://map.naver.com/p/search/세종특별자치시 고운동 894-42", "지도Link")</f>
        <v/>
      </c>
      <c r="N189" s="6">
        <f>HYPERLINK("http://www.eum.go.kr/web/ar/lu/luLandDet.jsp?pnu=3611011200108940042&amp;isNoScr=script&amp;mode=search", "토지이음")</f>
        <v/>
      </c>
      <c r="O189" s="3" t="inlineStr">
        <is>
          <t>고운동리치세종</t>
        </is>
      </c>
      <c r="P189" s="3" t="n">
        <v>2</v>
      </c>
      <c r="Q189" s="3" t="n">
        <v>463.1</v>
      </c>
      <c r="R189" s="3" t="inlineStr">
        <is>
          <t>지정되지않음</t>
        </is>
      </c>
      <c r="S189" s="3" t="inlineStr">
        <is>
          <t>주거나지</t>
        </is>
      </c>
      <c r="T189" s="3" t="inlineStr">
        <is>
          <t>평지</t>
        </is>
      </c>
      <c r="U189" s="3" t="inlineStr">
        <is>
          <t>가로장방</t>
        </is>
      </c>
      <c r="V189" s="3" t="inlineStr">
        <is>
          <t>소로한면</t>
        </is>
      </c>
    </row>
    <row r="190">
      <c r="A190" s="3" t="inlineStr">
        <is>
          <t>세종특별자치시 고운동 904</t>
        </is>
      </c>
      <c r="B190" s="3" t="inlineStr">
        <is>
          <t>제1종전용주거지역</t>
        </is>
      </c>
      <c r="C190" s="3" t="inlineStr">
        <is>
          <t>대</t>
        </is>
      </c>
      <c r="D190" s="3" t="inlineStr">
        <is>
          <t>대</t>
        </is>
      </c>
      <c r="E190" s="3" t="inlineStr">
        <is>
          <t>매매</t>
        </is>
      </c>
      <c r="F190" s="4" t="n">
        <v>62000</v>
      </c>
      <c r="G190" s="4" t="n">
        <v>344</v>
      </c>
      <c r="H190" s="4" t="n">
        <v>104</v>
      </c>
      <c r="I190" s="5" t="n">
        <v>596.2</v>
      </c>
      <c r="J190" s="4" t="n">
        <v>354.4</v>
      </c>
      <c r="K190" s="3" t="inlineStr">
        <is>
          <t>완충녹지 접한 3면코너각지</t>
        </is>
      </c>
      <c r="L190" s="6">
        <f>HYPERLINK("https://fin.land.naver.com/articles/2645721248", "매물Link")</f>
        <v/>
      </c>
      <c r="M190" s="6">
        <f>HYPERLINK("https://map.naver.com/p/search/세종특별자치시 고운동 904", "지도Link")</f>
        <v/>
      </c>
      <c r="N190" s="6">
        <f>HYPERLINK("http://www.eum.go.kr/web/ar/lu/luLandDet.jsp?pnu=3611011200109040000&amp;isNoScr=script&amp;mode=search", "토지이음")</f>
        <v/>
      </c>
      <c r="O190" s="3" t="inlineStr">
        <is>
          <t>세종스타</t>
        </is>
      </c>
      <c r="P190" s="3" t="n">
        <v>1</v>
      </c>
      <c r="Q190" s="3" t="n">
        <v>344.9</v>
      </c>
      <c r="R190" s="3" t="inlineStr">
        <is>
          <t>지정되지않음</t>
        </is>
      </c>
      <c r="S190" s="3" t="inlineStr">
        <is>
          <t>주거나지</t>
        </is>
      </c>
      <c r="T190" s="3" t="inlineStr">
        <is>
          <t>평지</t>
        </is>
      </c>
      <c r="U190" s="3" t="inlineStr">
        <is>
          <t>정방형</t>
        </is>
      </c>
      <c r="V190" s="3" t="inlineStr">
        <is>
          <t>중로각지</t>
        </is>
      </c>
    </row>
    <row r="191">
      <c r="A191" s="3" t="inlineStr">
        <is>
          <t>세종특별자치시 고운동 911</t>
        </is>
      </c>
      <c r="B191" s="3" t="inlineStr">
        <is>
          <t>제1종전용주거지역</t>
        </is>
      </c>
      <c r="C191" s="3" t="inlineStr">
        <is>
          <t>대</t>
        </is>
      </c>
      <c r="D191" s="3" t="inlineStr">
        <is>
          <t>대</t>
        </is>
      </c>
      <c r="E191" s="3" t="inlineStr">
        <is>
          <t>매매</t>
        </is>
      </c>
      <c r="F191" s="4" t="n">
        <v>65000</v>
      </c>
      <c r="G191" s="4" t="n">
        <v>334</v>
      </c>
      <c r="H191" s="4" t="n">
        <v>101</v>
      </c>
      <c r="I191" s="5" t="n">
        <v>643.6</v>
      </c>
      <c r="J191" s="4" t="n">
        <v>315.1</v>
      </c>
      <c r="K191" s="3" t="inlineStr">
        <is>
          <t>아파트 옆으로 생활권편리함.</t>
        </is>
      </c>
      <c r="L191" s="6">
        <f>HYPERLINK("https://fin.land.naver.com/articles/2645686359", "매물Link")</f>
        <v/>
      </c>
      <c r="M191" s="6">
        <f>HYPERLINK("https://map.naver.com/p/search/세종특별자치시 고운동 911", "지도Link")</f>
        <v/>
      </c>
      <c r="N191" s="6">
        <f>HYPERLINK("http://www.eum.go.kr/web/ar/lu/luLandDet.jsp?pnu=3611011200109110000&amp;isNoScr=script&amp;mode=search", "토지이음")</f>
        <v/>
      </c>
      <c r="O191" s="3" t="inlineStr">
        <is>
          <t>세종시토지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세종특별자치시 고운동 912</t>
        </is>
      </c>
      <c r="B192" s="3" t="inlineStr">
        <is>
          <t>제1종전용주거지역</t>
        </is>
      </c>
      <c r="C192" s="3" t="inlineStr">
        <is>
          <t>대</t>
        </is>
      </c>
      <c r="D192" s="3" t="inlineStr">
        <is>
          <t>대</t>
        </is>
      </c>
      <c r="E192" s="3" t="inlineStr">
        <is>
          <t>매매</t>
        </is>
      </c>
      <c r="F192" s="4" t="n">
        <v>55000</v>
      </c>
      <c r="G192" s="4" t="n">
        <v>334</v>
      </c>
      <c r="H192" s="4" t="n">
        <v>101</v>
      </c>
      <c r="I192" s="5" t="n">
        <v>544.6</v>
      </c>
      <c r="J192" s="4" t="n">
        <v>315.1</v>
      </c>
      <c r="K192" s="3" t="inlineStr">
        <is>
          <t>급매 시유지 넓게접함 단지내상가 상권편리</t>
        </is>
      </c>
      <c r="L192" s="6">
        <f>HYPERLINK("https://fin.land.naver.com/articles/2648716448", "매물Link")</f>
        <v/>
      </c>
      <c r="M192" s="6">
        <f>HYPERLINK("https://map.naver.com/p/search/세종특별자치시 고운동 912", "지도Link")</f>
        <v/>
      </c>
      <c r="N192" s="6">
        <f>HYPERLINK("http://www.eum.go.kr/web/ar/lu/luLandDet.jsp?pnu=3611011200109120000&amp;isNoScr=script&amp;mode=search", "토지이음")</f>
        <v/>
      </c>
      <c r="O192" s="3" t="inlineStr">
        <is>
          <t>세종스타</t>
        </is>
      </c>
      <c r="P192" s="3" t="n">
        <v>1</v>
      </c>
      <c r="Q192" s="3" t="n">
        <v>334.1</v>
      </c>
      <c r="R192" s="3" t="inlineStr">
        <is>
          <t>지정되지않음</t>
        </is>
      </c>
      <c r="S192" s="3" t="inlineStr">
        <is>
          <t>주거나지</t>
        </is>
      </c>
      <c r="T192" s="3" t="inlineStr">
        <is>
          <t>평지</t>
        </is>
      </c>
      <c r="U192" s="3" t="inlineStr">
        <is>
          <t>정방형</t>
        </is>
      </c>
      <c r="V192" s="3" t="inlineStr">
        <is>
          <t>소로한면</t>
        </is>
      </c>
    </row>
    <row r="193">
      <c r="A193" s="3" t="inlineStr">
        <is>
          <t>세종특별자치시 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급매,넓은평수,복합커뮤니티센터,항아리중심상권 생활권 편리</t>
        </is>
      </c>
      <c r="L193" s="6">
        <f>HYPERLINK("https://fin.land.naver.com/articles/2644946431", "매물Link")</f>
        <v/>
      </c>
      <c r="M193" s="6">
        <f>HYPERLINK("https://map.naver.com/p/search/세종특별자치시 고운동 916", "지도Link")</f>
        <v/>
      </c>
      <c r="N193" s="6">
        <f>HYPERLINK("http://www.eum.go.kr/web/ar/lu/luLandDet.jsp?pnu=3611011200109160000&amp;isNoScr=script&amp;mode=search", "토지이음")</f>
        <v/>
      </c>
      <c r="O193" s="3" t="inlineStr">
        <is>
          <t>고운맘</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세종특별자치시 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HYPERLINK("https://map.naver.com/p/search/세종특별자치시 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세종특별자치시 고운동 916</t>
        </is>
      </c>
      <c r="B195" s="3" t="inlineStr">
        <is>
          <t>제1종전용주거지역</t>
        </is>
      </c>
      <c r="C195" s="3" t="inlineStr">
        <is>
          <t>대</t>
        </is>
      </c>
      <c r="D195" s="3" t="inlineStr">
        <is>
          <t>대</t>
        </is>
      </c>
      <c r="E195" s="3" t="inlineStr">
        <is>
          <t>매매</t>
        </is>
      </c>
      <c r="F195" s="4" t="n">
        <v>57000</v>
      </c>
      <c r="G195" s="4" t="n">
        <v>344</v>
      </c>
      <c r="H195" s="4" t="n">
        <v>104</v>
      </c>
      <c r="I195" s="5" t="n">
        <v>548.1</v>
      </c>
      <c r="J195" s="4" t="n">
        <v>315.1</v>
      </c>
      <c r="K195" s="3" t="inlineStr">
        <is>
          <t>고운동아파트옆으로 생활하기 편리 학군상권가까움</t>
        </is>
      </c>
      <c r="L195" s="6">
        <f>HYPERLINK("https://fin.land.naver.com/articles/2645690159", "매물Link")</f>
        <v/>
      </c>
      <c r="M195" s="6">
        <f>HYPERLINK("https://map.naver.com/p/search/세종특별자치시 고운동 916", "지도Link")</f>
        <v/>
      </c>
      <c r="N195" s="6">
        <f>HYPERLINK("http://www.eum.go.kr/web/ar/lu/luLandDet.jsp?pnu=3611011200109160000&amp;isNoScr=script&amp;mode=search", "토지이음")</f>
        <v/>
      </c>
      <c r="O195" s="3" t="inlineStr">
        <is>
          <t>세종시토지</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세종특별자치시 고운동 916</t>
        </is>
      </c>
      <c r="B196" s="3" t="inlineStr">
        <is>
          <t>제1종전용주거지역</t>
        </is>
      </c>
      <c r="C196" s="3" t="inlineStr">
        <is>
          <t>대</t>
        </is>
      </c>
      <c r="D196" s="3" t="inlineStr">
        <is>
          <t>대</t>
        </is>
      </c>
      <c r="E196" s="3" t="inlineStr">
        <is>
          <t>매매</t>
        </is>
      </c>
      <c r="F196" s="4" t="n">
        <v>52000</v>
      </c>
      <c r="G196" s="4" t="n">
        <v>344</v>
      </c>
      <c r="H196" s="4" t="n">
        <v>104</v>
      </c>
      <c r="I196" s="5" t="n">
        <v>500</v>
      </c>
      <c r="J196" s="4" t="n">
        <v>315.1</v>
      </c>
      <c r="K196" s="3" t="inlineStr">
        <is>
          <t>고운동 인프라 활용편한 단독주택지, 입지 좋은 토지</t>
        </is>
      </c>
      <c r="L196" s="6">
        <f>HYPERLINK("https://fin.land.naver.com/articles/2647427194", "매물Link")</f>
        <v/>
      </c>
      <c r="M196" s="6">
        <f>HYPERLINK("https://map.naver.com/p/search/세종특별자치시 고운동 916", "지도Link")</f>
        <v/>
      </c>
      <c r="N196" s="6">
        <f>HYPERLINK("http://www.eum.go.kr/web/ar/lu/luLandDet.jsp?pnu=3611011200109160000&amp;isNoScr=script&amp;mode=search", "토지이음")</f>
        <v/>
      </c>
      <c r="O196" s="3" t="inlineStr">
        <is>
          <t>세종무지개</t>
        </is>
      </c>
      <c r="P196" s="3" t="n">
        <v>1</v>
      </c>
      <c r="Q196" s="3" t="n">
        <v>344.7</v>
      </c>
      <c r="R196" s="3" t="inlineStr">
        <is>
          <t>지정되지않음</t>
        </is>
      </c>
      <c r="S196" s="3" t="inlineStr">
        <is>
          <t>주거나지</t>
        </is>
      </c>
      <c r="T196" s="3" t="inlineStr">
        <is>
          <t>평지</t>
        </is>
      </c>
      <c r="U196" s="3" t="inlineStr">
        <is>
          <t>세로장방</t>
        </is>
      </c>
      <c r="V196" s="3" t="inlineStr">
        <is>
          <t>소로한면</t>
        </is>
      </c>
    </row>
    <row r="197">
      <c r="A197" s="3" t="inlineStr">
        <is>
          <t>세종특별자치시 고운동 917</t>
        </is>
      </c>
      <c r="B197" s="3" t="inlineStr">
        <is>
          <t>제1종전용주거지역</t>
        </is>
      </c>
      <c r="C197" s="3" t="inlineStr">
        <is>
          <t>대</t>
        </is>
      </c>
      <c r="D197" s="3" t="inlineStr">
        <is>
          <t>대</t>
        </is>
      </c>
      <c r="E197" s="3" t="inlineStr">
        <is>
          <t>매매</t>
        </is>
      </c>
      <c r="F197" s="4" t="n">
        <v>59000</v>
      </c>
      <c r="G197" s="4" t="n">
        <v>332</v>
      </c>
      <c r="H197" s="4" t="n">
        <v>100</v>
      </c>
      <c r="I197" s="5" t="n">
        <v>590</v>
      </c>
      <c r="J197" s="4" t="n">
        <v>328.2</v>
      </c>
      <c r="K197" s="3" t="inlineStr">
        <is>
          <t>삼거리 코너각지, 아파트단지 주변으로 생활 인프라 훌륭함</t>
        </is>
      </c>
      <c r="L197" s="6">
        <f>HYPERLINK("https://fin.land.naver.com/articles/2644182414", "매물Link")</f>
        <v/>
      </c>
      <c r="M197" s="6">
        <f>HYPERLINK("https://map.naver.com/p/search/세종특별자치시 고운동 917", "지도Link")</f>
        <v/>
      </c>
      <c r="N197" s="6">
        <f>HYPERLINK("http://www.eum.go.kr/web/ar/lu/luLandDet.jsp?pnu=3611011200109170000&amp;isNoScr=script&amp;mode=search", "토지이음")</f>
        <v/>
      </c>
      <c r="O197" s="3" t="inlineStr">
        <is>
          <t>세종무지개</t>
        </is>
      </c>
      <c r="P197" s="3" t="n">
        <v>1</v>
      </c>
      <c r="Q197" s="3" t="n">
        <v>332.7</v>
      </c>
      <c r="R197" s="3" t="inlineStr">
        <is>
          <t>지정되지않음</t>
        </is>
      </c>
      <c r="S197" s="3" t="inlineStr">
        <is>
          <t>주거나지</t>
        </is>
      </c>
      <c r="T197" s="3" t="inlineStr">
        <is>
          <t>평지</t>
        </is>
      </c>
      <c r="U197" s="3" t="inlineStr">
        <is>
          <t>세로장방</t>
        </is>
      </c>
      <c r="V197" s="3" t="inlineStr">
        <is>
          <t>소로각지</t>
        </is>
      </c>
    </row>
    <row r="198">
      <c r="A198" s="3" t="inlineStr">
        <is>
          <t>세종특별자치시 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106.8p, 아파트단지 바로 옆, 고운동 단독주택</t>
        </is>
      </c>
      <c r="L198" s="6">
        <f>HYPERLINK("https://fin.land.naver.com/articles/2649004647", "매물Link")</f>
        <v/>
      </c>
      <c r="M198" s="6">
        <f>HYPERLINK("https://map.naver.com/p/search/세종특별자치시 고운동 920", "지도Link")</f>
        <v/>
      </c>
      <c r="N198" s="6">
        <f>HYPERLINK("http://www.eum.go.kr/web/ar/lu/luLandDet.jsp?pnu=3611011200109200000&amp;isNoScr=script&amp;mode=search", "토지이음")</f>
        <v/>
      </c>
      <c r="O198" s="3" t="inlineStr">
        <is>
          <t>명진</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세종특별자치시 고운동 920</t>
        </is>
      </c>
      <c r="B199" s="3" t="inlineStr">
        <is>
          <t>제1종전용주거지역</t>
        </is>
      </c>
      <c r="C199" s="3" t="inlineStr">
        <is>
          <t>대</t>
        </is>
      </c>
      <c r="D199" s="3" t="inlineStr">
        <is>
          <t>대</t>
        </is>
      </c>
      <c r="E199" s="3" t="inlineStr">
        <is>
          <t>매매</t>
        </is>
      </c>
      <c r="F199" s="4" t="n">
        <v>65000</v>
      </c>
      <c r="G199" s="4" t="n">
        <v>352</v>
      </c>
      <c r="H199" s="4" t="n">
        <v>106</v>
      </c>
      <c r="I199" s="5" t="n">
        <v>613.2</v>
      </c>
      <c r="J199" s="4" t="n">
        <v>315.1</v>
      </c>
      <c r="K199" s="3" t="inlineStr">
        <is>
          <t>총 106.85p, 고운동 공원인근</t>
        </is>
      </c>
      <c r="L199" s="6">
        <f>HYPERLINK("https://fin.land.naver.com/articles/2648840016", "매물Link")</f>
        <v/>
      </c>
      <c r="M199" s="6">
        <f>HYPERLINK("https://map.naver.com/p/search/세종특별자치시 고운동 920", "지도Link")</f>
        <v/>
      </c>
      <c r="N199" s="6">
        <f>HYPERLINK("http://www.eum.go.kr/web/ar/lu/luLandDet.jsp?pnu=3611011200109200000&amp;isNoScr=script&amp;mode=search", "토지이음")</f>
        <v/>
      </c>
      <c r="O199" s="3" t="inlineStr">
        <is>
          <t>세종무지개</t>
        </is>
      </c>
      <c r="P199" s="3" t="n">
        <v>1</v>
      </c>
      <c r="Q199" s="3" t="n">
        <v>352.6</v>
      </c>
      <c r="R199" s="3" t="inlineStr">
        <is>
          <t>지정되지않음</t>
        </is>
      </c>
      <c r="S199" s="3" t="inlineStr">
        <is>
          <t>주거나지</t>
        </is>
      </c>
      <c r="T199" s="3" t="inlineStr">
        <is>
          <t>평지</t>
        </is>
      </c>
      <c r="U199" s="3" t="inlineStr">
        <is>
          <t>세로장방</t>
        </is>
      </c>
      <c r="V199" s="3" t="inlineStr">
        <is>
          <t>소로한면</t>
        </is>
      </c>
    </row>
    <row r="200">
      <c r="A200" s="3" t="inlineStr">
        <is>
          <t>세종특별자치시 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HYPERLINK("https://map.naver.com/p/search/세종특별자치시 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세종특별자치시 고운동 927</t>
        </is>
      </c>
      <c r="B201" s="3" t="inlineStr">
        <is>
          <t>제1종전용주거지역</t>
        </is>
      </c>
      <c r="C201" s="3" t="inlineStr">
        <is>
          <t>대</t>
        </is>
      </c>
      <c r="D201" s="3" t="inlineStr">
        <is>
          <t>대</t>
        </is>
      </c>
      <c r="E201" s="3" t="inlineStr">
        <is>
          <t>매매</t>
        </is>
      </c>
      <c r="F201" s="4" t="n">
        <v>65000</v>
      </c>
      <c r="G201" s="4" t="n">
        <v>345</v>
      </c>
      <c r="H201" s="4" t="n">
        <v>104</v>
      </c>
      <c r="I201" s="5" t="n">
        <v>625</v>
      </c>
      <c r="J201" s="4" t="n">
        <v>328.2</v>
      </c>
      <c r="K201" s="3" t="inlineStr">
        <is>
          <t>코너 입주 우수. 남향. 생활 편리.</t>
        </is>
      </c>
      <c r="L201" s="6">
        <f>HYPERLINK("https://fin.land.naver.com/articles/2648524088", "매물Link")</f>
        <v/>
      </c>
      <c r="M201" s="6">
        <f>HYPERLINK("https://map.naver.com/p/search/세종특별자치시 고운동 927", "지도Link")</f>
        <v/>
      </c>
      <c r="N201" s="6">
        <f>HYPERLINK("http://www.eum.go.kr/web/ar/lu/luLandDet.jsp?pnu=3611011200109270000&amp;isNoScr=script&amp;mode=search", "토지이음")</f>
        <v/>
      </c>
      <c r="O201" s="3" t="inlineStr">
        <is>
          <t>세종썬사사무소</t>
        </is>
      </c>
      <c r="P201" s="3" t="n">
        <v>1</v>
      </c>
      <c r="Q201" s="3" t="n">
        <v>344.9</v>
      </c>
      <c r="R201" s="3" t="inlineStr">
        <is>
          <t>지정되지않음</t>
        </is>
      </c>
      <c r="S201" s="3" t="inlineStr">
        <is>
          <t>주거나지</t>
        </is>
      </c>
      <c r="T201" s="3" t="inlineStr">
        <is>
          <t>평지</t>
        </is>
      </c>
      <c r="U201" s="3" t="inlineStr">
        <is>
          <t>세로장방</t>
        </is>
      </c>
      <c r="V201" s="3" t="inlineStr">
        <is>
          <t>소로각지</t>
        </is>
      </c>
    </row>
    <row r="202">
      <c r="A202" s="3" t="inlineStr">
        <is>
          <t>세종특별자치시 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도로에서단차가있는토지로벙커주차장가능한귀한땅,측량완료,상가,학교가까움</t>
        </is>
      </c>
      <c r="L202" s="6">
        <f>HYPERLINK("https://fin.land.naver.com/articles/2648318178", "매물Link")</f>
        <v/>
      </c>
      <c r="M202" s="6">
        <f>HYPERLINK("https://map.naver.com/p/search/세종특별자치시 고운동 935", "지도Link")</f>
        <v/>
      </c>
      <c r="N202" s="6">
        <f>HYPERLINK("http://www.eum.go.kr/web/ar/lu/luLandDet.jsp?pnu=3611011200109350000&amp;isNoScr=script&amp;mode=search", "토지이음")</f>
        <v/>
      </c>
      <c r="O202" s="3" t="inlineStr">
        <is>
          <t>김하나</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세종특별자치시 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벙커주차장 가능, 귀한 조경수 식재, 접근성 좋은 위치, 귀한 택지</t>
        </is>
      </c>
      <c r="L203" s="6">
        <f>HYPERLINK("https://fin.land.naver.com/articles/2650101642", "매물Link")</f>
        <v/>
      </c>
      <c r="M203" s="6">
        <f>HYPERLINK("https://map.naver.com/p/search/세종특별자치시 고운동 935", "지도Link")</f>
        <v/>
      </c>
      <c r="N203" s="6">
        <f>HYPERLINK("http://www.eum.go.kr/web/ar/lu/luLandDet.jsp?pnu=3611011200109350000&amp;isNoScr=script&amp;mode=search", "토지이음")</f>
        <v/>
      </c>
      <c r="O203" s="3" t="inlineStr">
        <is>
          <t>다정한길</t>
        </is>
      </c>
      <c r="P203" s="3" t="n">
        <v>4</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세종특별자치시 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학교 상가 대중교통이용편리,지하벙커주차장가능,측량완료</t>
        </is>
      </c>
      <c r="L204" s="6">
        <f>HYPERLINK("https://fin.land.naver.com/articles/2644712937", "매물Link")</f>
        <v/>
      </c>
      <c r="M204" s="6">
        <f>HYPERLINK("https://map.naver.com/p/search/세종특별자치시 고운동 935", "지도Link")</f>
        <v/>
      </c>
      <c r="N204" s="6">
        <f>HYPERLINK("http://www.eum.go.kr/web/ar/lu/luLandDet.jsp?pnu=3611011200109350000&amp;isNoScr=script&amp;mode=search", "토지이음")</f>
        <v/>
      </c>
      <c r="O204" s="3" t="inlineStr">
        <is>
          <t>세종제일</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세종특별자치시 고운동 935</t>
        </is>
      </c>
      <c r="B205" s="3" t="inlineStr">
        <is>
          <t>제1종전용주거지역</t>
        </is>
      </c>
      <c r="C205" s="3" t="inlineStr">
        <is>
          <t>대</t>
        </is>
      </c>
      <c r="D205" s="3" t="inlineStr">
        <is>
          <t>대</t>
        </is>
      </c>
      <c r="E205" s="3" t="inlineStr">
        <is>
          <t>매매</t>
        </is>
      </c>
      <c r="F205" s="4" t="n">
        <v>69000</v>
      </c>
      <c r="G205" s="4" t="n">
        <v>360</v>
      </c>
      <c r="H205" s="4" t="n">
        <v>109</v>
      </c>
      <c r="I205" s="5" t="n">
        <v>633</v>
      </c>
      <c r="J205" s="4" t="n">
        <v>315.1</v>
      </c>
      <c r="K205" s="3" t="inlineStr">
        <is>
          <t>조율가능O 학군좋고 교통편리한곳 벙커주차가능한 귀한택지 측량완료</t>
        </is>
      </c>
      <c r="L205" s="6">
        <f>HYPERLINK("https://fin.land.naver.com/articles/2644604851", "매물Link")</f>
        <v/>
      </c>
      <c r="M205" s="6">
        <f>HYPERLINK("https://map.naver.com/p/search/세종특별자치시 고운동 935", "지도Link")</f>
        <v/>
      </c>
      <c r="N205" s="6">
        <f>HYPERLINK("http://www.eum.go.kr/web/ar/lu/luLandDet.jsp?pnu=3611011200109350000&amp;isNoScr=script&amp;mode=search", "토지이음")</f>
        <v/>
      </c>
      <c r="O205" s="3" t="inlineStr">
        <is>
          <t>현</t>
        </is>
      </c>
      <c r="P205" s="3" t="n">
        <v>1</v>
      </c>
      <c r="Q205" s="3" t="n">
        <v>360.1</v>
      </c>
      <c r="R205" s="3" t="inlineStr">
        <is>
          <t>지정되지않음</t>
        </is>
      </c>
      <c r="S205" s="3" t="inlineStr">
        <is>
          <t>주거나지</t>
        </is>
      </c>
      <c r="T205" s="3" t="inlineStr">
        <is>
          <t>평지</t>
        </is>
      </c>
      <c r="U205" s="3" t="inlineStr">
        <is>
          <t>세로장방</t>
        </is>
      </c>
      <c r="V205" s="3" t="inlineStr">
        <is>
          <t>소로한면</t>
        </is>
      </c>
    </row>
    <row r="206">
      <c r="A206" s="3" t="inlineStr">
        <is>
          <t>세종특별자치시 고운동 951</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도로 근접한 대지. 중심상가 가까운 위치. 큰평수 찾으시는분께 적합</t>
        </is>
      </c>
      <c r="L206" s="6">
        <f>HYPERLINK("https://fin.land.naver.com/articles/2649960869", "매물Link")</f>
        <v/>
      </c>
      <c r="M206" s="6">
        <f>HYPERLINK("https://map.naver.com/p/search/세종특별자치시 고운동 951", "지도Link")</f>
        <v/>
      </c>
      <c r="N206" s="6">
        <f>HYPERLINK("http://www.eum.go.kr/web/ar/lu/luLandDet.jsp?pnu=3611011200109510000&amp;isNoScr=script&amp;mode=search", "토지이음")</f>
        <v/>
      </c>
      <c r="O206" s="3" t="inlineStr">
        <is>
          <t>고운힐스테이트</t>
        </is>
      </c>
      <c r="P206" s="3" t="n">
        <v>3</v>
      </c>
      <c r="Q206" s="3" t="n">
        <v>364.1</v>
      </c>
      <c r="R206" s="3" t="inlineStr">
        <is>
          <t>지정되지않음</t>
        </is>
      </c>
      <c r="S206" s="3" t="inlineStr">
        <is>
          <t>주거나지</t>
        </is>
      </c>
      <c r="T206" s="3" t="inlineStr">
        <is>
          <t>평지</t>
        </is>
      </c>
      <c r="U206" s="3" t="inlineStr">
        <is>
          <t>정방형</t>
        </is>
      </c>
      <c r="V206" s="3" t="inlineStr">
        <is>
          <t>중로각지</t>
        </is>
      </c>
    </row>
    <row r="207">
      <c r="A207" s="3" t="inlineStr">
        <is>
          <t>세종특별자치시 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급매,넓은평수,복합커뮤니티센터,항아리중심상권 생활권 편리</t>
        </is>
      </c>
      <c r="L207" s="6">
        <f>HYPERLINK("https://fin.land.naver.com/articles/2644767351", "매물Link")</f>
        <v/>
      </c>
      <c r="M207" s="6">
        <f>HYPERLINK("https://map.naver.com/p/search/세종특별자치시 고운동 954", "지도Link")</f>
        <v/>
      </c>
      <c r="N207" s="6">
        <f>HYPERLINK("http://www.eum.go.kr/web/ar/lu/luLandDet.jsp?pnu=3611011200109540000&amp;isNoScr=script&amp;mode=search", "토지이음")</f>
        <v/>
      </c>
      <c r="O207" s="3" t="inlineStr">
        <is>
          <t>고운맘</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세종특별자치시 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HYPERLINK("https://map.naver.com/p/search/세종특별자치시 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세종특별자치시 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HYPERLINK("https://map.naver.com/p/search/세종특별자치시 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세종특별자치시 고운동 954</t>
        </is>
      </c>
      <c r="B210" s="3" t="inlineStr">
        <is>
          <t>제1종전용주거지역</t>
        </is>
      </c>
      <c r="C210" s="3" t="inlineStr">
        <is>
          <t>대</t>
        </is>
      </c>
      <c r="D210" s="3" t="inlineStr">
        <is>
          <t>대</t>
        </is>
      </c>
      <c r="E210" s="3" t="inlineStr">
        <is>
          <t>매매</t>
        </is>
      </c>
      <c r="F210" s="4" t="n">
        <v>60000</v>
      </c>
      <c r="G210" s="4" t="n">
        <v>367</v>
      </c>
      <c r="H210" s="4" t="n">
        <v>111</v>
      </c>
      <c r="I210" s="5" t="n">
        <v>540.5</v>
      </c>
      <c r="J210" s="4" t="n">
        <v>358.7</v>
      </c>
      <c r="K210" s="3" t="inlineStr">
        <is>
          <t>111.2p, 최대 조율가능한 대형평형 토지매매</t>
        </is>
      </c>
      <c r="L210" s="6">
        <f>HYPERLINK("https://fin.land.naver.com/articles/2649610616", "매물Link")</f>
        <v/>
      </c>
      <c r="M210" s="6">
        <f>HYPERLINK("https://map.naver.com/p/search/세종특별자치시 고운동 954", "지도Link")</f>
        <v/>
      </c>
      <c r="N210" s="6">
        <f>HYPERLINK("http://www.eum.go.kr/web/ar/lu/luLandDet.jsp?pnu=3611011200109540000&amp;isNoScr=script&amp;mode=search", "토지이음")</f>
        <v/>
      </c>
      <c r="O210" s="3" t="inlineStr">
        <is>
          <t>세종무지개</t>
        </is>
      </c>
      <c r="P210" s="3" t="n">
        <v>1</v>
      </c>
      <c r="Q210" s="3" t="n">
        <v>367.1</v>
      </c>
      <c r="R210" s="3" t="inlineStr">
        <is>
          <t>지정되지않음</t>
        </is>
      </c>
      <c r="S210" s="3" t="inlineStr">
        <is>
          <t>주거나지</t>
        </is>
      </c>
      <c r="T210" s="3" t="inlineStr">
        <is>
          <t>평지</t>
        </is>
      </c>
      <c r="U210" s="3" t="inlineStr">
        <is>
          <t>정방형</t>
        </is>
      </c>
      <c r="V210" s="3" t="inlineStr">
        <is>
          <t>중로각지</t>
        </is>
      </c>
    </row>
    <row r="211">
      <c r="A211" s="3" t="inlineStr">
        <is>
          <t>세종특별자치시 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코너각지,복합커뮤니티센터,항아리중심상권 생활권 편리,가격조정가능</t>
        </is>
      </c>
      <c r="L211" s="6">
        <f>HYPERLINK("https://fin.land.naver.com/articles/2644949503", "매물Link")</f>
        <v/>
      </c>
      <c r="M211" s="6">
        <f>HYPERLINK("https://map.naver.com/p/search/세종특별자치시 고운동 969", "지도Link")</f>
        <v/>
      </c>
      <c r="N211" s="6">
        <f>HYPERLINK("http://www.eum.go.kr/web/ar/lu/luLandDet.jsp?pnu=3611011200109690000&amp;isNoScr=script&amp;mode=search", "토지이음")</f>
        <v/>
      </c>
      <c r="O211" s="3" t="inlineStr">
        <is>
          <t>고운맘</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세종특별자치시 고운동 969</t>
        </is>
      </c>
      <c r="B212" s="3" t="inlineStr">
        <is>
          <t>제1종전용주거지역</t>
        </is>
      </c>
      <c r="C212" s="3" t="inlineStr">
        <is>
          <t>대</t>
        </is>
      </c>
      <c r="D212" s="3" t="inlineStr">
        <is>
          <t>대</t>
        </is>
      </c>
      <c r="E212" s="3" t="inlineStr">
        <is>
          <t>매매</t>
        </is>
      </c>
      <c r="F212" s="4" t="n">
        <v>62000</v>
      </c>
      <c r="G212" s="4" t="n">
        <v>347</v>
      </c>
      <c r="H212" s="4" t="n">
        <v>105</v>
      </c>
      <c r="I212" s="5" t="n">
        <v>590.5</v>
      </c>
      <c r="J212" s="4" t="n">
        <v>329.9</v>
      </c>
      <c r="K212" s="3" t="inlineStr">
        <is>
          <t>삼거리 코너 각지, 입지 좋은 토지매매</t>
        </is>
      </c>
      <c r="L212" s="6">
        <f>HYPERLINK("https://fin.land.naver.com/articles/2645250423", "매물Link")</f>
        <v/>
      </c>
      <c r="M212" s="6">
        <f>HYPERLINK("https://map.naver.com/p/search/세종특별자치시 고운동 969", "지도Link")</f>
        <v/>
      </c>
      <c r="N212" s="6">
        <f>HYPERLINK("http://www.eum.go.kr/web/ar/lu/luLandDet.jsp?pnu=3611011200109690000&amp;isNoScr=script&amp;mode=search", "토지이음")</f>
        <v/>
      </c>
      <c r="O212" s="3" t="inlineStr">
        <is>
          <t>세종무지개</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세종특별자치시 고운동 969</t>
        </is>
      </c>
      <c r="B213" s="3" t="inlineStr">
        <is>
          <t>제1종전용주거지역</t>
        </is>
      </c>
      <c r="C213" s="3" t="inlineStr">
        <is>
          <t>대</t>
        </is>
      </c>
      <c r="D213" s="3" t="inlineStr">
        <is>
          <t>대</t>
        </is>
      </c>
      <c r="E213" s="3" t="inlineStr">
        <is>
          <t>매매</t>
        </is>
      </c>
      <c r="F213" s="4" t="n">
        <v>62000</v>
      </c>
      <c r="G213" s="4" t="n">
        <v>345</v>
      </c>
      <c r="H213" s="4" t="n">
        <v>104</v>
      </c>
      <c r="I213" s="5" t="n">
        <v>596.2</v>
      </c>
      <c r="J213" s="4" t="n">
        <v>329.9</v>
      </c>
      <c r="K213" s="3" t="inlineStr">
        <is>
          <t>입지 좋은 고운동 토지매매, 코너 각지 위치</t>
        </is>
      </c>
      <c r="L213" s="6">
        <f>HYPERLINK("https://fin.land.naver.com/articles/2645677581", "매물Link")</f>
        <v/>
      </c>
      <c r="M213" s="6">
        <f>HYPERLINK("https://map.naver.com/p/search/세종특별자치시 고운동 969", "지도Link")</f>
        <v/>
      </c>
      <c r="N213" s="6">
        <f>HYPERLINK("http://www.eum.go.kr/web/ar/lu/luLandDet.jsp?pnu=3611011200109690000&amp;isNoScr=script&amp;mode=search", "토지이음")</f>
        <v/>
      </c>
      <c r="O213" s="3" t="inlineStr">
        <is>
          <t>명진</t>
        </is>
      </c>
      <c r="P213" s="3" t="n">
        <v>1</v>
      </c>
      <c r="Q213" s="3" t="n">
        <v>347.6</v>
      </c>
      <c r="R213" s="3" t="inlineStr">
        <is>
          <t>지정되지않음</t>
        </is>
      </c>
      <c r="S213" s="3" t="inlineStr">
        <is>
          <t>주거나지</t>
        </is>
      </c>
      <c r="T213" s="3" t="inlineStr">
        <is>
          <t>평지</t>
        </is>
      </c>
      <c r="U213" s="3" t="inlineStr">
        <is>
          <t>사다리형</t>
        </is>
      </c>
      <c r="V213" s="3" t="inlineStr">
        <is>
          <t>소로각지</t>
        </is>
      </c>
    </row>
    <row r="214">
      <c r="A214" s="3" t="inlineStr">
        <is>
          <t>세종특별자치시 고운동 976</t>
        </is>
      </c>
      <c r="B214" s="3" t="inlineStr">
        <is>
          <t>제1종전용주거지역</t>
        </is>
      </c>
      <c r="C214" s="3" t="inlineStr">
        <is>
          <t>대</t>
        </is>
      </c>
      <c r="D214" s="3" t="inlineStr">
        <is>
          <t>대</t>
        </is>
      </c>
      <c r="E214" s="3" t="inlineStr">
        <is>
          <t>매매</t>
        </is>
      </c>
      <c r="F214" s="4" t="n">
        <v>60000</v>
      </c>
      <c r="G214" s="4" t="n">
        <v>375</v>
      </c>
      <c r="H214" s="4" t="n">
        <v>113</v>
      </c>
      <c r="I214" s="5" t="n">
        <v>531</v>
      </c>
      <c r="J214" s="4" t="n">
        <v>317.5</v>
      </c>
      <c r="K214" s="3" t="inlineStr">
        <is>
          <t>nan</t>
        </is>
      </c>
      <c r="L214" s="6">
        <f>HYPERLINK("https://fin.land.naver.com/articles/2646026108", "매물Link")</f>
        <v/>
      </c>
      <c r="M214" s="6">
        <f>HYPERLINK("https://map.naver.com/p/search/세종특별자치시 고운동 976", "지도Link")</f>
        <v/>
      </c>
      <c r="N214" s="6">
        <f>HYPERLINK("http://www.eum.go.kr/web/ar/lu/luLandDet.jsp?pnu=3611011200109760000&amp;isNoScr=script&amp;mode=search", "토지이음")</f>
        <v/>
      </c>
      <c r="O214" s="3" t="inlineStr">
        <is>
          <t>세종올리브</t>
        </is>
      </c>
      <c r="P214" s="3" t="n">
        <v>2</v>
      </c>
      <c r="Q214" s="3" t="n">
        <v>375.9</v>
      </c>
      <c r="R214" s="3" t="inlineStr">
        <is>
          <t>지정되지않음</t>
        </is>
      </c>
      <c r="S214" s="3" t="inlineStr">
        <is>
          <t>주거나지</t>
        </is>
      </c>
      <c r="T214" s="3" t="inlineStr">
        <is>
          <t>평지</t>
        </is>
      </c>
      <c r="U214" s="3" t="inlineStr">
        <is>
          <t>정방형</t>
        </is>
      </c>
      <c r="V214" s="3" t="inlineStr">
        <is>
          <t>소로한면</t>
        </is>
      </c>
    </row>
    <row r="215">
      <c r="A215" s="3" t="inlineStr">
        <is>
          <t>세종특별자치시 고운동 978</t>
        </is>
      </c>
      <c r="B215" s="3" t="inlineStr">
        <is>
          <t>제1종전용주거지역</t>
        </is>
      </c>
      <c r="C215" s="3" t="inlineStr">
        <is>
          <t>대</t>
        </is>
      </c>
      <c r="D215" s="3" t="inlineStr">
        <is>
          <t>대</t>
        </is>
      </c>
      <c r="E215" s="3" t="inlineStr">
        <is>
          <t>매매</t>
        </is>
      </c>
      <c r="F215" s="4" t="n">
        <v>70000</v>
      </c>
      <c r="G215" s="4" t="n">
        <v>332</v>
      </c>
      <c r="H215" s="4" t="n">
        <v>100</v>
      </c>
      <c r="I215" s="5" t="n">
        <v>700</v>
      </c>
      <c r="J215" s="4" t="n">
        <v>358.7</v>
      </c>
      <c r="K215" s="3" t="inlineStr">
        <is>
          <t>세종시 고운동 주택지 매매</t>
        </is>
      </c>
      <c r="L215" s="6">
        <f>HYPERLINK("https://fin.land.naver.com/articles/2647488846", "매물Link")</f>
        <v/>
      </c>
      <c r="M215" s="6">
        <f>HYPERLINK("https://map.naver.com/p/search/세종특별자치시 고운동 978", "지도Link")</f>
        <v/>
      </c>
      <c r="N215" s="6">
        <f>HYPERLINK("http://www.eum.go.kr/web/ar/lu/luLandDet.jsp?pnu=3611011200109780000&amp;isNoScr=script&amp;mode=search", "토지이음")</f>
        <v/>
      </c>
      <c r="O215" s="3" t="inlineStr">
        <is>
          <t>길운</t>
        </is>
      </c>
      <c r="P215" s="3" t="n">
        <v>1</v>
      </c>
      <c r="Q215" s="3" t="n">
        <v>332.8</v>
      </c>
      <c r="R215" s="3" t="inlineStr">
        <is>
          <t>지정되지않음</t>
        </is>
      </c>
      <c r="S215" s="3" t="inlineStr">
        <is>
          <t>주거나지</t>
        </is>
      </c>
      <c r="T215" s="3" t="inlineStr">
        <is>
          <t>평지</t>
        </is>
      </c>
      <c r="U215" s="3" t="inlineStr">
        <is>
          <t>가로장방</t>
        </is>
      </c>
      <c r="V215" s="3" t="inlineStr">
        <is>
          <t>중로각지</t>
        </is>
      </c>
    </row>
    <row r="216">
      <c r="A216" s="3" t="inlineStr">
        <is>
          <t>세종특별자치시 고운동 994</t>
        </is>
      </c>
      <c r="B216" s="3" t="inlineStr">
        <is>
          <t>제1종전용주거지역</t>
        </is>
      </c>
      <c r="C216" s="3" t="inlineStr">
        <is>
          <t>대</t>
        </is>
      </c>
      <c r="D216" s="3" t="inlineStr">
        <is>
          <t>대</t>
        </is>
      </c>
      <c r="E216" s="3" t="inlineStr">
        <is>
          <t>매매</t>
        </is>
      </c>
      <c r="F216" s="4" t="n">
        <v>57000</v>
      </c>
      <c r="G216" s="4" t="n">
        <v>359</v>
      </c>
      <c r="H216" s="4" t="n">
        <v>109</v>
      </c>
      <c r="I216" s="5" t="n">
        <v>522.9</v>
      </c>
      <c r="J216" s="4" t="n">
        <v>358.7</v>
      </c>
      <c r="K216" s="3" t="inlineStr">
        <is>
          <t>조절가능  위치좋은코너자리</t>
        </is>
      </c>
      <c r="L216" s="6">
        <f>HYPERLINK("https://fin.land.naver.com/articles/2650103114", "매물Link")</f>
        <v/>
      </c>
      <c r="M216" s="6">
        <f>HYPERLINK("https://map.naver.com/p/search/세종특별자치시 고운동 994", "지도Link")</f>
        <v/>
      </c>
      <c r="N216" s="6">
        <f>HYPERLINK("http://www.eum.go.kr/web/ar/lu/luLandDet.jsp?pnu=3611011200109940000&amp;isNoScr=script&amp;mode=search", "토지이음")</f>
        <v/>
      </c>
      <c r="O216" s="3" t="inlineStr">
        <is>
          <t>세종시토지</t>
        </is>
      </c>
      <c r="P216" s="3" t="n">
        <v>3</v>
      </c>
      <c r="Q216" s="3" t="n">
        <v>359.7</v>
      </c>
      <c r="R216" s="3" t="inlineStr">
        <is>
          <t>지정되지않음</t>
        </is>
      </c>
      <c r="S216" s="3" t="inlineStr">
        <is>
          <t>주거나지</t>
        </is>
      </c>
      <c r="T216" s="3" t="inlineStr">
        <is>
          <t>평지</t>
        </is>
      </c>
      <c r="U216" s="3" t="inlineStr">
        <is>
          <t>세로장방</t>
        </is>
      </c>
      <c r="V216" s="3" t="inlineStr">
        <is>
          <t>중로각지</t>
        </is>
      </c>
    </row>
    <row r="217">
      <c r="A217" s="3" t="inlineStr">
        <is>
          <t>세종특별자치시 금남면 감성리 111-1</t>
        </is>
      </c>
      <c r="B217" s="3" t="inlineStr">
        <is>
          <t>개발제한구역</t>
        </is>
      </c>
      <c r="C217" s="3" t="inlineStr">
        <is>
          <t>답</t>
        </is>
      </c>
      <c r="D217" s="3" t="inlineStr">
        <is>
          <t>답</t>
        </is>
      </c>
      <c r="E217" s="3" t="inlineStr">
        <is>
          <t>매매</t>
        </is>
      </c>
      <c r="F217" s="4" t="n">
        <v>104000</v>
      </c>
      <c r="G217" s="4" t="n">
        <v>2145</v>
      </c>
      <c r="H217" s="4" t="n">
        <v>649</v>
      </c>
      <c r="I217" s="5" t="n">
        <v>160.2</v>
      </c>
      <c r="J217" s="4" t="n">
        <v>96.3</v>
      </c>
      <c r="K217" s="3" t="inlineStr">
        <is>
          <t>2차선 도로변에 위치하고 있어 향후 투자가치 확보</t>
        </is>
      </c>
      <c r="L217" s="6">
        <f>HYPERLINK("https://fin.land.naver.com/articles/2649117260", "매물Link")</f>
        <v/>
      </c>
      <c r="M217" s="6">
        <f>HYPERLINK("https://map.naver.com/p/search/세종특별자치시 금남면 감성리 111-1", "지도Link")</f>
        <v/>
      </c>
      <c r="N217" s="6">
        <f>HYPERLINK("http://www.eum.go.kr/web/ar/lu/luLandDet.jsp?pnu=3611034023101110001&amp;isNoScr=script&amp;mode=search", "토지이음")</f>
        <v/>
      </c>
      <c r="O217" s="3" t="inlineStr">
        <is>
          <t>창고의여왕</t>
        </is>
      </c>
      <c r="P217" s="3" t="n">
        <v>1</v>
      </c>
      <c r="Q217" s="3" t="n">
        <v>2145</v>
      </c>
      <c r="R217" s="3" t="inlineStr">
        <is>
          <t>지정되지않음</t>
        </is>
      </c>
      <c r="S217" s="3" t="inlineStr">
        <is>
          <t>답</t>
        </is>
      </c>
      <c r="T217" s="3" t="inlineStr">
        <is>
          <t>평지</t>
        </is>
      </c>
      <c r="U217" s="3" t="inlineStr">
        <is>
          <t>부정형</t>
        </is>
      </c>
      <c r="V217" s="3" t="inlineStr">
        <is>
          <t>소로한면</t>
        </is>
      </c>
    </row>
    <row r="218">
      <c r="A218" s="3" t="inlineStr">
        <is>
          <t>세종특별자치시 금남면 감성리 56-6</t>
        </is>
      </c>
      <c r="B218" s="3" t="inlineStr">
        <is>
          <t>개발제한구역</t>
        </is>
      </c>
      <c r="C218" s="3" t="inlineStr">
        <is>
          <t>전</t>
        </is>
      </c>
      <c r="D218" s="3" t="inlineStr">
        <is>
          <t>답</t>
        </is>
      </c>
      <c r="E218" s="3" t="inlineStr">
        <is>
          <t>매매</t>
        </is>
      </c>
      <c r="F218" s="4" t="n">
        <v>106200</v>
      </c>
      <c r="G218" s="4" t="n">
        <v>1756</v>
      </c>
      <c r="H218" s="4" t="n">
        <v>531</v>
      </c>
      <c r="I218" s="5" t="n">
        <v>200</v>
      </c>
      <c r="J218" s="4" t="n">
        <v>96.3</v>
      </c>
      <c r="K218" s="3" t="inlineStr">
        <is>
          <t>nan</t>
        </is>
      </c>
      <c r="L218" s="6">
        <f>HYPERLINK("https://fin.land.naver.com/articles/2646505831", "매물Link")</f>
        <v/>
      </c>
      <c r="M218" s="6">
        <f>HYPERLINK("https://map.naver.com/p/search/세종특별자치시 금남면 감성리 56-6", "지도Link")</f>
        <v/>
      </c>
      <c r="N218" s="6">
        <f>HYPERLINK("http://www.eum.go.kr/web/ar/lu/luLandDet.jsp?pnu=3611034023100560006&amp;isNoScr=script&amp;mode=search", "토지이음")</f>
        <v/>
      </c>
      <c r="O218" s="3" t="inlineStr">
        <is>
          <t>세종</t>
        </is>
      </c>
      <c r="P218" s="3" t="n">
        <v>1</v>
      </c>
      <c r="Q218" s="3" t="n">
        <v>1756</v>
      </c>
      <c r="R218" s="3" t="inlineStr">
        <is>
          <t>지정되지않음</t>
        </is>
      </c>
      <c r="S218" s="3" t="inlineStr">
        <is>
          <t>전</t>
        </is>
      </c>
      <c r="T218" s="3" t="inlineStr">
        <is>
          <t>평지</t>
        </is>
      </c>
      <c r="U218" s="3" t="inlineStr">
        <is>
          <t>부정형</t>
        </is>
      </c>
      <c r="V218" s="3" t="inlineStr">
        <is>
          <t>소로한면</t>
        </is>
      </c>
    </row>
    <row r="219">
      <c r="A219" s="3" t="inlineStr">
        <is>
          <t>세종특별자치시 금남면 국곡리 215</t>
        </is>
      </c>
      <c r="B219" s="3" t="inlineStr">
        <is>
          <t>계획관리지역</t>
        </is>
      </c>
      <c r="C219" s="3" t="inlineStr">
        <is>
          <t>답</t>
        </is>
      </c>
      <c r="D219" s="3" t="inlineStr">
        <is>
          <t>답</t>
        </is>
      </c>
      <c r="E219" s="3" t="inlineStr">
        <is>
          <t>매매</t>
        </is>
      </c>
      <c r="F219" s="4" t="n">
        <v>35000</v>
      </c>
      <c r="G219" s="4" t="n">
        <v>460</v>
      </c>
      <c r="H219" s="4" t="n">
        <v>139</v>
      </c>
      <c r="I219" s="5" t="n">
        <v>251.8</v>
      </c>
      <c r="J219" s="4" t="n">
        <v>23.5</v>
      </c>
      <c r="K219" s="3" t="inlineStr">
        <is>
          <t>nan</t>
        </is>
      </c>
      <c r="L219" s="6">
        <f>HYPERLINK("https://fin.land.naver.com/articles/2645409196", "매물Link")</f>
        <v/>
      </c>
      <c r="M219" s="6">
        <f>HYPERLINK("https://map.naver.com/p/search/세종특별자치시 금남면 국곡리 215", "지도Link")</f>
        <v/>
      </c>
      <c r="N219" s="6">
        <f>HYPERLINK("http://www.eum.go.kr/web/ar/lu/luLandDet.jsp?pnu=3611034044102150000&amp;isNoScr=script&amp;mode=search", "토지이음")</f>
        <v/>
      </c>
      <c r="O219" s="3" t="inlineStr">
        <is>
          <t>그래그</t>
        </is>
      </c>
      <c r="P219" s="3" t="n">
        <v>1</v>
      </c>
      <c r="Q219" s="3" t="n">
        <v>460</v>
      </c>
      <c r="R219" s="3" t="inlineStr">
        <is>
          <t>지정되지않음</t>
        </is>
      </c>
      <c r="S219" s="3" t="inlineStr">
        <is>
          <t>답</t>
        </is>
      </c>
      <c r="T219" s="3" t="inlineStr">
        <is>
          <t>완경사</t>
        </is>
      </c>
      <c r="U219" s="3" t="inlineStr">
        <is>
          <t>부정형</t>
        </is>
      </c>
      <c r="V219" s="3" t="inlineStr">
        <is>
          <t>맹지</t>
        </is>
      </c>
    </row>
    <row r="220">
      <c r="A220" s="3" t="inlineStr">
        <is>
          <t>세종특별자치시 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HYPERLINK("https://map.naver.com/p/search/세종특별자치시 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세종특별자치시 금남면 국곡리 217</t>
        </is>
      </c>
      <c r="B221" s="3" t="inlineStr">
        <is>
          <t>계획관리지역</t>
        </is>
      </c>
      <c r="C221" s="3" t="inlineStr">
        <is>
          <t>전</t>
        </is>
      </c>
      <c r="D221" s="3" t="inlineStr">
        <is>
          <t>전</t>
        </is>
      </c>
      <c r="E221" s="3" t="inlineStr">
        <is>
          <t>매매</t>
        </is>
      </c>
      <c r="F221" s="4" t="n">
        <v>100000</v>
      </c>
      <c r="G221" s="4" t="n">
        <v>1435</v>
      </c>
      <c r="H221" s="4" t="n">
        <v>434</v>
      </c>
      <c r="I221" s="5" t="n">
        <v>230.4</v>
      </c>
      <c r="J221" s="4" t="n">
        <v>43.8</v>
      </c>
      <c r="K221" s="3" t="inlineStr">
        <is>
          <t>nan</t>
        </is>
      </c>
      <c r="L221" s="6">
        <f>HYPERLINK("https://fin.land.naver.com/articles/2645414472", "매물Link")</f>
        <v/>
      </c>
      <c r="M221" s="6">
        <f>HYPERLINK("https://map.naver.com/p/search/세종특별자치시 금남면 국곡리 217", "지도Link")</f>
        <v/>
      </c>
      <c r="N221" s="6">
        <f>HYPERLINK("http://www.eum.go.kr/web/ar/lu/luLandDet.jsp?pnu=3611034044102170000&amp;isNoScr=script&amp;mode=search", "토지이음")</f>
        <v/>
      </c>
      <c r="O221" s="3" t="inlineStr">
        <is>
          <t>그래그</t>
        </is>
      </c>
      <c r="P221" s="3" t="n">
        <v>1</v>
      </c>
      <c r="Q221" s="3" t="n">
        <v>1435</v>
      </c>
      <c r="R221" s="3" t="inlineStr">
        <is>
          <t>지정되지않음</t>
        </is>
      </c>
      <c r="S221" s="3" t="inlineStr">
        <is>
          <t>전</t>
        </is>
      </c>
      <c r="T221" s="3" t="inlineStr">
        <is>
          <t>완경사</t>
        </is>
      </c>
      <c r="U221" s="3" t="inlineStr">
        <is>
          <t>부정형</t>
        </is>
      </c>
      <c r="V221" s="3" t="inlineStr">
        <is>
          <t>세로한면(가)</t>
        </is>
      </c>
    </row>
    <row r="222">
      <c r="A222" s="3" t="inlineStr">
        <is>
          <t>세종특별자치시 금남면 국곡리 218</t>
        </is>
      </c>
      <c r="B222" s="3" t="inlineStr">
        <is>
          <t>계획관리지역</t>
        </is>
      </c>
      <c r="C222" s="3" t="inlineStr">
        <is>
          <t>전</t>
        </is>
      </c>
      <c r="D222" s="3" t="inlineStr">
        <is>
          <t>전</t>
        </is>
      </c>
      <c r="E222" s="3" t="inlineStr">
        <is>
          <t>매매</t>
        </is>
      </c>
      <c r="F222" s="4" t="n">
        <v>12000</v>
      </c>
      <c r="G222" s="4" t="n">
        <v>159</v>
      </c>
      <c r="H222" s="4" t="n">
        <v>48</v>
      </c>
      <c r="I222" s="5" t="n">
        <v>250</v>
      </c>
      <c r="J222" s="4" t="n">
        <v>43.8</v>
      </c>
      <c r="K222" s="3" t="inlineStr">
        <is>
          <t>nan</t>
        </is>
      </c>
      <c r="L222" s="6">
        <f>HYPERLINK("https://fin.land.naver.com/articles/2645416093", "매물Link")</f>
        <v/>
      </c>
      <c r="M222" s="6">
        <f>HYPERLINK("https://map.naver.com/p/search/세종특별자치시 금남면 국곡리 218", "지도Link")</f>
        <v/>
      </c>
      <c r="N222" s="6">
        <f>HYPERLINK("http://www.eum.go.kr/web/ar/lu/luLandDet.jsp?pnu=3611034044102180000&amp;isNoScr=script&amp;mode=search", "토지이음")</f>
        <v/>
      </c>
      <c r="O222" s="3" t="inlineStr">
        <is>
          <t>그래그</t>
        </is>
      </c>
      <c r="P222" s="3" t="n">
        <v>1</v>
      </c>
      <c r="Q222" s="3" t="n">
        <v>159</v>
      </c>
      <c r="R222" s="3" t="inlineStr">
        <is>
          <t>지정되지않음</t>
        </is>
      </c>
      <c r="S222" s="3" t="inlineStr">
        <is>
          <t>전</t>
        </is>
      </c>
      <c r="T222" s="3" t="inlineStr">
        <is>
          <t>완경사</t>
        </is>
      </c>
      <c r="U222" s="3" t="inlineStr">
        <is>
          <t>부정형</t>
        </is>
      </c>
      <c r="V222" s="3" t="inlineStr">
        <is>
          <t>세로한면(가)</t>
        </is>
      </c>
    </row>
    <row r="223">
      <c r="A223" s="3" t="inlineStr">
        <is>
          <t>세종특별자치시 금남면 국곡리 234-1</t>
        </is>
      </c>
      <c r="B223" s="3" t="inlineStr">
        <is>
          <t>보전관리지역</t>
        </is>
      </c>
      <c r="C223" s="3" t="inlineStr">
        <is>
          <t>전</t>
        </is>
      </c>
      <c r="D223" s="3" t="inlineStr">
        <is>
          <t>전</t>
        </is>
      </c>
      <c r="E223" s="3" t="inlineStr">
        <is>
          <t>매매</t>
        </is>
      </c>
      <c r="F223" s="4" t="n">
        <v>10000</v>
      </c>
      <c r="G223" s="4" t="n">
        <v>883</v>
      </c>
      <c r="H223" s="4" t="n">
        <v>267</v>
      </c>
      <c r="I223" s="5" t="n">
        <v>37.5</v>
      </c>
      <c r="J223" s="4" t="n">
        <v>38.9</v>
      </c>
      <c r="K223" s="3" t="inlineStr">
        <is>
          <t>nan</t>
        </is>
      </c>
      <c r="L223" s="6">
        <f>HYPERLINK("https://fin.land.naver.com/articles/2649621340", "매물Link")</f>
        <v/>
      </c>
      <c r="M223" s="6">
        <f>HYPERLINK("https://map.naver.com/p/search/세종특별자치시 금남면 국곡리 234-1", "지도Link")</f>
        <v/>
      </c>
      <c r="N223" s="6">
        <f>HYPERLINK("http://www.eum.go.kr/web/ar/lu/luLandDet.jsp?pnu=3611034044102340001&amp;isNoScr=script&amp;mode=search", "토지이음")</f>
        <v/>
      </c>
      <c r="O223" s="3" t="inlineStr">
        <is>
          <t>그래그</t>
        </is>
      </c>
      <c r="P223" s="3" t="n">
        <v>1</v>
      </c>
      <c r="Q223" s="3" t="n">
        <v>883</v>
      </c>
      <c r="R223" s="3" t="inlineStr">
        <is>
          <t>지정되지않음</t>
        </is>
      </c>
      <c r="S223" s="3" t="inlineStr">
        <is>
          <t>전</t>
        </is>
      </c>
      <c r="T223" s="3" t="inlineStr">
        <is>
          <t>완경사</t>
        </is>
      </c>
      <c r="U223" s="3" t="inlineStr">
        <is>
          <t>부정형</t>
        </is>
      </c>
      <c r="V223" s="3" t="inlineStr">
        <is>
          <t>맹지</t>
        </is>
      </c>
    </row>
    <row r="224">
      <c r="A224" s="3" t="inlineStr">
        <is>
          <t>세종특별자치시 금남면 국곡리 34-7</t>
        </is>
      </c>
      <c r="B224" s="3" t="inlineStr">
        <is>
          <t>보전관리지역</t>
        </is>
      </c>
      <c r="C224" s="3" t="inlineStr">
        <is>
          <t>답</t>
        </is>
      </c>
      <c r="D224" s="3" t="inlineStr">
        <is>
          <t>답</t>
        </is>
      </c>
      <c r="E224" s="3" t="inlineStr">
        <is>
          <t>매매</t>
        </is>
      </c>
      <c r="F224" s="4" t="n">
        <v>18000</v>
      </c>
      <c r="G224" s="4" t="n">
        <v>582</v>
      </c>
      <c r="H224" s="4" t="n">
        <v>176</v>
      </c>
      <c r="I224" s="5" t="n">
        <v>102.3</v>
      </c>
      <c r="J224" s="4" t="n">
        <v>41.8</v>
      </c>
      <c r="K224" s="3" t="inlineStr">
        <is>
          <t>정남향땅</t>
        </is>
      </c>
      <c r="L224" s="6">
        <f>HYPERLINK("https://fin.land.naver.com/articles/2645346874", "매물Link")</f>
        <v/>
      </c>
      <c r="M224" s="6">
        <f>HYPERLINK("https://map.naver.com/p/search/세종특별자치시 금남면 국곡리 34-7", "지도Link")</f>
        <v/>
      </c>
      <c r="N224" s="6">
        <f>HYPERLINK("http://www.eum.go.kr/web/ar/lu/luLandDet.jsp?pnu=3611034044100340007&amp;isNoScr=script&amp;mode=search", "토지이음")</f>
        <v/>
      </c>
      <c r="O224" s="3" t="inlineStr">
        <is>
          <t>일등사무소</t>
        </is>
      </c>
      <c r="P224" s="3" t="n">
        <v>1</v>
      </c>
      <c r="Q224" s="3" t="n">
        <v>582</v>
      </c>
      <c r="R224" s="3" t="inlineStr">
        <is>
          <t>지정되지않음</t>
        </is>
      </c>
      <c r="S224" s="3" t="inlineStr">
        <is>
          <t>전</t>
        </is>
      </c>
      <c r="T224" s="3" t="inlineStr">
        <is>
          <t>완경사</t>
        </is>
      </c>
      <c r="U224" s="3" t="inlineStr">
        <is>
          <t>사다리형</t>
        </is>
      </c>
      <c r="V224" s="3" t="inlineStr">
        <is>
          <t>세로한면(가)</t>
        </is>
      </c>
    </row>
    <row r="225">
      <c r="A225" s="3" t="inlineStr">
        <is>
          <t>세종특별자치시 금남면 국곡리 85-1</t>
        </is>
      </c>
      <c r="B225" s="3" t="inlineStr">
        <is>
          <t>농림지역</t>
        </is>
      </c>
      <c r="C225" s="3" t="inlineStr">
        <is>
          <t>답</t>
        </is>
      </c>
      <c r="D225" s="3" t="inlineStr">
        <is>
          <t>답</t>
        </is>
      </c>
      <c r="E225" s="3" t="inlineStr">
        <is>
          <t>매매</t>
        </is>
      </c>
      <c r="F225" s="4" t="n">
        <v>58000</v>
      </c>
      <c r="G225" s="4" t="n">
        <v>1379</v>
      </c>
      <c r="H225" s="4" t="n">
        <v>417</v>
      </c>
      <c r="I225" s="5" t="n">
        <v>139.1</v>
      </c>
      <c r="J225" s="4" t="n">
        <v>47.3</v>
      </c>
      <c r="K225" s="3" t="inlineStr">
        <is>
          <t>nan</t>
        </is>
      </c>
      <c r="L225" s="6">
        <f>HYPERLINK("https://fin.land.naver.com/articles/2649604810", "매물Link")</f>
        <v/>
      </c>
      <c r="M225" s="6">
        <f>HYPERLINK("https://map.naver.com/p/search/세종특별자치시 금남면 국곡리 85-1", "지도Link")</f>
        <v/>
      </c>
      <c r="N225" s="6">
        <f>HYPERLINK("http://www.eum.go.kr/web/ar/lu/luLandDet.jsp?pnu=3611034044100850001&amp;isNoScr=script&amp;mode=search", "토지이음")</f>
        <v/>
      </c>
      <c r="O225" s="3" t="inlineStr">
        <is>
          <t>그래그</t>
        </is>
      </c>
      <c r="P225" s="3" t="n">
        <v>1</v>
      </c>
      <c r="Q225" s="3" t="n">
        <v>1379</v>
      </c>
      <c r="R225" s="3" t="inlineStr">
        <is>
          <t>지정되지않음</t>
        </is>
      </c>
      <c r="S225" s="3" t="inlineStr">
        <is>
          <t>답</t>
        </is>
      </c>
      <c r="T225" s="3" t="inlineStr">
        <is>
          <t>평지</t>
        </is>
      </c>
      <c r="U225" s="3" t="inlineStr">
        <is>
          <t>부정형</t>
        </is>
      </c>
      <c r="V225" s="3" t="inlineStr">
        <is>
          <t>세로한면(가)</t>
        </is>
      </c>
    </row>
    <row r="226">
      <c r="A226" s="3" t="inlineStr">
        <is>
          <t>세종특별자치시 금남면 국곡리 91</t>
        </is>
      </c>
      <c r="B226" s="3" t="inlineStr">
        <is>
          <t>농림지역</t>
        </is>
      </c>
      <c r="C226" s="3" t="inlineStr">
        <is>
          <t>답</t>
        </is>
      </c>
      <c r="D226" s="3" t="inlineStr">
        <is>
          <t>답</t>
        </is>
      </c>
      <c r="E226" s="3" t="inlineStr">
        <is>
          <t>매매</t>
        </is>
      </c>
      <c r="F226" s="4" t="n">
        <v>111000</v>
      </c>
      <c r="G226" s="4" t="n">
        <v>4582</v>
      </c>
      <c r="H226" s="4" t="n">
        <v>1386</v>
      </c>
      <c r="I226" s="5" t="n">
        <v>80.09999999999999</v>
      </c>
      <c r="J226" s="4" t="n">
        <v>40.7</v>
      </c>
      <c r="K226" s="3" t="inlineStr">
        <is>
          <t>남세종IC 7분. 코스트코10분. 위치좋은 국곡리 토지</t>
        </is>
      </c>
      <c r="L226" s="6">
        <f>HYPERLINK("https://fin.land.naver.com/articles/2644522426", "매물Link")</f>
        <v/>
      </c>
      <c r="M226" s="6">
        <f>HYPERLINK("https://map.naver.com/p/search/세종특별자치시 금남면 국곡리 91", "지도Link")</f>
        <v/>
      </c>
      <c r="N226" s="6">
        <f>HYPERLINK("http://www.eum.go.kr/web/ar/lu/luLandDet.jsp?pnu=3611034044100910000&amp;isNoScr=script&amp;mode=search", "토지이음")</f>
        <v/>
      </c>
      <c r="O226" s="3" t="inlineStr">
        <is>
          <t>새롬삼둥이</t>
        </is>
      </c>
      <c r="P226" s="3" t="n">
        <v>1</v>
      </c>
      <c r="Q226" s="3" t="n">
        <v>2479</v>
      </c>
      <c r="R226" s="3" t="inlineStr">
        <is>
          <t>지정되지않음</t>
        </is>
      </c>
      <c r="S226" s="3" t="inlineStr">
        <is>
          <t>답</t>
        </is>
      </c>
      <c r="T226" s="3" t="inlineStr">
        <is>
          <t>평지</t>
        </is>
      </c>
      <c r="U226" s="3" t="inlineStr">
        <is>
          <t>부정형</t>
        </is>
      </c>
      <c r="V226" s="3" t="inlineStr">
        <is>
          <t>맹지</t>
        </is>
      </c>
    </row>
    <row r="227">
      <c r="A227" s="3" t="inlineStr">
        <is>
          <t>세종특별자치시 금남면 국곡리 98-7</t>
        </is>
      </c>
      <c r="B227" s="3" t="inlineStr">
        <is>
          <t>계획관리지역</t>
        </is>
      </c>
      <c r="C227" s="3" t="inlineStr">
        <is>
          <t>대</t>
        </is>
      </c>
      <c r="D227" s="3" t="inlineStr">
        <is>
          <t>대</t>
        </is>
      </c>
      <c r="E227" s="3" t="inlineStr">
        <is>
          <t>매매</t>
        </is>
      </c>
      <c r="F227" s="4" t="n">
        <v>13500</v>
      </c>
      <c r="G227" s="4" t="n">
        <v>261</v>
      </c>
      <c r="H227" s="4" t="n">
        <v>79</v>
      </c>
      <c r="I227" s="5" t="n">
        <v>170.9</v>
      </c>
      <c r="J227" s="4" t="n">
        <v>132</v>
      </c>
      <c r="K227" s="3" t="inlineStr">
        <is>
          <t>세종인근의 아담한 대지 매매</t>
        </is>
      </c>
      <c r="L227" s="6">
        <f>HYPERLINK("https://fin.land.naver.com/articles/2644425311", "매물Link")</f>
        <v/>
      </c>
      <c r="M227" s="6">
        <f>HYPERLINK("https://map.naver.com/p/search/세종특별자치시 금남면 국곡리 98-7", "지도Link")</f>
        <v/>
      </c>
      <c r="N227" s="6">
        <f>HYPERLINK("http://www.eum.go.kr/web/ar/lu/luLandDet.jsp?pnu=3611034044100980007&amp;isNoScr=script&amp;mode=search", "토지이음")</f>
        <v/>
      </c>
      <c r="O227" s="3" t="inlineStr">
        <is>
          <t>세종다올</t>
        </is>
      </c>
      <c r="P227" s="3" t="n">
        <v>1</v>
      </c>
      <c r="Q227" s="3" t="n">
        <v>261</v>
      </c>
      <c r="R227" s="3" t="inlineStr">
        <is>
          <t>지정되지않음</t>
        </is>
      </c>
      <c r="S227" s="3" t="inlineStr">
        <is>
          <t>단독</t>
        </is>
      </c>
      <c r="T227" s="3" t="inlineStr">
        <is>
          <t>평지</t>
        </is>
      </c>
      <c r="U227" s="3" t="inlineStr">
        <is>
          <t>부정형</t>
        </is>
      </c>
      <c r="V227" s="3" t="inlineStr">
        <is>
          <t>세로한면(가)</t>
        </is>
      </c>
    </row>
    <row r="228">
      <c r="A228" s="3" t="inlineStr">
        <is>
          <t>세종특별자치시 금남면 금천리 177</t>
        </is>
      </c>
      <c r="B228" s="3" t="inlineStr">
        <is>
          <t>개발제한구역</t>
        </is>
      </c>
      <c r="C228" s="3" t="inlineStr">
        <is>
          <t>과수원</t>
        </is>
      </c>
      <c r="D228" s="3" t="inlineStr">
        <is>
          <t>과수원</t>
        </is>
      </c>
      <c r="E228" s="3" t="inlineStr">
        <is>
          <t>매매</t>
        </is>
      </c>
      <c r="F228" s="4" t="n">
        <v>38000</v>
      </c>
      <c r="G228" s="4" t="n">
        <v>1739</v>
      </c>
      <c r="H228" s="4" t="n">
        <v>526</v>
      </c>
      <c r="I228" s="5" t="n">
        <v>72.2</v>
      </c>
      <c r="J228" s="4" t="n">
        <v>22.2</v>
      </c>
      <c r="K228" s="3" t="inlineStr">
        <is>
          <t>농막있는 과수원 주말영농지로 강추합니다.</t>
        </is>
      </c>
      <c r="L228" s="6">
        <f>HYPERLINK("https://fin.land.naver.com/articles/2648791565", "매물Link")</f>
        <v/>
      </c>
      <c r="M228" s="6">
        <f>HYPERLINK("https://map.naver.com/p/search/세종특별자치시 금남면 금천리 177", "지도Link")</f>
        <v/>
      </c>
      <c r="N228" s="6">
        <f>HYPERLINK("http://www.eum.go.kr/web/ar/lu/luLandDet.jsp?pnu=3611034027101770000&amp;isNoScr=script&amp;mode=search", "토지이음")</f>
        <v/>
      </c>
      <c r="O228" s="3" t="inlineStr">
        <is>
          <t>세계로</t>
        </is>
      </c>
      <c r="P228" s="3" t="n">
        <v>1</v>
      </c>
      <c r="Q228" s="3" t="n">
        <v>1739</v>
      </c>
      <c r="R228" s="3" t="inlineStr">
        <is>
          <t>지정되지않음</t>
        </is>
      </c>
      <c r="S228" s="3" t="inlineStr">
        <is>
          <t>과수원</t>
        </is>
      </c>
      <c r="T228" s="3" t="inlineStr">
        <is>
          <t>완경사</t>
        </is>
      </c>
      <c r="U228" s="3" t="inlineStr">
        <is>
          <t>부정형</t>
        </is>
      </c>
      <c r="V228" s="3" t="inlineStr">
        <is>
          <t>세로한면(불)</t>
        </is>
      </c>
    </row>
    <row r="229">
      <c r="A229" s="3" t="inlineStr">
        <is>
          <t>세종특별자치시 금남면 금천리 183</t>
        </is>
      </c>
      <c r="B229" s="3" t="inlineStr">
        <is>
          <t>개발제한구역</t>
        </is>
      </c>
      <c r="C229" s="3" t="inlineStr">
        <is>
          <t>답</t>
        </is>
      </c>
      <c r="D229" s="3" t="inlineStr">
        <is>
          <t>답</t>
        </is>
      </c>
      <c r="E229" s="3" t="inlineStr">
        <is>
          <t>매매</t>
        </is>
      </c>
      <c r="F229" s="4" t="n">
        <v>25200</v>
      </c>
      <c r="G229" s="4" t="n">
        <v>2188</v>
      </c>
      <c r="H229" s="4" t="n">
        <v>662</v>
      </c>
      <c r="I229" s="5" t="n">
        <v>38.1</v>
      </c>
      <c r="J229" s="4" t="n">
        <v>21</v>
      </c>
      <c r="K229" s="3" t="inlineStr">
        <is>
          <t>마을 앞에 있는 저렴하고 위치좋음.</t>
        </is>
      </c>
      <c r="L229" s="6">
        <f>HYPERLINK("https://fin.land.naver.com/articles/2648553034", "매물Link")</f>
        <v/>
      </c>
      <c r="M229" s="6">
        <f>HYPERLINK("https://map.naver.com/p/search/세종특별자치시 금남면 금천리 183", "지도Link")</f>
        <v/>
      </c>
      <c r="N229" s="6">
        <f>HYPERLINK("http://www.eum.go.kr/web/ar/lu/luLandDet.jsp?pnu=3611034027101830000&amp;isNoScr=script&amp;mode=search", "토지이음")</f>
        <v/>
      </c>
      <c r="O229" s="3" t="inlineStr">
        <is>
          <t>세종리츠</t>
        </is>
      </c>
      <c r="P229" s="3" t="n">
        <v>1</v>
      </c>
      <c r="Q229" s="3" t="n">
        <v>2188</v>
      </c>
      <c r="R229" s="3" t="inlineStr">
        <is>
          <t>지정되지않음</t>
        </is>
      </c>
      <c r="S229" s="3" t="inlineStr">
        <is>
          <t>답</t>
        </is>
      </c>
      <c r="T229" s="3" t="inlineStr">
        <is>
          <t>평지</t>
        </is>
      </c>
      <c r="U229" s="3" t="inlineStr">
        <is>
          <t>부정형</t>
        </is>
      </c>
      <c r="V229" s="3" t="inlineStr">
        <is>
          <t>맹지</t>
        </is>
      </c>
    </row>
    <row r="230">
      <c r="A230" s="3" t="inlineStr">
        <is>
          <t>세종특별자치시 금남면 금천리 205</t>
        </is>
      </c>
      <c r="B230" s="3" t="inlineStr">
        <is>
          <t>개발제한구역</t>
        </is>
      </c>
      <c r="C230" s="3" t="inlineStr">
        <is>
          <t>답</t>
        </is>
      </c>
      <c r="D230" s="3" t="inlineStr">
        <is>
          <t>답</t>
        </is>
      </c>
      <c r="E230" s="3" t="inlineStr">
        <is>
          <t>매매</t>
        </is>
      </c>
      <c r="F230" s="4" t="n">
        <v>75000</v>
      </c>
      <c r="G230" s="4" t="n">
        <v>3441</v>
      </c>
      <c r="H230" s="4" t="n">
        <v>1041</v>
      </c>
      <c r="I230" s="5" t="n">
        <v>72</v>
      </c>
      <c r="J230" s="4" t="n">
        <v>45</v>
      </c>
      <c r="K230" s="3" t="inlineStr">
        <is>
          <t>nan</t>
        </is>
      </c>
      <c r="L230" s="6">
        <f>HYPERLINK("https://fin.land.naver.com/articles/2646822469", "매물Link")</f>
        <v/>
      </c>
      <c r="M230" s="6">
        <f>HYPERLINK("https://map.naver.com/p/search/세종특별자치시 금남면 금천리 205", "지도Link")</f>
        <v/>
      </c>
      <c r="N230" s="6">
        <f>HYPERLINK("http://www.eum.go.kr/web/ar/lu/luLandDet.jsp?pnu=3611034027102050000&amp;isNoScr=script&amp;mode=search", "토지이음")</f>
        <v/>
      </c>
      <c r="O230" s="3" t="inlineStr">
        <is>
          <t>세종대평</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세종특별자치시 금남면 금천리 205</t>
        </is>
      </c>
      <c r="B231" s="3" t="inlineStr">
        <is>
          <t>개발제한구역</t>
        </is>
      </c>
      <c r="C231" s="3" t="inlineStr">
        <is>
          <t>답</t>
        </is>
      </c>
      <c r="D231" s="3" t="inlineStr">
        <is>
          <t>답</t>
        </is>
      </c>
      <c r="E231" s="3" t="inlineStr">
        <is>
          <t>매매</t>
        </is>
      </c>
      <c r="F231" s="4" t="n">
        <v>63000</v>
      </c>
      <c r="G231" s="4" t="n">
        <v>2807</v>
      </c>
      <c r="H231" s="4" t="n">
        <v>849</v>
      </c>
      <c r="I231" s="5" t="n">
        <v>74.2</v>
      </c>
      <c r="J231" s="4" t="n">
        <v>45</v>
      </c>
      <c r="K231" s="3" t="inlineStr">
        <is>
          <t>nan</t>
        </is>
      </c>
      <c r="L231" s="6">
        <f>HYPERLINK("https://fin.land.naver.com/articles/2644314652", "매물Link")</f>
        <v/>
      </c>
      <c r="M231" s="6">
        <f>HYPERLINK("https://map.naver.com/p/search/세종특별자치시 금남면 금천리 205", "지도Link")</f>
        <v/>
      </c>
      <c r="N231" s="6">
        <f>HYPERLINK("http://www.eum.go.kr/web/ar/lu/luLandDet.jsp?pnu=3611034027102050000&amp;isNoScr=script&amp;mode=search", "토지이음")</f>
        <v/>
      </c>
      <c r="O231" s="3" t="inlineStr">
        <is>
          <t>뉴엘리트탑</t>
        </is>
      </c>
      <c r="P231" s="3" t="n">
        <v>1</v>
      </c>
      <c r="Q231" s="3" t="n">
        <v>2807</v>
      </c>
      <c r="R231" s="3" t="inlineStr">
        <is>
          <t>지정되지않음</t>
        </is>
      </c>
      <c r="S231" s="3" t="inlineStr">
        <is>
          <t>답</t>
        </is>
      </c>
      <c r="T231" s="3" t="inlineStr">
        <is>
          <t>평지</t>
        </is>
      </c>
      <c r="U231" s="3" t="inlineStr">
        <is>
          <t>부정형</t>
        </is>
      </c>
      <c r="V231" s="3" t="inlineStr">
        <is>
          <t>소로한면</t>
        </is>
      </c>
    </row>
    <row r="232">
      <c r="A232" s="3" t="inlineStr">
        <is>
          <t>세종특별자치시 금남면 금천리 225-4</t>
        </is>
      </c>
      <c r="B232" s="3" t="inlineStr">
        <is>
          <t>제1종일반주거지역</t>
        </is>
      </c>
      <c r="C232" s="3" t="inlineStr">
        <is>
          <t>전</t>
        </is>
      </c>
      <c r="D232" s="3" t="inlineStr">
        <is>
          <t>전</t>
        </is>
      </c>
      <c r="E232" s="3" t="inlineStr">
        <is>
          <t>매매</t>
        </is>
      </c>
      <c r="F232" s="4" t="n">
        <v>39000</v>
      </c>
      <c r="G232" s="4" t="n">
        <v>592</v>
      </c>
      <c r="H232" s="4" t="n">
        <v>179</v>
      </c>
      <c r="I232" s="5" t="n">
        <v>217.9</v>
      </c>
      <c r="J232" s="4" t="n">
        <v>56.4</v>
      </c>
      <c r="K232" s="3" t="inlineStr">
        <is>
          <t>금남면 금천리마을 2차선도로 접해 다양하게 활용하기 좋은 토지 매매</t>
        </is>
      </c>
      <c r="L232" s="6">
        <f>HYPERLINK("https://fin.land.naver.com/articles/2644190636", "매물Link")</f>
        <v/>
      </c>
      <c r="M232" s="6">
        <f>HYPERLINK("https://map.naver.com/p/search/세종특별자치시 금남면 금천리 225-4", "지도Link")</f>
        <v/>
      </c>
      <c r="N232" s="6">
        <f>HYPERLINK("http://www.eum.go.kr/web/ar/lu/luLandDet.jsp?pnu=3611034027102250004&amp;isNoScr=script&amp;mode=search", "토지이음")</f>
        <v/>
      </c>
      <c r="O232" s="3" t="inlineStr">
        <is>
          <t>나침반</t>
        </is>
      </c>
      <c r="P232" s="3" t="n">
        <v>1</v>
      </c>
      <c r="Q232" s="3" t="n">
        <v>592</v>
      </c>
      <c r="R232" s="3" t="inlineStr">
        <is>
          <t>지정되지않음</t>
        </is>
      </c>
      <c r="S232" s="3" t="inlineStr">
        <is>
          <t>전</t>
        </is>
      </c>
      <c r="T232" s="3" t="inlineStr">
        <is>
          <t>완경사</t>
        </is>
      </c>
      <c r="U232" s="3" t="inlineStr">
        <is>
          <t>부정형</t>
        </is>
      </c>
      <c r="V232" s="3" t="inlineStr">
        <is>
          <t>소로한면</t>
        </is>
      </c>
    </row>
    <row r="233">
      <c r="A233" s="3" t="inlineStr">
        <is>
          <t>세종특별자치시 금남면 금천리 63-2</t>
        </is>
      </c>
      <c r="B233" s="3" t="inlineStr">
        <is>
          <t>자연녹지지역</t>
        </is>
      </c>
      <c r="C233" s="3" t="inlineStr">
        <is>
          <t>목장용지</t>
        </is>
      </c>
      <c r="D233" s="3" t="inlineStr">
        <is>
          <t>목장용지</t>
        </is>
      </c>
      <c r="E233" s="3" t="inlineStr">
        <is>
          <t>매매</t>
        </is>
      </c>
      <c r="F233" s="4" t="n">
        <v>125000</v>
      </c>
      <c r="G233" s="4" t="n">
        <v>2751</v>
      </c>
      <c r="H233" s="4" t="n">
        <v>832</v>
      </c>
      <c r="I233" s="5" t="n">
        <v>150.2</v>
      </c>
      <c r="J233" s="4" t="n">
        <v>62.9</v>
      </c>
      <c r="K233" s="3" t="inlineStr">
        <is>
          <t>자연취락지구로 주택용지로 매우 좋음.</t>
        </is>
      </c>
      <c r="L233" s="6">
        <f>HYPERLINK("https://fin.land.naver.com/articles/2648552043", "매물Link")</f>
        <v/>
      </c>
      <c r="M233" s="6">
        <f>HYPERLINK("https://map.naver.com/p/search/세종특별자치시 금남면 금천리 63-2", "지도Link")</f>
        <v/>
      </c>
      <c r="N233" s="6">
        <f>HYPERLINK("http://www.eum.go.kr/web/ar/lu/luLandDet.jsp?pnu=3611034027100630002&amp;isNoScr=script&amp;mode=search", "토지이음")</f>
        <v/>
      </c>
      <c r="O233" s="3" t="inlineStr">
        <is>
          <t>세종리츠</t>
        </is>
      </c>
      <c r="P233" s="3" t="n">
        <v>1</v>
      </c>
      <c r="Q233" s="3" t="n">
        <v>1335</v>
      </c>
      <c r="R233" s="3" t="inlineStr">
        <is>
          <t>지정되지않음</t>
        </is>
      </c>
      <c r="S233" s="3" t="inlineStr">
        <is>
          <t>답기타</t>
        </is>
      </c>
      <c r="T233" s="3" t="inlineStr">
        <is>
          <t>완경사</t>
        </is>
      </c>
      <c r="U233" s="3" t="inlineStr">
        <is>
          <t>부정형</t>
        </is>
      </c>
      <c r="V233" s="3" t="inlineStr">
        <is>
          <t>세로한면(가)</t>
        </is>
      </c>
    </row>
    <row r="234">
      <c r="A234" s="3" t="inlineStr">
        <is>
          <t>세종특별자치시 금남면 금천리 63-3</t>
        </is>
      </c>
      <c r="B234" s="3" t="inlineStr">
        <is>
          <t>자연녹지지역</t>
        </is>
      </c>
      <c r="C234" s="3" t="inlineStr">
        <is>
          <t>답</t>
        </is>
      </c>
      <c r="D234" s="3" t="inlineStr">
        <is>
          <t>답</t>
        </is>
      </c>
      <c r="E234" s="3" t="inlineStr">
        <is>
          <t>매매</t>
        </is>
      </c>
      <c r="F234" s="4" t="n">
        <v>125000</v>
      </c>
      <c r="G234" s="4" t="n">
        <v>1416</v>
      </c>
      <c r="H234" s="4" t="n">
        <v>428</v>
      </c>
      <c r="I234" s="5" t="n">
        <v>292.1</v>
      </c>
      <c r="J234" s="4" t="n">
        <v>62.9</v>
      </c>
      <c r="K234" s="3" t="inlineStr">
        <is>
          <t>금남면 복컴 10분, 세종시청15분거리  도로접함, 도시지역 건축가능함</t>
        </is>
      </c>
      <c r="L234" s="6">
        <f>HYPERLINK("https://fin.land.naver.com/articles/2644524440", "매물Link")</f>
        <v/>
      </c>
      <c r="M234" s="6">
        <f>HYPERLINK("https://map.naver.com/p/search/세종특별자치시 금남면 금천리 63-3", "지도Link")</f>
        <v/>
      </c>
      <c r="N234" s="6">
        <f>HYPERLINK("http://www.eum.go.kr/web/ar/lu/luLandDet.jsp?pnu=3611034027100630003&amp;isNoScr=script&amp;mode=search", "토지이음")</f>
        <v/>
      </c>
      <c r="O234" s="3" t="inlineStr">
        <is>
          <t>새롬삼둥이</t>
        </is>
      </c>
      <c r="P234" s="3" t="n">
        <v>1</v>
      </c>
      <c r="Q234" s="3" t="n">
        <v>1416</v>
      </c>
      <c r="R234" s="3" t="inlineStr">
        <is>
          <t>지정되지않음</t>
        </is>
      </c>
      <c r="S234" s="3" t="inlineStr">
        <is>
          <t>전</t>
        </is>
      </c>
      <c r="T234" s="3" t="inlineStr">
        <is>
          <t>완경사</t>
        </is>
      </c>
      <c r="U234" s="3" t="inlineStr">
        <is>
          <t>부정형</t>
        </is>
      </c>
      <c r="V234" s="3" t="inlineStr">
        <is>
          <t>세로한면(가)</t>
        </is>
      </c>
    </row>
    <row r="235">
      <c r="A235" s="3" t="inlineStr">
        <is>
          <t>세종특별자치시 금남면 금천리 65</t>
        </is>
      </c>
      <c r="B235" s="3" t="inlineStr">
        <is>
          <t>개발제한구역</t>
        </is>
      </c>
      <c r="C235" s="3" t="inlineStr">
        <is>
          <t>답</t>
        </is>
      </c>
      <c r="D235" s="3" t="inlineStr">
        <is>
          <t>답</t>
        </is>
      </c>
      <c r="E235" s="3" t="inlineStr">
        <is>
          <t>매매</t>
        </is>
      </c>
      <c r="F235" s="4" t="n">
        <v>38000</v>
      </c>
      <c r="G235" s="4" t="n">
        <v>2279</v>
      </c>
      <c r="H235" s="4" t="n">
        <v>689</v>
      </c>
      <c r="I235" s="5" t="n">
        <v>55.2</v>
      </c>
      <c r="J235" s="4" t="n">
        <v>25.4</v>
      </c>
      <c r="K235" s="3" t="inlineStr">
        <is>
          <t>자연녹지지역. 개발제한구역으로 저렴한 비용으로 급매.</t>
        </is>
      </c>
      <c r="L235" s="6">
        <f>HYPERLINK("https://fin.land.naver.com/articles/2646708423", "매물Link")</f>
        <v/>
      </c>
      <c r="M235" s="6">
        <f>HYPERLINK("https://map.naver.com/p/search/세종특별자치시 금남면 금천리 65", "지도Link")</f>
        <v/>
      </c>
      <c r="N235" s="6">
        <f>HYPERLINK("http://www.eum.go.kr/web/ar/lu/luLandDet.jsp?pnu=3611034027100650000&amp;isNoScr=script&amp;mode=search", "토지이음")</f>
        <v/>
      </c>
      <c r="O235" s="3" t="inlineStr">
        <is>
          <t>세종대장</t>
        </is>
      </c>
      <c r="P235" s="3" t="n">
        <v>1</v>
      </c>
      <c r="Q235" s="3" t="n">
        <v>2279</v>
      </c>
      <c r="R235" s="3" t="inlineStr">
        <is>
          <t>지정되지않음</t>
        </is>
      </c>
      <c r="S235" s="3" t="inlineStr">
        <is>
          <t>답</t>
        </is>
      </c>
      <c r="T235" s="3" t="inlineStr">
        <is>
          <t>평지</t>
        </is>
      </c>
      <c r="U235" s="3" t="inlineStr">
        <is>
          <t>부정형</t>
        </is>
      </c>
      <c r="V235" s="3" t="inlineStr">
        <is>
          <t>세로한면(가)</t>
        </is>
      </c>
    </row>
    <row r="236">
      <c r="A236" s="3" t="inlineStr">
        <is>
          <t>세종특별자치시 금남면 금천리 산1-1</t>
        </is>
      </c>
      <c r="B236" s="3" t="inlineStr">
        <is>
          <t>개발제한구역</t>
        </is>
      </c>
      <c r="C236" s="3" t="inlineStr">
        <is>
          <t>임야</t>
        </is>
      </c>
      <c r="D236" s="3" t="inlineStr">
        <is>
          <t>임야</t>
        </is>
      </c>
      <c r="E236" s="3" t="inlineStr">
        <is>
          <t>매매</t>
        </is>
      </c>
      <c r="F236" s="4" t="n">
        <v>64260</v>
      </c>
      <c r="G236" s="4" t="n">
        <v>35405</v>
      </c>
      <c r="H236" s="4" t="n">
        <v>10710</v>
      </c>
      <c r="I236" s="5" t="n">
        <v>6</v>
      </c>
      <c r="J236" s="4" t="n">
        <v>2.2</v>
      </c>
      <c r="K236" s="3" t="inlineStr">
        <is>
          <t>세종시 금남면 그린벨트 임야 매매</t>
        </is>
      </c>
      <c r="L236" s="6">
        <f>HYPERLINK("https://fin.land.naver.com/articles/2649751411", "매물Link")</f>
        <v/>
      </c>
      <c r="M236" s="6">
        <f>HYPERLINK("https://map.naver.com/p/search/세종특별자치시 금남면 금천리 산1-1", "지도Link")</f>
        <v/>
      </c>
      <c r="N236" s="6">
        <f>HYPERLINK("http://www.eum.go.kr/web/ar/lu/luLandDet.jsp?pnu=3611034027200010001&amp;isNoScr=script&amp;mode=search", "토지이음")</f>
        <v/>
      </c>
      <c r="O236" s="3" t="inlineStr">
        <is>
          <t>뉴스카이</t>
        </is>
      </c>
      <c r="P236" s="3" t="n">
        <v>1</v>
      </c>
      <c r="Q236" s="3" t="n">
        <v>35405</v>
      </c>
      <c r="R236" s="3" t="inlineStr">
        <is>
          <t>지정되지않음</t>
        </is>
      </c>
      <c r="S236" s="3" t="inlineStr">
        <is>
          <t>자연림</t>
        </is>
      </c>
      <c r="T236" s="3" t="inlineStr">
        <is>
          <t>급경사</t>
        </is>
      </c>
      <c r="U236" s="3" t="inlineStr">
        <is>
          <t>부정형</t>
        </is>
      </c>
      <c r="V236" s="3" t="inlineStr">
        <is>
          <t>세로한면(불)</t>
        </is>
      </c>
    </row>
    <row r="237">
      <c r="A237" s="3" t="inlineStr">
        <is>
          <t>세종특별자치시 금남면 금천리 산28-4</t>
        </is>
      </c>
      <c r="B237" s="3" t="inlineStr">
        <is>
          <t>개발제한구역</t>
        </is>
      </c>
      <c r="C237" s="3" t="inlineStr">
        <is>
          <t>임야</t>
        </is>
      </c>
      <c r="D237" s="3" t="inlineStr">
        <is>
          <t>임야</t>
        </is>
      </c>
      <c r="E237" s="3" t="inlineStr">
        <is>
          <t>매매</t>
        </is>
      </c>
      <c r="F237" s="4" t="n">
        <v>35000</v>
      </c>
      <c r="G237" s="4" t="n">
        <v>75298</v>
      </c>
      <c r="H237" s="4" t="n">
        <v>22778</v>
      </c>
      <c r="I237" s="5" t="n">
        <v>1.5</v>
      </c>
      <c r="J237" s="4" t="n">
        <v>1.5</v>
      </c>
      <c r="K237" s="3" t="inlineStr">
        <is>
          <t>급매매금천리 개발제한구역내 도로접 차량진입가능 임야</t>
        </is>
      </c>
      <c r="L237" s="6">
        <f>HYPERLINK("https://fin.land.naver.com/articles/2648530980", "매물Link")</f>
        <v/>
      </c>
      <c r="M237" s="6">
        <f>HYPERLINK("https://map.naver.com/p/search/세종특별자치시 금남면 금천리 산28-4", "지도Link")</f>
        <v/>
      </c>
      <c r="N237" s="6">
        <f>HYPERLINK("http://www.eum.go.kr/web/ar/lu/luLandDet.jsp?pnu=3611034027200280004&amp;isNoScr=script&amp;mode=search", "토지이음")</f>
        <v/>
      </c>
      <c r="O237" s="3" t="inlineStr">
        <is>
          <t>세계로</t>
        </is>
      </c>
      <c r="P237" s="3" t="n">
        <v>1</v>
      </c>
      <c r="Q237" s="3" t="n">
        <v>36824</v>
      </c>
      <c r="R237" s="3" t="inlineStr">
        <is>
          <t>지정되지않음</t>
        </is>
      </c>
      <c r="S237" s="3" t="inlineStr">
        <is>
          <t>자연림</t>
        </is>
      </c>
      <c r="T237" s="3" t="inlineStr">
        <is>
          <t>급경사</t>
        </is>
      </c>
      <c r="U237" s="3" t="inlineStr">
        <is>
          <t>부정형</t>
        </is>
      </c>
      <c r="V237" s="3" t="inlineStr">
        <is>
          <t>세로한면(불)</t>
        </is>
      </c>
    </row>
    <row r="238">
      <c r="A238" s="3" t="inlineStr">
        <is>
          <t>세종특별자치시 금남면 금천리 산3</t>
        </is>
      </c>
      <c r="B238" s="3" t="inlineStr">
        <is>
          <t>개발제한구역</t>
        </is>
      </c>
      <c r="C238" s="3" t="inlineStr">
        <is>
          <t>임야</t>
        </is>
      </c>
      <c r="D238" s="3" t="inlineStr">
        <is>
          <t>임야</t>
        </is>
      </c>
      <c r="E238" s="3" t="inlineStr">
        <is>
          <t>매매</t>
        </is>
      </c>
      <c r="F238" s="4" t="n">
        <v>13000</v>
      </c>
      <c r="G238" s="4" t="n">
        <v>10413</v>
      </c>
      <c r="H238" s="4" t="n">
        <v>3150</v>
      </c>
      <c r="I238" s="5" t="n">
        <v>4.1</v>
      </c>
      <c r="J238" s="4" t="n">
        <v>2.3</v>
      </c>
      <c r="K238" s="3" t="inlineStr">
        <is>
          <t>세종시내10분거리.비포장 임도존재.저렴한가격.장기투자가치</t>
        </is>
      </c>
      <c r="L238" s="6">
        <f>HYPERLINK("https://fin.land.naver.com/articles/2643931542", "매물Link")</f>
        <v/>
      </c>
      <c r="M238" s="6">
        <f>HYPERLINK("https://map.naver.com/p/search/세종특별자치시 금남면 금천리 산3", "지도Link")</f>
        <v/>
      </c>
      <c r="N238" s="6">
        <f>HYPERLINK("http://www.eum.go.kr/web/ar/lu/luLandDet.jsp?pnu=3611034027200030000&amp;isNoScr=script&amp;mode=search", "토지이음")</f>
        <v/>
      </c>
      <c r="O238" s="3" t="inlineStr">
        <is>
          <t>돈방석</t>
        </is>
      </c>
      <c r="P238" s="3" t="n">
        <v>1</v>
      </c>
      <c r="Q238" s="3" t="n">
        <v>10413</v>
      </c>
      <c r="R238" s="3" t="inlineStr">
        <is>
          <t>지정되지않음</t>
        </is>
      </c>
      <c r="S238" s="3" t="inlineStr">
        <is>
          <t>자연림</t>
        </is>
      </c>
      <c r="T238" s="3" t="inlineStr">
        <is>
          <t>급경사</t>
        </is>
      </c>
      <c r="U238" s="3" t="inlineStr">
        <is>
          <t>부정형</t>
        </is>
      </c>
      <c r="V238" s="3" t="inlineStr">
        <is>
          <t>세로한면(불)</t>
        </is>
      </c>
    </row>
    <row r="239">
      <c r="A239" s="3" t="inlineStr">
        <is>
          <t>세종특별자치시 금남면 남곡리 128-1</t>
        </is>
      </c>
      <c r="B239" s="3" t="inlineStr">
        <is>
          <t>개발제한구역</t>
        </is>
      </c>
      <c r="C239" s="3" t="inlineStr">
        <is>
          <t>답</t>
        </is>
      </c>
      <c r="D239" s="3" t="inlineStr">
        <is>
          <t>답</t>
        </is>
      </c>
      <c r="E239" s="3" t="inlineStr">
        <is>
          <t>매매</t>
        </is>
      </c>
      <c r="F239" s="4" t="n">
        <v>22400</v>
      </c>
      <c r="G239" s="4" t="n">
        <v>1423</v>
      </c>
      <c r="H239" s="4" t="n">
        <v>430</v>
      </c>
      <c r="I239" s="5" t="n">
        <v>52.1</v>
      </c>
      <c r="J239" s="4" t="n">
        <v>30.3</v>
      </c>
      <c r="K239" s="3" t="inlineStr">
        <is>
          <t>매매가 조정가,시멘트 포장도로접,가격 저렴함,투자양호.</t>
        </is>
      </c>
      <c r="L239" s="6">
        <f>HYPERLINK("https://fin.land.naver.com/articles/2648500060", "매물Link")</f>
        <v/>
      </c>
      <c r="M239" s="6">
        <f>HYPERLINK("https://map.naver.com/p/search/세종특별자치시 금남면 남곡리 128-1", "지도Link")</f>
        <v/>
      </c>
      <c r="N239" s="6">
        <f>HYPERLINK("http://www.eum.go.kr/web/ar/lu/luLandDet.jsp?pnu=3611034029101280001&amp;isNoScr=script&amp;mode=search", "토지이음")</f>
        <v/>
      </c>
      <c r="O239" s="3" t="inlineStr">
        <is>
          <t>장터</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세종특별자치시 금남면 남곡리 128-1</t>
        </is>
      </c>
      <c r="B240" s="3" t="inlineStr">
        <is>
          <t>개발제한구역</t>
        </is>
      </c>
      <c r="C240" s="3" t="inlineStr">
        <is>
          <t>답</t>
        </is>
      </c>
      <c r="D240" s="3" t="inlineStr">
        <is>
          <t>답</t>
        </is>
      </c>
      <c r="E240" s="3" t="inlineStr">
        <is>
          <t>매매</t>
        </is>
      </c>
      <c r="F240" s="4" t="n">
        <v>23000</v>
      </c>
      <c r="G240" s="4" t="n">
        <v>1421</v>
      </c>
      <c r="H240" s="4" t="n">
        <v>430</v>
      </c>
      <c r="I240" s="5" t="n">
        <v>53.5</v>
      </c>
      <c r="J240" s="4" t="n">
        <v>30.3</v>
      </c>
      <c r="K240" s="3" t="inlineStr">
        <is>
          <t>답으로 이용중이고 저렴한 농지</t>
        </is>
      </c>
      <c r="L240" s="6">
        <f>HYPERLINK("https://fin.land.naver.com/articles/2647957481", "매물Link")</f>
        <v/>
      </c>
      <c r="M240" s="6">
        <f>HYPERLINK("https://map.naver.com/p/search/세종특별자치시 금남면 남곡리 128-1", "지도Link")</f>
        <v/>
      </c>
      <c r="N240" s="6">
        <f>HYPERLINK("http://www.eum.go.kr/web/ar/lu/luLandDet.jsp?pnu=3611034029101280001&amp;isNoScr=script&amp;mode=search", "토지이음")</f>
        <v/>
      </c>
      <c r="O240" s="3" t="inlineStr">
        <is>
          <t>도안부자</t>
        </is>
      </c>
      <c r="P240" s="3" t="n">
        <v>1</v>
      </c>
      <c r="Q240" s="3" t="n">
        <v>1423</v>
      </c>
      <c r="R240" s="3" t="inlineStr">
        <is>
          <t>지정되지않음</t>
        </is>
      </c>
      <c r="S240" s="3" t="inlineStr">
        <is>
          <t>답</t>
        </is>
      </c>
      <c r="T240" s="3" t="inlineStr">
        <is>
          <t>완경사</t>
        </is>
      </c>
      <c r="U240" s="3" t="inlineStr">
        <is>
          <t>부정형</t>
        </is>
      </c>
      <c r="V240" s="3" t="inlineStr">
        <is>
          <t>맹지</t>
        </is>
      </c>
    </row>
    <row r="241">
      <c r="A241" s="3" t="inlineStr">
        <is>
          <t>세종특별자치시 금남면 남곡리 276</t>
        </is>
      </c>
      <c r="B241" s="3" t="inlineStr">
        <is>
          <t>개발제한구역</t>
        </is>
      </c>
      <c r="C241" s="3" t="inlineStr">
        <is>
          <t>전</t>
        </is>
      </c>
      <c r="D241" s="3" t="inlineStr">
        <is>
          <t>전</t>
        </is>
      </c>
      <c r="E241" s="3" t="inlineStr">
        <is>
          <t>매매</t>
        </is>
      </c>
      <c r="F241" s="4" t="n">
        <v>37000</v>
      </c>
      <c r="G241" s="4" t="n">
        <v>1517</v>
      </c>
      <c r="H241" s="4" t="n">
        <v>459</v>
      </c>
      <c r="I241" s="5" t="n">
        <v>80.59999999999999</v>
      </c>
      <c r="J241" s="4" t="n">
        <v>32.5</v>
      </c>
      <c r="K241" s="3" t="inlineStr">
        <is>
          <t>금남면 남곡리 마을포장도로에 접한 개발제한구역의 투자용 전입니다</t>
        </is>
      </c>
      <c r="L241" s="6">
        <f>HYPERLINK("https://fin.land.naver.com/articles/2649202568", "매물Link")</f>
        <v/>
      </c>
      <c r="M241" s="6">
        <f>HYPERLINK("https://map.naver.com/p/search/세종특별자치시 금남면 남곡리 276", "지도Link")</f>
        <v/>
      </c>
      <c r="N241" s="6">
        <f>HYPERLINK("http://www.eum.go.kr/web/ar/lu/luLandDet.jsp?pnu=3611034029102760000&amp;isNoScr=script&amp;mode=search", "토지이음")</f>
        <v/>
      </c>
      <c r="O241" s="3" t="inlineStr">
        <is>
          <t>스마일세종</t>
        </is>
      </c>
      <c r="P241" s="3" t="n">
        <v>1</v>
      </c>
      <c r="Q241" s="3" t="n">
        <v>1517</v>
      </c>
      <c r="R241" s="3" t="inlineStr">
        <is>
          <t>지정되지않음</t>
        </is>
      </c>
      <c r="S241" s="3" t="inlineStr">
        <is>
          <t>전</t>
        </is>
      </c>
      <c r="T241" s="3" t="inlineStr">
        <is>
          <t>완경사</t>
        </is>
      </c>
      <c r="U241" s="3" t="inlineStr">
        <is>
          <t>부정형</t>
        </is>
      </c>
      <c r="V241" s="3" t="inlineStr">
        <is>
          <t>세로한면(불)</t>
        </is>
      </c>
    </row>
    <row r="242">
      <c r="A242" s="3" t="inlineStr">
        <is>
          <t>세종특별자치시 금남면 남곡리 286</t>
        </is>
      </c>
      <c r="B242" s="3" t="inlineStr">
        <is>
          <t>개발제한구역</t>
        </is>
      </c>
      <c r="C242" s="3" t="inlineStr">
        <is>
          <t>전</t>
        </is>
      </c>
      <c r="D242" s="3" t="inlineStr">
        <is>
          <t>전</t>
        </is>
      </c>
      <c r="E242" s="3" t="inlineStr">
        <is>
          <t>매매</t>
        </is>
      </c>
      <c r="F242" s="4" t="n">
        <v>5700</v>
      </c>
      <c r="G242" s="4" t="n">
        <v>257</v>
      </c>
      <c r="H242" s="4" t="n">
        <v>78</v>
      </c>
      <c r="I242" s="5" t="n">
        <v>73.09999999999999</v>
      </c>
      <c r="J242" s="4" t="n">
        <v>39.7</v>
      </c>
      <c r="K242" s="3" t="inlineStr">
        <is>
          <t>금남면  저렴한 전 토지매매 진입도로 있음</t>
        </is>
      </c>
      <c r="L242" s="6">
        <f>HYPERLINK("https://fin.land.naver.com/articles/2646068452", "매물Link")</f>
        <v/>
      </c>
      <c r="M242" s="6">
        <f>HYPERLINK("https://map.naver.com/p/search/세종특별자치시 금남면 남곡리 286", "지도Link")</f>
        <v/>
      </c>
      <c r="N242" s="6">
        <f>HYPERLINK("http://www.eum.go.kr/web/ar/lu/luLandDet.jsp?pnu=3611034029102860000&amp;isNoScr=script&amp;mode=search", "토지이음")</f>
        <v/>
      </c>
      <c r="O242" s="3" t="inlineStr">
        <is>
          <t>도안부자</t>
        </is>
      </c>
      <c r="P242" s="3" t="n">
        <v>1</v>
      </c>
      <c r="Q242" s="3" t="n">
        <v>259</v>
      </c>
      <c r="R242" s="3" t="inlineStr">
        <is>
          <t>지정되지않음</t>
        </is>
      </c>
      <c r="S242" s="3" t="inlineStr">
        <is>
          <t>전</t>
        </is>
      </c>
      <c r="T242" s="3" t="inlineStr">
        <is>
          <t>완경사</t>
        </is>
      </c>
      <c r="U242" s="3" t="inlineStr">
        <is>
          <t>부정형</t>
        </is>
      </c>
      <c r="V242" s="3" t="inlineStr">
        <is>
          <t>소로한면</t>
        </is>
      </c>
    </row>
    <row r="243">
      <c r="A243" s="3" t="inlineStr">
        <is>
          <t>세종특별자치시 금남면 남곡리 308</t>
        </is>
      </c>
      <c r="B243" s="3" t="inlineStr">
        <is>
          <t>개발제한구역</t>
        </is>
      </c>
      <c r="C243" s="3" t="inlineStr">
        <is>
          <t>전</t>
        </is>
      </c>
      <c r="D243" s="3" t="inlineStr">
        <is>
          <t>전</t>
        </is>
      </c>
      <c r="E243" s="3" t="inlineStr">
        <is>
          <t>매매</t>
        </is>
      </c>
      <c r="F243" s="4" t="n">
        <v>22825</v>
      </c>
      <c r="G243" s="4" t="n">
        <v>1379</v>
      </c>
      <c r="H243" s="4" t="n">
        <v>417</v>
      </c>
      <c r="I243" s="5" t="n">
        <v>54.7</v>
      </c>
      <c r="J243" s="4" t="n">
        <v>27.8</v>
      </c>
      <c r="K243" s="3" t="inlineStr">
        <is>
          <t>대전 인접 세종시 금남면 복숭아 나무 포함 ,관리 잘 된 알짜 과수원</t>
        </is>
      </c>
      <c r="L243" s="6">
        <f>HYPERLINK("https://fin.land.naver.com/articles/2645021611", "매물Link")</f>
        <v/>
      </c>
      <c r="M243" s="6">
        <f>HYPERLINK("https://map.naver.com/p/search/세종특별자치시 금남면 남곡리 308", "지도Link")</f>
        <v/>
      </c>
      <c r="N243" s="6">
        <f>HYPERLINK("http://www.eum.go.kr/web/ar/lu/luLandDet.jsp?pnu=3611034029103080000&amp;isNoScr=script&amp;mode=search", "토지이음")</f>
        <v/>
      </c>
      <c r="O243" s="3" t="inlineStr">
        <is>
          <t>한아름</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세종특별자치시 금남면 남곡리 308</t>
        </is>
      </c>
      <c r="B244" s="3" t="inlineStr">
        <is>
          <t>개발제한구역</t>
        </is>
      </c>
      <c r="C244" s="3" t="inlineStr">
        <is>
          <t>전</t>
        </is>
      </c>
      <c r="D244" s="3" t="inlineStr">
        <is>
          <t>전</t>
        </is>
      </c>
      <c r="E244" s="3" t="inlineStr">
        <is>
          <t>매매</t>
        </is>
      </c>
      <c r="F244" s="4" t="n">
        <v>22900</v>
      </c>
      <c r="G244" s="4" t="n">
        <v>1379</v>
      </c>
      <c r="H244" s="4" t="n">
        <v>417</v>
      </c>
      <c r="I244" s="5" t="n">
        <v>54.9</v>
      </c>
      <c r="J244" s="4" t="n">
        <v>27.8</v>
      </c>
      <c r="K244" s="3" t="inlineStr">
        <is>
          <t>개발제한구역 현황도로 있어요  복숭아과수원</t>
        </is>
      </c>
      <c r="L244" s="6">
        <f>HYPERLINK("https://fin.land.naver.com/articles/2644725517", "매물Link")</f>
        <v/>
      </c>
      <c r="M244" s="6">
        <f>HYPERLINK("https://map.naver.com/p/search/세종특별자치시 금남면 남곡리 308", "지도Link")</f>
        <v/>
      </c>
      <c r="N244" s="6">
        <f>HYPERLINK("http://www.eum.go.kr/web/ar/lu/luLandDet.jsp?pnu=3611034029103080000&amp;isNoScr=script&amp;mode=search", "토지이음")</f>
        <v/>
      </c>
      <c r="O244" s="3" t="inlineStr">
        <is>
          <t>신현대</t>
        </is>
      </c>
      <c r="P244" s="3" t="n">
        <v>1</v>
      </c>
      <c r="Q244" s="3" t="n">
        <v>1379</v>
      </c>
      <c r="R244" s="3" t="inlineStr">
        <is>
          <t>지정되지않음</t>
        </is>
      </c>
      <c r="S244" s="3" t="inlineStr">
        <is>
          <t>전</t>
        </is>
      </c>
      <c r="T244" s="3" t="inlineStr">
        <is>
          <t>완경사</t>
        </is>
      </c>
      <c r="U244" s="3" t="inlineStr">
        <is>
          <t>세로장방</t>
        </is>
      </c>
      <c r="V244" s="3" t="inlineStr">
        <is>
          <t>세로한면(불)</t>
        </is>
      </c>
    </row>
    <row r="245">
      <c r="A245" s="3" t="inlineStr">
        <is>
          <t>세종특별자치시 금남면 남곡리 324</t>
        </is>
      </c>
      <c r="B245" s="3" t="inlineStr">
        <is>
          <t>개발제한구역</t>
        </is>
      </c>
      <c r="C245" s="3" t="inlineStr">
        <is>
          <t>답</t>
        </is>
      </c>
      <c r="D245" s="3" t="inlineStr">
        <is>
          <t>답</t>
        </is>
      </c>
      <c r="E245" s="3" t="inlineStr">
        <is>
          <t>매매</t>
        </is>
      </c>
      <c r="F245" s="4" t="n">
        <v>24500</v>
      </c>
      <c r="G245" s="4" t="n">
        <v>2309</v>
      </c>
      <c r="H245" s="4" t="n">
        <v>698</v>
      </c>
      <c r="I245" s="5" t="n">
        <v>35.1</v>
      </c>
      <c r="J245" s="4" t="n">
        <v>19.6</v>
      </c>
      <c r="K245" s="3" t="inlineStr">
        <is>
          <t>세종과 대전 사이, 자연녹지 개발제한구역</t>
        </is>
      </c>
      <c r="L245" s="6">
        <f>HYPERLINK("https://fin.land.naver.com/articles/2648344526", "매물Link")</f>
        <v/>
      </c>
      <c r="M245" s="6">
        <f>HYPERLINK("https://map.naver.com/p/search/세종특별자치시 금남면 남곡리 324", "지도Link")</f>
        <v/>
      </c>
      <c r="N245" s="6">
        <f>HYPERLINK("http://www.eum.go.kr/web/ar/lu/luLandDet.jsp?pnu=3611034029103240000&amp;isNoScr=script&amp;mode=search", "토지이음")</f>
        <v/>
      </c>
      <c r="O245" s="3" t="inlineStr">
        <is>
          <t>미스터홈즈강남지사</t>
        </is>
      </c>
      <c r="P245" s="3" t="n">
        <v>1</v>
      </c>
      <c r="Q245" s="3" t="n">
        <v>2309</v>
      </c>
      <c r="R245" s="3" t="inlineStr">
        <is>
          <t>지정되지않음</t>
        </is>
      </c>
      <c r="S245" s="3" t="inlineStr">
        <is>
          <t>전</t>
        </is>
      </c>
      <c r="T245" s="3" t="inlineStr">
        <is>
          <t>고지</t>
        </is>
      </c>
      <c r="U245" s="3" t="inlineStr">
        <is>
          <t>부정형</t>
        </is>
      </c>
      <c r="V245" s="3" t="inlineStr">
        <is>
          <t>세로한면(불)</t>
        </is>
      </c>
    </row>
    <row r="246">
      <c r="A246" s="3" t="inlineStr">
        <is>
          <t>세종특별자치시 금남면 남곡리 341-1</t>
        </is>
      </c>
      <c r="B246" s="3" t="inlineStr">
        <is>
          <t>개발제한구역</t>
        </is>
      </c>
      <c r="C246" s="3" t="inlineStr">
        <is>
          <t>답</t>
        </is>
      </c>
      <c r="D246" s="3" t="inlineStr">
        <is>
          <t>답</t>
        </is>
      </c>
      <c r="E246" s="3" t="inlineStr">
        <is>
          <t>매매</t>
        </is>
      </c>
      <c r="F246" s="4" t="n">
        <v>55000</v>
      </c>
      <c r="G246" s="4" t="n">
        <v>2595</v>
      </c>
      <c r="H246" s="4" t="n">
        <v>785</v>
      </c>
      <c r="I246" s="5" t="n">
        <v>70.09999999999999</v>
      </c>
      <c r="J246" s="4" t="n">
        <v>31.2</v>
      </c>
      <c r="K246" s="3" t="inlineStr">
        <is>
          <t>2차선 및 농로 양면 도로접한 논</t>
        </is>
      </c>
      <c r="L246" s="6">
        <f>HYPERLINK("https://fin.land.naver.com/articles/2649643674", "매물Link")</f>
        <v/>
      </c>
      <c r="M246" s="6">
        <f>HYPERLINK("https://map.naver.com/p/search/세종특별자치시 금남면 남곡리 341-1", "지도Link")</f>
        <v/>
      </c>
      <c r="N246" s="6">
        <f>HYPERLINK("http://www.eum.go.kr/web/ar/lu/luLandDet.jsp?pnu=3611034029103410001&amp;isNoScr=script&amp;mode=search", "토지이음")</f>
        <v/>
      </c>
      <c r="O246" s="3" t="inlineStr">
        <is>
          <t>신안</t>
        </is>
      </c>
      <c r="P246" s="3" t="n">
        <v>1</v>
      </c>
      <c r="Q246" s="3" t="n">
        <v>2595</v>
      </c>
      <c r="R246" s="3" t="inlineStr">
        <is>
          <t>지정되지않음</t>
        </is>
      </c>
      <c r="S246" s="3" t="inlineStr">
        <is>
          <t>답</t>
        </is>
      </c>
      <c r="T246" s="3" t="inlineStr">
        <is>
          <t>완경사</t>
        </is>
      </c>
      <c r="U246" s="3" t="inlineStr">
        <is>
          <t>부정형</t>
        </is>
      </c>
      <c r="V246" s="3" t="inlineStr">
        <is>
          <t>소로한면</t>
        </is>
      </c>
    </row>
    <row r="247">
      <c r="A247" s="3" t="inlineStr">
        <is>
          <t>세종특별자치시 금남면 달전리 189</t>
        </is>
      </c>
      <c r="B247" s="3" t="inlineStr">
        <is>
          <t>자연녹지지역</t>
        </is>
      </c>
      <c r="C247" s="3" t="inlineStr">
        <is>
          <t>대</t>
        </is>
      </c>
      <c r="D247" s="3" t="inlineStr">
        <is>
          <t>대</t>
        </is>
      </c>
      <c r="E247" s="3" t="inlineStr">
        <is>
          <t>매매</t>
        </is>
      </c>
      <c r="F247" s="4" t="n">
        <v>27500</v>
      </c>
      <c r="G247" s="4" t="n">
        <v>364</v>
      </c>
      <c r="H247" s="4" t="n">
        <v>110</v>
      </c>
      <c r="I247" s="5" t="n">
        <v>250</v>
      </c>
      <c r="J247" s="4" t="n">
        <v>108.1</v>
      </c>
      <c r="K247" s="3" t="inlineStr">
        <is>
          <t>조용하고 한적한 전원주택지</t>
        </is>
      </c>
      <c r="L247" s="6">
        <f>HYPERLINK("https://fin.land.naver.com/articles/2649678060", "매물Link")</f>
        <v/>
      </c>
      <c r="M247" s="6">
        <f>HYPERLINK("https://map.naver.com/p/search/세종특별자치시 금남면 달전리 189", "지도Link")</f>
        <v/>
      </c>
      <c r="N247" s="6">
        <f>HYPERLINK("http://www.eum.go.kr/web/ar/lu/luLandDet.jsp?pnu=3611034032101890000&amp;isNoScr=script&amp;mode=search", "토지이음")</f>
        <v/>
      </c>
      <c r="O247" s="3" t="inlineStr">
        <is>
          <t>정보은행</t>
        </is>
      </c>
      <c r="P247" s="3" t="n">
        <v>1</v>
      </c>
      <c r="Q247" s="3" t="n">
        <v>912</v>
      </c>
      <c r="R247" s="3" t="inlineStr">
        <is>
          <t>지정되지않음</t>
        </is>
      </c>
      <c r="S247" s="3" t="inlineStr">
        <is>
          <t>단독</t>
        </is>
      </c>
      <c r="T247" s="3" t="inlineStr">
        <is>
          <t>평지</t>
        </is>
      </c>
      <c r="U247" s="3" t="inlineStr">
        <is>
          <t>부정형</t>
        </is>
      </c>
      <c r="V247" s="3" t="inlineStr">
        <is>
          <t>세로한면(가)</t>
        </is>
      </c>
    </row>
    <row r="248">
      <c r="A248" s="3" t="inlineStr">
        <is>
          <t>세종특별자치시 금남면 달전리 226-9</t>
        </is>
      </c>
      <c r="B248" s="3" t="inlineStr">
        <is>
          <t>개발제한구역</t>
        </is>
      </c>
      <c r="C248" s="3" t="inlineStr">
        <is>
          <t>답</t>
        </is>
      </c>
      <c r="D248" s="3" t="inlineStr">
        <is>
          <t>답</t>
        </is>
      </c>
      <c r="E248" s="3" t="inlineStr">
        <is>
          <t>매매</t>
        </is>
      </c>
      <c r="F248" s="4" t="n">
        <v>94560</v>
      </c>
      <c r="G248" s="4" t="n">
        <v>3906</v>
      </c>
      <c r="H248" s="4" t="n">
        <v>1182</v>
      </c>
      <c r="I248" s="5" t="n">
        <v>80</v>
      </c>
      <c r="J248" s="4" t="n">
        <v>36.6</v>
      </c>
      <c r="K248" s="3" t="inlineStr">
        <is>
          <t>경지 정리 잘 되어있고 도로 접한 토지</t>
        </is>
      </c>
      <c r="L248" s="6">
        <f>HYPERLINK("https://fin.land.naver.com/articles/2649678573", "매물Link")</f>
        <v/>
      </c>
      <c r="M248" s="6">
        <f>HYPERLINK("https://map.naver.com/p/search/세종특별자치시 금남면 달전리 226-9", "지도Link")</f>
        <v/>
      </c>
      <c r="N248" s="6">
        <f>HYPERLINK("http://www.eum.go.kr/web/ar/lu/luLandDet.jsp?pnu=3611034032102260009&amp;isNoScr=script&amp;mode=search", "토지이음")</f>
        <v/>
      </c>
      <c r="O248" s="3" t="inlineStr">
        <is>
          <t>정보은행</t>
        </is>
      </c>
      <c r="P248" s="3" t="n">
        <v>1</v>
      </c>
      <c r="Q248" s="3" t="n">
        <v>3906</v>
      </c>
      <c r="R248" s="3" t="inlineStr">
        <is>
          <t>지정되지않음</t>
        </is>
      </c>
      <c r="S248" s="3" t="inlineStr">
        <is>
          <t>답</t>
        </is>
      </c>
      <c r="T248" s="3" t="inlineStr">
        <is>
          <t>평지</t>
        </is>
      </c>
      <c r="U248" s="3" t="inlineStr">
        <is>
          <t>부정형</t>
        </is>
      </c>
      <c r="V248" s="3" t="inlineStr">
        <is>
          <t>세로한면(가)</t>
        </is>
      </c>
    </row>
    <row r="249">
      <c r="A249" s="3" t="inlineStr">
        <is>
          <t>세종특별자치시 금남면 달전리 227-17</t>
        </is>
      </c>
      <c r="B249" s="3" t="inlineStr">
        <is>
          <t>개발제한구역</t>
        </is>
      </c>
      <c r="C249" s="3" t="inlineStr">
        <is>
          <t>답</t>
        </is>
      </c>
      <c r="D249" s="3" t="inlineStr">
        <is>
          <t>전</t>
        </is>
      </c>
      <c r="E249" s="3" t="inlineStr">
        <is>
          <t>매매</t>
        </is>
      </c>
      <c r="F249" s="4" t="n">
        <v>52000</v>
      </c>
      <c r="G249" s="4" t="n">
        <v>2294</v>
      </c>
      <c r="H249" s="4" t="n">
        <v>694</v>
      </c>
      <c r="I249" s="5" t="n">
        <v>74.90000000000001</v>
      </c>
      <c r="J249" s="4" t="n">
        <v>36.6</v>
      </c>
      <c r="K249" s="3" t="inlineStr">
        <is>
          <t>nan</t>
        </is>
      </c>
      <c r="L249" s="6">
        <f>HYPERLINK("https://fin.land.naver.com/articles/2648851498", "매물Link")</f>
        <v/>
      </c>
      <c r="M249" s="6">
        <f>HYPERLINK("https://map.naver.com/p/search/세종특별자치시 금남면 달전리 227-17", "지도Link")</f>
        <v/>
      </c>
      <c r="N249" s="6">
        <f>HYPERLINK("http://www.eum.go.kr/web/ar/lu/luLandDet.jsp?pnu=3611034032102270017&amp;isNoScr=script&amp;mode=search", "토지이음")</f>
        <v/>
      </c>
      <c r="O249" s="3" t="inlineStr">
        <is>
          <t>세종소담황금</t>
        </is>
      </c>
      <c r="P249" s="3" t="n">
        <v>2</v>
      </c>
      <c r="Q249" s="3" t="n">
        <v>2294</v>
      </c>
      <c r="R249" s="3" t="inlineStr">
        <is>
          <t>지정되지않음</t>
        </is>
      </c>
      <c r="S249" s="3" t="inlineStr">
        <is>
          <t>답</t>
        </is>
      </c>
      <c r="T249" s="3" t="inlineStr">
        <is>
          <t>평지</t>
        </is>
      </c>
      <c r="U249" s="3" t="inlineStr">
        <is>
          <t>사다리형</t>
        </is>
      </c>
      <c r="V249" s="3" t="inlineStr">
        <is>
          <t>세로한면(가)</t>
        </is>
      </c>
    </row>
    <row r="250">
      <c r="A250" s="3" t="inlineStr">
        <is>
          <t>세종특별자치시 금남면 달전리 27-2</t>
        </is>
      </c>
      <c r="B250" s="3" t="inlineStr">
        <is>
          <t>개발제한구역</t>
        </is>
      </c>
      <c r="C250" s="3" t="inlineStr">
        <is>
          <t>대</t>
        </is>
      </c>
      <c r="D250" s="3" t="inlineStr">
        <is>
          <t>대</t>
        </is>
      </c>
      <c r="E250" s="3" t="inlineStr">
        <is>
          <t>매매</t>
        </is>
      </c>
      <c r="F250" s="4" t="n">
        <v>35000</v>
      </c>
      <c r="G250" s="4" t="n">
        <v>596</v>
      </c>
      <c r="H250" s="4" t="n">
        <v>180</v>
      </c>
      <c r="I250" s="5" t="n">
        <v>194.4</v>
      </c>
      <c r="J250" s="4" t="n">
        <v>108</v>
      </c>
      <c r="K250" s="3" t="inlineStr">
        <is>
          <t>nan</t>
        </is>
      </c>
      <c r="L250" s="6">
        <f>HYPERLINK("https://fin.land.naver.com/articles/2647665928", "매물Link")</f>
        <v/>
      </c>
      <c r="M250" s="6">
        <f>HYPERLINK("https://map.naver.com/p/search/세종특별자치시 금남면 달전리 27-2", "지도Link")</f>
        <v/>
      </c>
      <c r="N250" s="6">
        <f>HYPERLINK("http://www.eum.go.kr/web/ar/lu/luLandDet.jsp?pnu=3611034032100270002&amp;isNoScr=script&amp;mode=search", "토지이음")</f>
        <v/>
      </c>
      <c r="O250" s="3" t="inlineStr">
        <is>
          <t>코리아랜드</t>
        </is>
      </c>
      <c r="P250" s="3" t="n">
        <v>1</v>
      </c>
      <c r="Q250" s="3" t="n">
        <v>596</v>
      </c>
      <c r="R250" s="3" t="inlineStr">
        <is>
          <t>지정되지않음</t>
        </is>
      </c>
      <c r="S250" s="3" t="inlineStr">
        <is>
          <t>단독</t>
        </is>
      </c>
      <c r="T250" s="3" t="inlineStr">
        <is>
          <t>완경사</t>
        </is>
      </c>
      <c r="U250" s="3" t="inlineStr">
        <is>
          <t>사다리형</t>
        </is>
      </c>
      <c r="V250" s="3" t="inlineStr">
        <is>
          <t>세로한면(가)</t>
        </is>
      </c>
    </row>
    <row r="251">
      <c r="A251" s="3" t="inlineStr">
        <is>
          <t>세종특별자치시 금남면 달전리 293</t>
        </is>
      </c>
      <c r="B251" s="3" t="inlineStr">
        <is>
          <t>개발제한구역</t>
        </is>
      </c>
      <c r="C251" s="3" t="inlineStr">
        <is>
          <t>전</t>
        </is>
      </c>
      <c r="D251" s="3" t="inlineStr">
        <is>
          <t>전</t>
        </is>
      </c>
      <c r="E251" s="3" t="inlineStr">
        <is>
          <t>매매</t>
        </is>
      </c>
      <c r="F251" s="4" t="n">
        <v>12000</v>
      </c>
      <c r="G251" s="4" t="n">
        <v>344</v>
      </c>
      <c r="H251" s="4" t="n">
        <v>104</v>
      </c>
      <c r="I251" s="5" t="n">
        <v>115.4</v>
      </c>
      <c r="J251" s="4" t="n">
        <v>50.6</v>
      </c>
      <c r="K251" s="3" t="inlineStr">
        <is>
          <t>nan</t>
        </is>
      </c>
      <c r="L251" s="6">
        <f>HYPERLINK("https://fin.land.naver.com/articles/2645898705", "매물Link")</f>
        <v/>
      </c>
      <c r="M251" s="6">
        <f>HYPERLINK("https://map.naver.com/p/search/세종특별자치시 금남면 달전리 293", "지도Link")</f>
        <v/>
      </c>
      <c r="N251" s="6">
        <f>HYPERLINK("http://www.eum.go.kr/web/ar/lu/luLandDet.jsp?pnu=3611034032102930000&amp;isNoScr=script&amp;mode=search", "토지이음")</f>
        <v/>
      </c>
      <c r="O251" s="3" t="inlineStr">
        <is>
          <t>다온</t>
        </is>
      </c>
      <c r="P251" s="3" t="n">
        <v>1</v>
      </c>
      <c r="Q251" s="3" t="n">
        <v>344</v>
      </c>
      <c r="R251" s="3" t="inlineStr">
        <is>
          <t>지정되지않음</t>
        </is>
      </c>
      <c r="S251" s="3" t="inlineStr">
        <is>
          <t>전</t>
        </is>
      </c>
      <c r="T251" s="3" t="inlineStr">
        <is>
          <t>평지</t>
        </is>
      </c>
      <c r="U251" s="3" t="inlineStr">
        <is>
          <t>부정형</t>
        </is>
      </c>
      <c r="V251" s="3" t="inlineStr">
        <is>
          <t>소로한면</t>
        </is>
      </c>
    </row>
    <row r="252">
      <c r="A252" s="3" t="inlineStr">
        <is>
          <t>세종특별자치시 금남면 달전리 353</t>
        </is>
      </c>
      <c r="B252" s="3" t="inlineStr">
        <is>
          <t>제1종일반주거지역</t>
        </is>
      </c>
      <c r="C252" s="3" t="inlineStr">
        <is>
          <t>대</t>
        </is>
      </c>
      <c r="D252" s="3" t="inlineStr">
        <is>
          <t>대</t>
        </is>
      </c>
      <c r="E252" s="3" t="inlineStr">
        <is>
          <t>매매</t>
        </is>
      </c>
      <c r="F252" s="4" t="n">
        <v>75000</v>
      </c>
      <c r="G252" s="4" t="n">
        <v>1127</v>
      </c>
      <c r="H252" s="4" t="n">
        <v>341</v>
      </c>
      <c r="I252" s="5" t="n">
        <v>219.9</v>
      </c>
      <c r="J252" s="4" t="n">
        <v>102.2</v>
      </c>
      <c r="K252" s="3" t="inlineStr">
        <is>
          <t>도로보다 지대가 높으며 남동향으로 최고의 전원주택지입니다</t>
        </is>
      </c>
      <c r="L252" s="6">
        <f>HYPERLINK("https://fin.land.naver.com/articles/2649101572", "매물Link")</f>
        <v/>
      </c>
      <c r="M252" s="6">
        <f>HYPERLINK("https://map.naver.com/p/search/세종특별자치시 금남면 달전리 353", "지도Link")</f>
        <v/>
      </c>
      <c r="N252" s="6">
        <f>HYPERLINK("http://www.eum.go.kr/web/ar/lu/luLandDet.jsp?pnu=3611034032103530000&amp;isNoScr=script&amp;mode=search", "토지이음")</f>
        <v/>
      </c>
      <c r="O252" s="3" t="inlineStr">
        <is>
          <t>대웅</t>
        </is>
      </c>
      <c r="P252" s="3" t="n">
        <v>1</v>
      </c>
      <c r="Q252" s="3" t="n">
        <v>1127</v>
      </c>
      <c r="R252" s="3" t="inlineStr">
        <is>
          <t>지정되지않음</t>
        </is>
      </c>
      <c r="S252" s="3" t="inlineStr">
        <is>
          <t>단독</t>
        </is>
      </c>
      <c r="T252" s="3" t="inlineStr">
        <is>
          <t>평지</t>
        </is>
      </c>
      <c r="U252" s="3" t="inlineStr">
        <is>
          <t>부정형</t>
        </is>
      </c>
      <c r="V252" s="3" t="inlineStr">
        <is>
          <t>세로한면(불)</t>
        </is>
      </c>
    </row>
    <row r="253">
      <c r="A253" s="3" t="inlineStr">
        <is>
          <t>세종특별자치시 금남면 달전리 510-1</t>
        </is>
      </c>
      <c r="B253" s="3" t="inlineStr">
        <is>
          <t>개발제한구역</t>
        </is>
      </c>
      <c r="C253" s="3" t="inlineStr">
        <is>
          <t>과수원</t>
        </is>
      </c>
      <c r="D253" s="3" t="inlineStr">
        <is>
          <t>답</t>
        </is>
      </c>
      <c r="E253" s="3" t="inlineStr">
        <is>
          <t>매매</t>
        </is>
      </c>
      <c r="F253" s="4" t="n">
        <v>47100</v>
      </c>
      <c r="G253" s="4" t="n">
        <v>3114</v>
      </c>
      <c r="H253" s="4" t="n">
        <v>942</v>
      </c>
      <c r="I253" s="5" t="n">
        <v>50</v>
      </c>
      <c r="J253" s="4" t="n">
        <v>30.9</v>
      </c>
      <c r="K253" s="3" t="inlineStr">
        <is>
          <t>급매. 금남면 대로변 옆 농지</t>
        </is>
      </c>
      <c r="L253" s="6">
        <f>HYPERLINK("https://fin.land.naver.com/articles/2645465866", "매물Link")</f>
        <v/>
      </c>
      <c r="M253" s="6">
        <f>HYPERLINK("https://map.naver.com/p/search/세종특별자치시 금남면 달전리 510-1", "지도Link")</f>
        <v/>
      </c>
      <c r="N253" s="6">
        <f>HYPERLINK("http://www.eum.go.kr/web/ar/lu/luLandDet.jsp?pnu=3611034032105100001&amp;isNoScr=script&amp;mode=search", "토지이음")</f>
        <v/>
      </c>
      <c r="O253" s="3" t="inlineStr">
        <is>
          <t>강아지풀</t>
        </is>
      </c>
      <c r="P253" s="3" t="n">
        <v>1</v>
      </c>
      <c r="Q253" s="3" t="n">
        <v>2161</v>
      </c>
      <c r="R253" s="3" t="inlineStr">
        <is>
          <t>지정되지않음</t>
        </is>
      </c>
      <c r="S253" s="3" t="inlineStr">
        <is>
          <t>과수원</t>
        </is>
      </c>
      <c r="T253" s="3" t="inlineStr">
        <is>
          <t>완경사</t>
        </is>
      </c>
      <c r="U253" s="3" t="inlineStr">
        <is>
          <t>부정형</t>
        </is>
      </c>
      <c r="V253" s="3" t="inlineStr">
        <is>
          <t>세로한면(불)</t>
        </is>
      </c>
    </row>
    <row r="254">
      <c r="A254" s="3" t="inlineStr">
        <is>
          <t>세종특별자치시 금남면 달전리 515-1</t>
        </is>
      </c>
      <c r="B254" s="3" t="inlineStr">
        <is>
          <t>개발제한구역</t>
        </is>
      </c>
      <c r="C254" s="3" t="inlineStr">
        <is>
          <t>답</t>
        </is>
      </c>
      <c r="D254" s="3" t="inlineStr">
        <is>
          <t>답</t>
        </is>
      </c>
      <c r="E254" s="3" t="inlineStr">
        <is>
          <t>매매</t>
        </is>
      </c>
      <c r="F254" s="4" t="n">
        <v>38720</v>
      </c>
      <c r="G254" s="4" t="n">
        <v>1162</v>
      </c>
      <c r="H254" s="4" t="n">
        <v>352</v>
      </c>
      <c r="I254" s="5" t="n">
        <v>110</v>
      </c>
      <c r="J254" s="4" t="n">
        <v>36.5</v>
      </c>
      <c r="K254" s="3" t="inlineStr">
        <is>
          <t>세종시근접,둔곡지구근접토지,미래투자가치좋음</t>
        </is>
      </c>
      <c r="L254" s="6">
        <f>HYPERLINK("https://fin.land.naver.com/articles/2645458378", "매물Link")</f>
        <v/>
      </c>
      <c r="M254" s="6">
        <f>HYPERLINK("https://map.naver.com/p/search/세종특별자치시 금남면 달전리 515-1", "지도Link")</f>
        <v/>
      </c>
      <c r="N254" s="6">
        <f>HYPERLINK("http://www.eum.go.kr/web/ar/lu/luLandDet.jsp?pnu=3611034032105150001&amp;isNoScr=script&amp;mode=search", "토지이음")</f>
        <v/>
      </c>
      <c r="O254" s="3" t="inlineStr">
        <is>
          <t>담뜰</t>
        </is>
      </c>
      <c r="P254" s="3" t="n">
        <v>1</v>
      </c>
      <c r="Q254" s="3" t="n">
        <v>1162</v>
      </c>
      <c r="R254" s="3" t="inlineStr">
        <is>
          <t>지정되지않음</t>
        </is>
      </c>
      <c r="S254" s="3" t="inlineStr">
        <is>
          <t>답</t>
        </is>
      </c>
      <c r="T254" s="3" t="inlineStr">
        <is>
          <t>평지</t>
        </is>
      </c>
      <c r="U254" s="3" t="inlineStr">
        <is>
          <t>세로장방</t>
        </is>
      </c>
      <c r="V254" s="3" t="inlineStr">
        <is>
          <t>세로한면(가)</t>
        </is>
      </c>
    </row>
    <row r="255">
      <c r="A255" s="3" t="inlineStr">
        <is>
          <t>세종특별자치시 금남면 달전리 669</t>
        </is>
      </c>
      <c r="B255" s="3" t="inlineStr">
        <is>
          <t>개발제한구역</t>
        </is>
      </c>
      <c r="C255" s="3" t="inlineStr">
        <is>
          <t>답</t>
        </is>
      </c>
      <c r="D255" s="3" t="inlineStr">
        <is>
          <t>답</t>
        </is>
      </c>
      <c r="E255" s="3" t="inlineStr">
        <is>
          <t>매매</t>
        </is>
      </c>
      <c r="F255" s="4" t="n">
        <v>39320</v>
      </c>
      <c r="G255" s="4" t="n">
        <v>3251</v>
      </c>
      <c r="H255" s="4" t="n">
        <v>983</v>
      </c>
      <c r="I255" s="5" t="n">
        <v>40</v>
      </c>
      <c r="J255" s="4" t="n">
        <v>31.9</v>
      </c>
      <c r="K255" s="3" t="inlineStr">
        <is>
          <t>대전 둔곡지구 인근 . 세종시 전답 매매</t>
        </is>
      </c>
      <c r="L255" s="6">
        <f>HYPERLINK("https://fin.land.naver.com/articles/2645317317", "매물Link")</f>
        <v/>
      </c>
      <c r="M255" s="6">
        <f>HYPERLINK("https://map.naver.com/p/search/세종특별자치시 금남면 달전리 669", "지도Link")</f>
        <v/>
      </c>
      <c r="N255" s="6">
        <f>HYPERLINK("http://www.eum.go.kr/web/ar/lu/luLandDet.jsp?pnu=3611034032106690000&amp;isNoScr=script&amp;mode=search", "토지이음")</f>
        <v/>
      </c>
      <c r="O255" s="3" t="inlineStr">
        <is>
          <t>유성대박</t>
        </is>
      </c>
      <c r="P255" s="3" t="n">
        <v>1</v>
      </c>
      <c r="Q255" s="3" t="n">
        <v>3251</v>
      </c>
      <c r="R255" s="3" t="inlineStr">
        <is>
          <t>지정되지않음</t>
        </is>
      </c>
      <c r="S255" s="3" t="inlineStr">
        <is>
          <t>답</t>
        </is>
      </c>
      <c r="T255" s="3" t="inlineStr">
        <is>
          <t>완경사</t>
        </is>
      </c>
      <c r="U255" s="3" t="inlineStr">
        <is>
          <t>부정형</t>
        </is>
      </c>
      <c r="V255" s="3" t="inlineStr">
        <is>
          <t>세로한면(가)</t>
        </is>
      </c>
    </row>
    <row r="256">
      <c r="A256" s="3" t="inlineStr">
        <is>
          <t>세종특별자치시 금남면 달전리 699-19</t>
        </is>
      </c>
      <c r="B256" s="3" t="inlineStr">
        <is>
          <t>제1종일반주거지역</t>
        </is>
      </c>
      <c r="C256" s="3" t="inlineStr">
        <is>
          <t>답</t>
        </is>
      </c>
      <c r="D256" s="3" t="inlineStr">
        <is>
          <t>답</t>
        </is>
      </c>
      <c r="E256" s="3" t="inlineStr">
        <is>
          <t>매매</t>
        </is>
      </c>
      <c r="F256" s="4" t="n">
        <v>169000</v>
      </c>
      <c r="G256" s="4" t="n">
        <v>2115</v>
      </c>
      <c r="H256" s="4" t="n">
        <v>640</v>
      </c>
      <c r="I256" s="5" t="n">
        <v>264.1</v>
      </c>
      <c r="J256" s="4" t="n">
        <v>108.3</v>
      </c>
      <c r="K256" s="3" t="inlineStr">
        <is>
          <t>용도지역  제1종일반주거지역  현재 지목  답</t>
        </is>
      </c>
      <c r="L256" s="6">
        <f>HYPERLINK("https://fin.land.naver.com/articles/2647244329", "매물Link")</f>
        <v/>
      </c>
      <c r="M256" s="6">
        <f>HYPERLINK("https://map.naver.com/p/search/세종특별자치시 금남면 달전리 699-19", "지도Link")</f>
        <v/>
      </c>
      <c r="N256" s="6">
        <f>HYPERLINK("http://www.eum.go.kr/web/ar/lu/luLandDet.jsp?pnu=3611034032106990019&amp;isNoScr=script&amp;mode=search", "토지이음")</f>
        <v/>
      </c>
      <c r="O256" s="3" t="inlineStr">
        <is>
          <t>정직한한국</t>
        </is>
      </c>
      <c r="P256" s="3" t="n">
        <v>1</v>
      </c>
      <c r="Q256" s="3" t="n">
        <v>470</v>
      </c>
      <c r="R256" s="3" t="inlineStr">
        <is>
          <t>지정되지않음</t>
        </is>
      </c>
      <c r="S256" s="3" t="inlineStr">
        <is>
          <t>답</t>
        </is>
      </c>
      <c r="T256" s="3" t="inlineStr">
        <is>
          <t>평지</t>
        </is>
      </c>
      <c r="U256" s="3" t="inlineStr">
        <is>
          <t>부정형</t>
        </is>
      </c>
      <c r="V256" s="3" t="inlineStr">
        <is>
          <t>세로한면(가)</t>
        </is>
      </c>
    </row>
    <row r="257">
      <c r="A257" s="3" t="inlineStr">
        <is>
          <t>세종특별자치시 금남면 달전리 80</t>
        </is>
      </c>
      <c r="B257" s="3" t="inlineStr">
        <is>
          <t>개발제한구역</t>
        </is>
      </c>
      <c r="C257" s="3" t="inlineStr">
        <is>
          <t>전</t>
        </is>
      </c>
      <c r="D257" s="3" t="inlineStr">
        <is>
          <t>전</t>
        </is>
      </c>
      <c r="E257" s="3" t="inlineStr">
        <is>
          <t>매매</t>
        </is>
      </c>
      <c r="F257" s="4" t="n">
        <v>29000</v>
      </c>
      <c r="G257" s="4" t="n">
        <v>1302</v>
      </c>
      <c r="H257" s="4" t="n">
        <v>394</v>
      </c>
      <c r="I257" s="5" t="n">
        <v>73.59999999999999</v>
      </c>
      <c r="J257" s="4" t="n">
        <v>28.8</v>
      </c>
      <c r="K257" s="3" t="inlineStr">
        <is>
          <t>산세좋은 최고급의 주말농장입니다</t>
        </is>
      </c>
      <c r="L257" s="6">
        <f>HYPERLINK("https://fin.land.naver.com/articles/2648193656", "매물Link")</f>
        <v/>
      </c>
      <c r="M257" s="6">
        <f>HYPERLINK("https://map.naver.com/p/search/세종특별자치시 금남면 달전리 80", "지도Link")</f>
        <v/>
      </c>
      <c r="N257" s="6">
        <f>HYPERLINK("http://www.eum.go.kr/web/ar/lu/luLandDet.jsp?pnu=3611034032100800000&amp;isNoScr=script&amp;mode=search", "토지이음")</f>
        <v/>
      </c>
      <c r="O257" s="3" t="inlineStr">
        <is>
          <t>복댕이</t>
        </is>
      </c>
      <c r="P257" s="3" t="n">
        <v>2</v>
      </c>
      <c r="Q257" s="3" t="n">
        <v>1302</v>
      </c>
      <c r="R257" s="3" t="inlineStr">
        <is>
          <t>지정되지않음</t>
        </is>
      </c>
      <c r="S257" s="3" t="inlineStr">
        <is>
          <t>전</t>
        </is>
      </c>
      <c r="T257" s="3" t="inlineStr">
        <is>
          <t>완경사</t>
        </is>
      </c>
      <c r="U257" s="3" t="inlineStr">
        <is>
          <t>부정형</t>
        </is>
      </c>
      <c r="V257" s="3" t="inlineStr">
        <is>
          <t>세로한면(불)</t>
        </is>
      </c>
    </row>
    <row r="258">
      <c r="A258" s="3" t="inlineStr">
        <is>
          <t>세종특별자치시 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HYPERLINK("https://fin.land.naver.com/articles/2647665778", "매물Link")</f>
        <v/>
      </c>
      <c r="M258" s="6">
        <f>HYPERLINK("https://map.naver.com/p/search/세종특별자치시 금남면 달전리 산10-1", "지도Link")</f>
        <v/>
      </c>
      <c r="N258" s="6">
        <f>HYPERLINK("http://www.eum.go.kr/web/ar/lu/luLandDet.jsp?pnu=3611034032200100001&amp;isNoScr=script&amp;mode=search", "토지이음")</f>
        <v/>
      </c>
      <c r="O258" s="3" t="inlineStr">
        <is>
          <t>코리아랜드</t>
        </is>
      </c>
      <c r="P258" s="3" t="n">
        <v>1</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세종특별자치시 금남면 달전리 산10-1</t>
        </is>
      </c>
      <c r="B259" s="3" t="inlineStr">
        <is>
          <t>개발제한구역</t>
        </is>
      </c>
      <c r="C259" s="3" t="inlineStr">
        <is>
          <t>임야</t>
        </is>
      </c>
      <c r="D259" s="3" t="inlineStr">
        <is>
          <t>임야</t>
        </is>
      </c>
      <c r="E259" s="3" t="inlineStr">
        <is>
          <t>매매</t>
        </is>
      </c>
      <c r="F259" s="4" t="n">
        <v>120000</v>
      </c>
      <c r="G259" s="4" t="n">
        <v>21481</v>
      </c>
      <c r="H259" s="4" t="n">
        <v>6498</v>
      </c>
      <c r="I259" s="5" t="n">
        <v>18.5</v>
      </c>
      <c r="J259" s="4" t="n">
        <v>3.2</v>
      </c>
      <c r="K259" s="3" t="inlineStr">
        <is>
          <t>세종시 금남면 달전리 산10의1외 3필지, 자연녹지, 개발제한구역</t>
        </is>
      </c>
      <c r="L259" s="6">
        <f>HYPERLINK("https://fin.land.naver.com/articles/2646008067", "매물Link")</f>
        <v/>
      </c>
      <c r="M259" s="6">
        <f>HYPERLINK("https://map.naver.com/p/search/세종특별자치시 금남면 달전리 산10-1", "지도Link")</f>
        <v/>
      </c>
      <c r="N259" s="6">
        <f>HYPERLINK("http://www.eum.go.kr/web/ar/lu/luLandDet.jsp?pnu=3611034032200100001&amp;isNoScr=script&amp;mode=search", "토지이음")</f>
        <v/>
      </c>
      <c r="O259" s="3" t="inlineStr">
        <is>
          <t>코리아랜드</t>
        </is>
      </c>
      <c r="P259" s="3" t="n">
        <v>2</v>
      </c>
      <c r="Q259" s="3" t="n">
        <v>16275</v>
      </c>
      <c r="R259" s="3" t="inlineStr">
        <is>
          <t>지정되지않음</t>
        </is>
      </c>
      <c r="S259" s="3" t="inlineStr">
        <is>
          <t>자연림</t>
        </is>
      </c>
      <c r="T259" s="3" t="inlineStr">
        <is>
          <t>완경사</t>
        </is>
      </c>
      <c r="U259" s="3" t="inlineStr">
        <is>
          <t>부정형</t>
        </is>
      </c>
      <c r="V259" s="3" t="inlineStr">
        <is>
          <t>맹지</t>
        </is>
      </c>
    </row>
    <row r="260">
      <c r="A260" s="3" t="inlineStr">
        <is>
          <t>세종특별자치시 금남면 달전리 산24-57</t>
        </is>
      </c>
      <c r="B260" s="3" t="inlineStr">
        <is>
          <t>개발제한구역</t>
        </is>
      </c>
      <c r="C260" s="3" t="inlineStr">
        <is>
          <t>임야</t>
        </is>
      </c>
      <c r="D260" s="3" t="inlineStr">
        <is>
          <t>임야</t>
        </is>
      </c>
      <c r="E260" s="3" t="inlineStr">
        <is>
          <t>매매</t>
        </is>
      </c>
      <c r="F260" s="4" t="n">
        <v>11850</v>
      </c>
      <c r="G260" s="4" t="n">
        <v>783</v>
      </c>
      <c r="H260" s="4" t="n">
        <v>237</v>
      </c>
      <c r="I260" s="5" t="n">
        <v>50</v>
      </c>
      <c r="J260" s="4" t="n">
        <v>3.2</v>
      </c>
      <c r="K260" s="3" t="inlineStr">
        <is>
          <t>임야이나 실제 사용은 밭으로 사용중
대전둔곡지구 인근에  있습니다.</t>
        </is>
      </c>
      <c r="L260" s="6">
        <f>HYPERLINK("https://fin.land.naver.com/articles/2650042771", "매물Link")</f>
        <v/>
      </c>
      <c r="M260" s="6">
        <f>HYPERLINK("https://map.naver.com/p/search/세종특별자치시 금남면 달전리 산24-57", "지도Link")</f>
        <v/>
      </c>
      <c r="N260" s="6">
        <f>HYPERLINK("http://www.eum.go.kr/web/ar/lu/luLandDet.jsp?pnu=3611034032200240057&amp;isNoScr=script&amp;mode=search", "토지이음")</f>
        <v/>
      </c>
      <c r="O260" s="3" t="inlineStr">
        <is>
          <t>가오드림</t>
        </is>
      </c>
      <c r="P260" s="3" t="n">
        <v>1</v>
      </c>
      <c r="Q260" s="3" t="n">
        <v>783</v>
      </c>
      <c r="R260" s="3" t="inlineStr">
        <is>
          <t>지정되지않음</t>
        </is>
      </c>
      <c r="S260" s="3" t="inlineStr">
        <is>
          <t>자연림</t>
        </is>
      </c>
      <c r="T260" s="3" t="inlineStr">
        <is>
          <t>급경사</t>
        </is>
      </c>
      <c r="U260" s="3" t="inlineStr">
        <is>
          <t>부정형</t>
        </is>
      </c>
      <c r="V260" s="3" t="inlineStr">
        <is>
          <t>세로한면(가)</t>
        </is>
      </c>
    </row>
    <row r="261">
      <c r="A261" s="3" t="inlineStr">
        <is>
          <t>세종특별자치시 금남면 달전리 산24-79</t>
        </is>
      </c>
      <c r="B261" s="3" t="inlineStr">
        <is>
          <t>개발제한구역</t>
        </is>
      </c>
      <c r="C261" s="3" t="inlineStr">
        <is>
          <t>임야</t>
        </is>
      </c>
      <c r="D261" s="3" t="inlineStr">
        <is>
          <t>임야</t>
        </is>
      </c>
      <c r="E261" s="3" t="inlineStr">
        <is>
          <t>매매</t>
        </is>
      </c>
      <c r="F261" s="4" t="n">
        <v>20000</v>
      </c>
      <c r="G261" s="4" t="n">
        <v>1701</v>
      </c>
      <c r="H261" s="4" t="n">
        <v>515</v>
      </c>
      <c r="I261" s="5" t="n">
        <v>38.8</v>
      </c>
      <c r="J261" s="4" t="n">
        <v>3.2</v>
      </c>
      <c r="K261" s="3" t="inlineStr">
        <is>
          <t>달전리 도로접한 토지매매</t>
        </is>
      </c>
      <c r="L261" s="6">
        <f>HYPERLINK("https://fin.land.naver.com/articles/2647112120", "매물Link")</f>
        <v/>
      </c>
      <c r="M261" s="6">
        <f>HYPERLINK("https://map.naver.com/p/search/세종특별자치시 금남면 달전리 산24-79", "지도Link")</f>
        <v/>
      </c>
      <c r="N261" s="6">
        <f>HYPERLINK("http://www.eum.go.kr/web/ar/lu/luLandDet.jsp?pnu=3611034032200240079&amp;isNoScr=script&amp;mode=search", "토지이음")</f>
        <v/>
      </c>
      <c r="O261" s="3" t="inlineStr">
        <is>
          <t>THE행복</t>
        </is>
      </c>
      <c r="P261" s="3" t="n">
        <v>1</v>
      </c>
      <c r="Q261" s="3" t="n">
        <v>1702</v>
      </c>
      <c r="R261" s="3" t="inlineStr">
        <is>
          <t>지정되지않음</t>
        </is>
      </c>
      <c r="S261" s="3" t="inlineStr">
        <is>
          <t>자연림</t>
        </is>
      </c>
      <c r="T261" s="3" t="inlineStr">
        <is>
          <t>급경사</t>
        </is>
      </c>
      <c r="U261" s="3" t="inlineStr">
        <is>
          <t>부정형</t>
        </is>
      </c>
      <c r="V261" s="3" t="inlineStr">
        <is>
          <t>세로한면(가)</t>
        </is>
      </c>
    </row>
    <row r="262">
      <c r="A262" s="3" t="inlineStr">
        <is>
          <t>세종특별자치시 금남면 달전리 산71</t>
        </is>
      </c>
      <c r="B262" s="3" t="inlineStr">
        <is>
          <t>개발제한구역</t>
        </is>
      </c>
      <c r="C262" s="3" t="inlineStr">
        <is>
          <t>임야</t>
        </is>
      </c>
      <c r="D262" s="3" t="inlineStr">
        <is>
          <t>임야</t>
        </is>
      </c>
      <c r="E262" s="3" t="inlineStr">
        <is>
          <t>매매</t>
        </is>
      </c>
      <c r="F262" s="4" t="n">
        <v>87000</v>
      </c>
      <c r="G262" s="4" t="n">
        <v>29008</v>
      </c>
      <c r="H262" s="4" t="n">
        <v>8775</v>
      </c>
      <c r="I262" s="5" t="n">
        <v>9.9</v>
      </c>
      <c r="J262" s="4" t="n">
        <v>3.1</v>
      </c>
      <c r="K262" s="3" t="inlineStr">
        <is>
          <t>활용도에 따라 다양한 가능성,임야 투자처로 추천</t>
        </is>
      </c>
      <c r="L262" s="6">
        <f>HYPERLINK("https://fin.land.naver.com/articles/2644795144", "매물Link")</f>
        <v/>
      </c>
      <c r="M262" s="6">
        <f>HYPERLINK("https://map.naver.com/p/search/세종특별자치시 금남면 달전리 산71", "지도Link")</f>
        <v/>
      </c>
      <c r="N262" s="6">
        <f>HYPERLINK("http://www.eum.go.kr/web/ar/lu/luLandDet.jsp?pnu=3611034032200710000&amp;isNoScr=script&amp;mode=search", "토지이음")</f>
        <v/>
      </c>
      <c r="O262" s="3" t="inlineStr">
        <is>
          <t>가치잇는</t>
        </is>
      </c>
      <c r="P262" s="3" t="n">
        <v>1</v>
      </c>
      <c r="Q262" s="3" t="n">
        <v>38678</v>
      </c>
      <c r="R262" s="3" t="inlineStr">
        <is>
          <t>지정되지않음</t>
        </is>
      </c>
      <c r="S262" s="3" t="inlineStr">
        <is>
          <t>자연림</t>
        </is>
      </c>
      <c r="T262" s="3" t="inlineStr">
        <is>
          <t>완경사</t>
        </is>
      </c>
      <c r="U262" s="3" t="inlineStr">
        <is>
          <t>부정형</t>
        </is>
      </c>
      <c r="V262" s="3" t="inlineStr">
        <is>
          <t>맹지</t>
        </is>
      </c>
    </row>
    <row r="263">
      <c r="A263" s="3" t="inlineStr">
        <is>
          <t>세종특별자치시 금남면 달전리 산9-7</t>
        </is>
      </c>
      <c r="B263" s="3" t="inlineStr">
        <is>
          <t>개발제한구역</t>
        </is>
      </c>
      <c r="C263" s="3" t="inlineStr">
        <is>
          <t>임야</t>
        </is>
      </c>
      <c r="D263" s="3" t="inlineStr">
        <is>
          <t>임야</t>
        </is>
      </c>
      <c r="E263" s="3" t="inlineStr">
        <is>
          <t>매매</t>
        </is>
      </c>
      <c r="F263" s="4" t="n">
        <v>60000</v>
      </c>
      <c r="G263" s="4" t="n">
        <v>8946</v>
      </c>
      <c r="H263" s="4" t="n">
        <v>2706</v>
      </c>
      <c r="I263" s="5" t="n">
        <v>22.2</v>
      </c>
      <c r="J263" s="4" t="n">
        <v>3.2</v>
      </c>
      <c r="K263" s="3" t="inlineStr">
        <is>
          <t>nan</t>
        </is>
      </c>
      <c r="L263" s="6">
        <f>HYPERLINK("https://fin.land.naver.com/articles/2646798554", "매물Link")</f>
        <v/>
      </c>
      <c r="M263" s="6">
        <f>HYPERLINK("https://map.naver.com/p/search/세종특별자치시 금남면 달전리 산9-7", "지도Link")</f>
        <v/>
      </c>
      <c r="N263" s="6">
        <f>HYPERLINK("http://www.eum.go.kr/web/ar/lu/luLandDet.jsp?pnu=3611034032200090007&amp;isNoScr=script&amp;mode=search", "토지이음")</f>
        <v/>
      </c>
      <c r="O263" s="3" t="inlineStr">
        <is>
          <t>가치잇는</t>
        </is>
      </c>
      <c r="P263" s="3" t="n">
        <v>2</v>
      </c>
      <c r="Q263" s="3" t="n">
        <v>8946</v>
      </c>
      <c r="R263" s="3" t="inlineStr">
        <is>
          <t>지정되지않음</t>
        </is>
      </c>
      <c r="S263" s="3" t="inlineStr">
        <is>
          <t>자연림</t>
        </is>
      </c>
      <c r="T263" s="3" t="inlineStr">
        <is>
          <t>완경사</t>
        </is>
      </c>
      <c r="U263" s="3" t="inlineStr">
        <is>
          <t>사다리형</t>
        </is>
      </c>
      <c r="V263" s="3" t="inlineStr">
        <is>
          <t>맹지</t>
        </is>
      </c>
    </row>
    <row r="264">
      <c r="A264" s="3" t="inlineStr">
        <is>
          <t>세종특별자치시 금남면 대박리 175</t>
        </is>
      </c>
      <c r="B264" s="3" t="inlineStr">
        <is>
          <t>개발제한구역</t>
        </is>
      </c>
      <c r="C264" s="3" t="inlineStr">
        <is>
          <t>전</t>
        </is>
      </c>
      <c r="D264" s="3" t="inlineStr">
        <is>
          <t>전</t>
        </is>
      </c>
      <c r="E264" s="3" t="inlineStr">
        <is>
          <t>매매</t>
        </is>
      </c>
      <c r="F264" s="4" t="n">
        <v>50000</v>
      </c>
      <c r="G264" s="4" t="n">
        <v>1957</v>
      </c>
      <c r="H264" s="4" t="n">
        <v>592</v>
      </c>
      <c r="I264" s="5" t="n">
        <v>84.5</v>
      </c>
      <c r="J264" s="4" t="n">
        <v>54.4</v>
      </c>
      <c r="K264" s="3" t="inlineStr">
        <is>
          <t>도로에서 150m떨어진 밭.</t>
        </is>
      </c>
      <c r="L264" s="6">
        <f>HYPERLINK("https://fin.land.naver.com/articles/2648855606", "매물Link")</f>
        <v/>
      </c>
      <c r="M264" s="6">
        <f>HYPERLINK("https://map.naver.com/p/search/세종특별자치시 금남면 대박리 175", "지도Link")</f>
        <v/>
      </c>
      <c r="N264" s="6">
        <f>HYPERLINK("http://www.eum.go.kr/web/ar/lu/luLandDet.jsp?pnu=3611034034101750000&amp;isNoScr=script&amp;mode=search", "토지이음")</f>
        <v/>
      </c>
      <c r="O264" s="3" t="inlineStr">
        <is>
          <t>-</t>
        </is>
      </c>
      <c r="P264" s="3" t="n">
        <v>1</v>
      </c>
      <c r="Q264" s="3" t="n">
        <v>1957</v>
      </c>
      <c r="R264" s="3" t="inlineStr">
        <is>
          <t>지정되지않음</t>
        </is>
      </c>
      <c r="S264" s="3" t="inlineStr">
        <is>
          <t>전</t>
        </is>
      </c>
      <c r="T264" s="3" t="inlineStr">
        <is>
          <t>완경사</t>
        </is>
      </c>
      <c r="U264" s="3" t="inlineStr">
        <is>
          <t>부정형</t>
        </is>
      </c>
      <c r="V264" s="3" t="inlineStr">
        <is>
          <t>세로한면(가)</t>
        </is>
      </c>
    </row>
    <row r="265">
      <c r="A265" s="3" t="inlineStr">
        <is>
          <t>세종특별자치시 금남면 대박리 242-11</t>
        </is>
      </c>
      <c r="B265" s="3" t="inlineStr">
        <is>
          <t>개발제한구역</t>
        </is>
      </c>
      <c r="C265" s="3" t="inlineStr">
        <is>
          <t>답</t>
        </is>
      </c>
      <c r="D265" s="3" t="inlineStr">
        <is>
          <t>답</t>
        </is>
      </c>
      <c r="E265" s="3" t="inlineStr">
        <is>
          <t>매매</t>
        </is>
      </c>
      <c r="F265" s="4" t="n">
        <v>49840</v>
      </c>
      <c r="G265" s="4" t="n">
        <v>2355</v>
      </c>
      <c r="H265" s="4" t="n">
        <v>712</v>
      </c>
      <c r="I265" s="5" t="n">
        <v>70</v>
      </c>
      <c r="J265" s="4" t="n">
        <v>38.5</v>
      </c>
      <c r="K265" s="3" t="inlineStr">
        <is>
          <t>도로 접해있는 답 I 경지정리된 농지</t>
        </is>
      </c>
      <c r="L265" s="6">
        <f>HYPERLINK("https://fin.land.naver.com/articles/2644580769", "매물Link")</f>
        <v/>
      </c>
      <c r="M265" s="6">
        <f>HYPERLINK("https://map.naver.com/p/search/세종특별자치시 금남면 대박리 242-11", "지도Link")</f>
        <v/>
      </c>
      <c r="N265" s="6">
        <f>HYPERLINK("http://www.eum.go.kr/web/ar/lu/luLandDet.jsp?pnu=3611034034102420011&amp;isNoScr=script&amp;mode=search", "토지이음")</f>
        <v/>
      </c>
      <c r="O265" s="3" t="inlineStr">
        <is>
          <t>옥수</t>
        </is>
      </c>
      <c r="P265" s="3" t="n">
        <v>1</v>
      </c>
      <c r="Q265" s="3" t="n">
        <v>2355</v>
      </c>
      <c r="R265" s="3" t="inlineStr">
        <is>
          <t>지정되지않음</t>
        </is>
      </c>
      <c r="S265" s="3" t="inlineStr">
        <is>
          <t>답</t>
        </is>
      </c>
      <c r="T265" s="3" t="inlineStr">
        <is>
          <t>평지</t>
        </is>
      </c>
      <c r="U265" s="3" t="inlineStr">
        <is>
          <t>세로장방</t>
        </is>
      </c>
      <c r="V265" s="3" t="inlineStr">
        <is>
          <t>세로한면(가)</t>
        </is>
      </c>
    </row>
    <row r="266">
      <c r="A266" s="3" t="inlineStr">
        <is>
          <t>세종특별자치시 금남면 대박리 243-14</t>
        </is>
      </c>
      <c r="B266" s="3" t="inlineStr">
        <is>
          <t>개발제한구역</t>
        </is>
      </c>
      <c r="C266" s="3" t="inlineStr">
        <is>
          <t>답</t>
        </is>
      </c>
      <c r="D266" s="3" t="inlineStr">
        <is>
          <t>답</t>
        </is>
      </c>
      <c r="E266" s="3" t="inlineStr">
        <is>
          <t>매매</t>
        </is>
      </c>
      <c r="F266" s="4" t="n">
        <v>62650</v>
      </c>
      <c r="G266" s="4" t="n">
        <v>2961</v>
      </c>
      <c r="H266" s="4" t="n">
        <v>896</v>
      </c>
      <c r="I266" s="5" t="n">
        <v>69.90000000000001</v>
      </c>
      <c r="J266" s="4" t="n">
        <v>38.5</v>
      </c>
      <c r="K266" s="3" t="inlineStr">
        <is>
          <t>경지정리된 농지 I 도로 접한 땅</t>
        </is>
      </c>
      <c r="L266" s="6">
        <f>HYPERLINK("https://fin.land.naver.com/articles/2644581351", "매물Link")</f>
        <v/>
      </c>
      <c r="M266" s="6">
        <f>HYPERLINK("https://map.naver.com/p/search/세종특별자치시 금남면 대박리 243-14", "지도Link")</f>
        <v/>
      </c>
      <c r="N266" s="6">
        <f>HYPERLINK("http://www.eum.go.kr/web/ar/lu/luLandDet.jsp?pnu=3611034034102430014&amp;isNoScr=script&amp;mode=search", "토지이음")</f>
        <v/>
      </c>
      <c r="O266" s="3" t="inlineStr">
        <is>
          <t>옥수</t>
        </is>
      </c>
      <c r="P266" s="3" t="n">
        <v>1</v>
      </c>
      <c r="Q266" s="3" t="n">
        <v>2961</v>
      </c>
      <c r="R266" s="3" t="inlineStr">
        <is>
          <t>지정되지않음</t>
        </is>
      </c>
      <c r="S266" s="3" t="inlineStr">
        <is>
          <t>답</t>
        </is>
      </c>
      <c r="T266" s="3" t="inlineStr">
        <is>
          <t>평지</t>
        </is>
      </c>
      <c r="U266" s="3" t="inlineStr">
        <is>
          <t>세로장방</t>
        </is>
      </c>
      <c r="V266" s="3" t="inlineStr">
        <is>
          <t>세로한면(가)</t>
        </is>
      </c>
    </row>
    <row r="267">
      <c r="A267" s="3" t="inlineStr">
        <is>
          <t>세종특별자치시 금남면 대박리 313-47</t>
        </is>
      </c>
      <c r="B267" s="3" t="inlineStr">
        <is>
          <t>보전관리지역</t>
        </is>
      </c>
      <c r="C267" s="3" t="inlineStr">
        <is>
          <t>대</t>
        </is>
      </c>
      <c r="D267" s="3" t="inlineStr">
        <is>
          <t>대</t>
        </is>
      </c>
      <c r="E267" s="3" t="inlineStr">
        <is>
          <t>매매</t>
        </is>
      </c>
      <c r="F267" s="4" t="n">
        <v>44100</v>
      </c>
      <c r="G267" s="4" t="n">
        <v>425</v>
      </c>
      <c r="H267" s="4" t="n">
        <v>129</v>
      </c>
      <c r="I267" s="5" t="n">
        <v>341.9</v>
      </c>
      <c r="J267" s="4" t="n">
        <v>175.4</v>
      </c>
      <c r="K267" s="3" t="inlineStr">
        <is>
          <t>세종 뷰 좋고 투자가치 좋은 전원주택지</t>
        </is>
      </c>
      <c r="L267" s="6">
        <f>HYPERLINK("https://fin.land.naver.com/articles/2649811582", "매물Link")</f>
        <v/>
      </c>
      <c r="M267" s="6">
        <f>HYPERLINK("https://map.naver.com/p/search/세종특별자치시 금남면 대박리 313-47", "지도Link")</f>
        <v/>
      </c>
      <c r="N267" s="6">
        <f>HYPERLINK("http://www.eum.go.kr/web/ar/lu/luLandDet.jsp?pnu=3611034034103130047&amp;isNoScr=script&amp;mode=search", "토지이음")</f>
        <v/>
      </c>
      <c r="O267" s="3" t="inlineStr">
        <is>
          <t>미소</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세종특별자치시 금남면 대박리 313-47</t>
        </is>
      </c>
      <c r="B268" s="3" t="inlineStr">
        <is>
          <t>보전관리지역</t>
        </is>
      </c>
      <c r="C268" s="3" t="inlineStr">
        <is>
          <t>대</t>
        </is>
      </c>
      <c r="D268" s="3" t="inlineStr">
        <is>
          <t>대</t>
        </is>
      </c>
      <c r="E268" s="3" t="inlineStr">
        <is>
          <t>매매</t>
        </is>
      </c>
      <c r="F268" s="4" t="n">
        <v>44200</v>
      </c>
      <c r="G268" s="4" t="n">
        <v>425</v>
      </c>
      <c r="H268" s="4" t="n">
        <v>129</v>
      </c>
      <c r="I268" s="5" t="n">
        <v>342.6</v>
      </c>
      <c r="J268" s="4" t="n">
        <v>175.4</v>
      </c>
      <c r="K268" s="3" t="inlineStr">
        <is>
          <t>4생활옆 대박리 전원주택지</t>
        </is>
      </c>
      <c r="L268" s="6">
        <f>HYPERLINK("https://fin.land.naver.com/articles/2646292640", "매물Link")</f>
        <v/>
      </c>
      <c r="M268" s="6">
        <f>HYPERLINK("https://map.naver.com/p/search/세종특별자치시 금남면 대박리 313-47", "지도Link")</f>
        <v/>
      </c>
      <c r="N268" s="6">
        <f>HYPERLINK("http://www.eum.go.kr/web/ar/lu/luLandDet.jsp?pnu=3611034034103130047&amp;isNoScr=script&amp;mode=search", "토지이음")</f>
        <v/>
      </c>
      <c r="O268" s="3" t="inlineStr">
        <is>
          <t>세종천지</t>
        </is>
      </c>
      <c r="P268" s="3" t="n">
        <v>1</v>
      </c>
      <c r="Q268" s="3" t="n">
        <v>425</v>
      </c>
      <c r="R268" s="3" t="inlineStr">
        <is>
          <t>지정되지않음</t>
        </is>
      </c>
      <c r="S268" s="3" t="inlineStr">
        <is>
          <t>주거기타</t>
        </is>
      </c>
      <c r="T268" s="3" t="inlineStr">
        <is>
          <t>완경사</t>
        </is>
      </c>
      <c r="U268" s="3" t="inlineStr">
        <is>
          <t>사다리형</t>
        </is>
      </c>
      <c r="V268" s="3" t="inlineStr">
        <is>
          <t>세로한면(가)</t>
        </is>
      </c>
    </row>
    <row r="269">
      <c r="A269" s="3" t="inlineStr">
        <is>
          <t>세종특별자치시 금남면 대박리 313-53</t>
        </is>
      </c>
      <c r="B269" s="3" t="inlineStr">
        <is>
          <t>보전관리지역</t>
        </is>
      </c>
      <c r="C269" s="3" t="inlineStr">
        <is>
          <t>대</t>
        </is>
      </c>
      <c r="D269" s="3" t="inlineStr">
        <is>
          <t>대</t>
        </is>
      </c>
      <c r="E269" s="3" t="inlineStr">
        <is>
          <t>매매</t>
        </is>
      </c>
      <c r="F269" s="4" t="n">
        <v>49000</v>
      </c>
      <c r="G269" s="4" t="n">
        <v>460</v>
      </c>
      <c r="H269" s="4" t="n">
        <v>139</v>
      </c>
      <c r="I269" s="5" t="n">
        <v>352.5</v>
      </c>
      <c r="J269" s="4" t="n">
        <v>175.4</v>
      </c>
      <c r="K269" s="3" t="inlineStr">
        <is>
          <t>상하수도 전기통신, 행복도시 5분거리</t>
        </is>
      </c>
      <c r="L269" s="6">
        <f>HYPERLINK("https://fin.land.naver.com/articles/2645606795", "매물Link")</f>
        <v/>
      </c>
      <c r="M269" s="6">
        <f>HYPERLINK("https://map.naver.com/p/search/세종특별자치시 금남면 대박리 313-53", "지도Link")</f>
        <v/>
      </c>
      <c r="N269" s="6">
        <f>HYPERLINK("http://www.eum.go.kr/web/ar/lu/luLandDet.jsp?pnu=3611034034103130053&amp;isNoScr=script&amp;mode=search", "토지이음")</f>
        <v/>
      </c>
      <c r="O269" s="3" t="inlineStr">
        <is>
          <t>미스터홈즈강남지사</t>
        </is>
      </c>
      <c r="P269" s="3" t="n">
        <v>1</v>
      </c>
      <c r="Q269" s="3" t="n">
        <v>428</v>
      </c>
      <c r="R269" s="3" t="inlineStr">
        <is>
          <t>지정되지않음</t>
        </is>
      </c>
      <c r="S269" s="3" t="inlineStr">
        <is>
          <t>주거나지</t>
        </is>
      </c>
      <c r="T269" s="3" t="inlineStr">
        <is>
          <t>완경사</t>
        </is>
      </c>
      <c r="U269" s="3" t="inlineStr">
        <is>
          <t>사다리형</t>
        </is>
      </c>
      <c r="V269" s="3" t="inlineStr">
        <is>
          <t>세로한면(가)</t>
        </is>
      </c>
    </row>
    <row r="270">
      <c r="A270" s="3" t="inlineStr">
        <is>
          <t>세종특별자치시 금남면 대박리 331</t>
        </is>
      </c>
      <c r="B270" s="3" t="inlineStr">
        <is>
          <t>개발제한구역</t>
        </is>
      </c>
      <c r="C270" s="3" t="inlineStr">
        <is>
          <t>대</t>
        </is>
      </c>
      <c r="D270" s="3" t="inlineStr">
        <is>
          <t>대</t>
        </is>
      </c>
      <c r="E270" s="3" t="inlineStr">
        <is>
          <t>매매</t>
        </is>
      </c>
      <c r="F270" s="4" t="n">
        <v>132300</v>
      </c>
      <c r="G270" s="4" t="n">
        <v>1250</v>
      </c>
      <c r="H270" s="4" t="n">
        <v>378</v>
      </c>
      <c r="I270" s="5" t="n">
        <v>350</v>
      </c>
      <c r="J270" s="4" t="n">
        <v>139</v>
      </c>
      <c r="K270" s="3" t="inlineStr">
        <is>
          <t>세종시청에서 차량으로15분소요,세종시와대전시인접한토지</t>
        </is>
      </c>
      <c r="L270" s="6">
        <f>HYPERLINK("https://fin.land.naver.com/articles/2646092003", "매물Link")</f>
        <v/>
      </c>
      <c r="M270" s="6">
        <f>HYPERLINK("https://map.naver.com/p/search/세종특별자치시 금남면 대박리 331", "지도Link")</f>
        <v/>
      </c>
      <c r="N270" s="6">
        <f>HYPERLINK("http://www.eum.go.kr/web/ar/lu/luLandDet.jsp?pnu=3611034034103310000&amp;isNoScr=script&amp;mode=search", "토지이음")</f>
        <v/>
      </c>
      <c r="O270" s="3" t="inlineStr">
        <is>
          <t>담뜰</t>
        </is>
      </c>
      <c r="P270" s="3" t="n">
        <v>1</v>
      </c>
      <c r="Q270" s="3" t="n">
        <v>1250</v>
      </c>
      <c r="R270" s="3" t="inlineStr">
        <is>
          <t>지정되지않음</t>
        </is>
      </c>
      <c r="S270" s="3" t="inlineStr">
        <is>
          <t>단독</t>
        </is>
      </c>
      <c r="T270" s="3" t="inlineStr">
        <is>
          <t>완경사</t>
        </is>
      </c>
      <c r="U270" s="3" t="inlineStr">
        <is>
          <t>부정형</t>
        </is>
      </c>
      <c r="V270" s="3" t="inlineStr">
        <is>
          <t>세로한면(불)</t>
        </is>
      </c>
    </row>
    <row r="271">
      <c r="A271" s="3" t="inlineStr">
        <is>
          <t>세종특별자치시 금남면 대박리 351</t>
        </is>
      </c>
      <c r="B271" s="3" t="inlineStr">
        <is>
          <t>개발제한구역</t>
        </is>
      </c>
      <c r="C271" s="3" t="inlineStr">
        <is>
          <t>답</t>
        </is>
      </c>
      <c r="D271" s="3" t="inlineStr">
        <is>
          <t>답</t>
        </is>
      </c>
      <c r="E271" s="3" t="inlineStr">
        <is>
          <t>매매</t>
        </is>
      </c>
      <c r="F271" s="4" t="n">
        <v>25000</v>
      </c>
      <c r="G271" s="4" t="n">
        <v>1560</v>
      </c>
      <c r="H271" s="4" t="n">
        <v>472</v>
      </c>
      <c r="I271" s="5" t="n">
        <v>53</v>
      </c>
      <c r="J271" s="4" t="n">
        <v>30.2</v>
      </c>
      <c r="K271" s="3" t="inlineStr">
        <is>
          <t>마을 안쪽에 위치한 조용한 밭입니다.</t>
        </is>
      </c>
      <c r="L271" s="6">
        <f>HYPERLINK("https://fin.land.naver.com/articles/2647841592", "매물Link")</f>
        <v/>
      </c>
      <c r="M271" s="6">
        <f>HYPERLINK("https://map.naver.com/p/search/세종특별자치시 금남면 대박리 351", "지도Link")</f>
        <v/>
      </c>
      <c r="N271" s="6">
        <f>HYPERLINK("http://www.eum.go.kr/web/ar/lu/luLandDet.jsp?pnu=3611034034103510000&amp;isNoScr=script&amp;mode=search", "토지이음")</f>
        <v/>
      </c>
      <c r="O271" s="3" t="inlineStr">
        <is>
          <t>대박</t>
        </is>
      </c>
      <c r="P271" s="3" t="n">
        <v>1</v>
      </c>
      <c r="Q271" s="3" t="n">
        <v>1560</v>
      </c>
      <c r="R271" s="3" t="inlineStr">
        <is>
          <t>지정되지않음</t>
        </is>
      </c>
      <c r="S271" s="3" t="inlineStr">
        <is>
          <t>답</t>
        </is>
      </c>
      <c r="T271" s="3" t="inlineStr">
        <is>
          <t>완경사</t>
        </is>
      </c>
      <c r="U271" s="3" t="inlineStr">
        <is>
          <t>부정형</t>
        </is>
      </c>
      <c r="V271" s="3" t="inlineStr">
        <is>
          <t>맹지</t>
        </is>
      </c>
    </row>
    <row r="272">
      <c r="A272" s="3" t="inlineStr">
        <is>
          <t>세종특별자치시 금남면 대박리 367-17</t>
        </is>
      </c>
      <c r="B272" s="3" t="inlineStr">
        <is>
          <t>보전관리지역</t>
        </is>
      </c>
      <c r="C272" s="3" t="inlineStr">
        <is>
          <t>임야</t>
        </is>
      </c>
      <c r="D272" s="3" t="inlineStr">
        <is>
          <t>임야</t>
        </is>
      </c>
      <c r="E272" s="3" t="inlineStr">
        <is>
          <t>매매</t>
        </is>
      </c>
      <c r="F272" s="4" t="n">
        <v>6000</v>
      </c>
      <c r="G272" s="4" t="n">
        <v>133</v>
      </c>
      <c r="H272" s="4" t="n">
        <v>40</v>
      </c>
      <c r="I272" s="5" t="n">
        <v>150</v>
      </c>
      <c r="J272" s="4" t="n">
        <v>57.3</v>
      </c>
      <c r="K272" s="3" t="inlineStr">
        <is>
          <t>소액투자추천 세종행복도시원내인접 계획관리</t>
        </is>
      </c>
      <c r="L272" s="6">
        <f>HYPERLINK("https://fin.land.naver.com/articles/2649199751", "매물Link")</f>
        <v/>
      </c>
      <c r="M272" s="6">
        <f>HYPERLINK("https://map.naver.com/p/search/세종특별자치시 금남면 대박리 367-17", "지도Link")</f>
        <v/>
      </c>
      <c r="N272" s="6">
        <f>HYPERLINK("http://www.eum.go.kr/web/ar/lu/luLandDet.jsp?pnu=3611034034103670017&amp;isNoScr=script&amp;mode=search", "토지이음")</f>
        <v/>
      </c>
      <c r="O272" s="3" t="inlineStr">
        <is>
          <t>뉴엘리트탑</t>
        </is>
      </c>
      <c r="P272" s="3" t="n">
        <v>1</v>
      </c>
      <c r="Q272" s="3" t="n">
        <v>133</v>
      </c>
      <c r="R272" s="3" t="inlineStr">
        <is>
          <t>계획관리지역</t>
        </is>
      </c>
      <c r="S272" s="3" t="inlineStr">
        <is>
          <t>도로등</t>
        </is>
      </c>
      <c r="T272" s="3" t="inlineStr">
        <is>
          <t>완경사</t>
        </is>
      </c>
      <c r="U272" s="3" t="inlineStr">
        <is>
          <t>부정형</t>
        </is>
      </c>
      <c r="V272" s="3" t="inlineStr">
        <is>
          <t>지정되지않음</t>
        </is>
      </c>
    </row>
    <row r="273">
      <c r="A273" s="3" t="inlineStr">
        <is>
          <t>세종특별자치시 금남면 대박리 368</t>
        </is>
      </c>
      <c r="B273" s="3" t="inlineStr">
        <is>
          <t>보전관리지역</t>
        </is>
      </c>
      <c r="C273" s="3" t="inlineStr">
        <is>
          <t>전</t>
        </is>
      </c>
      <c r="D273" s="3" t="inlineStr">
        <is>
          <t>전</t>
        </is>
      </c>
      <c r="E273" s="3" t="inlineStr">
        <is>
          <t>매매</t>
        </is>
      </c>
      <c r="F273" s="4" t="n">
        <v>48000</v>
      </c>
      <c r="G273" s="4" t="n">
        <v>504</v>
      </c>
      <c r="H273" s="4" t="n">
        <v>152</v>
      </c>
      <c r="I273" s="5" t="n">
        <v>315.8</v>
      </c>
      <c r="J273" s="4" t="n">
        <v>105.5</v>
      </c>
      <c r="K273" s="3" t="inlineStr">
        <is>
          <t>도로에 길게 접한 활용성이 좋은 택지</t>
        </is>
      </c>
      <c r="L273" s="6">
        <f>HYPERLINK("https://fin.land.naver.com/articles/2647722359", "매물Link")</f>
        <v/>
      </c>
      <c r="M273" s="6">
        <f>HYPERLINK("https://map.naver.com/p/search/세종특별자치시 금남면 대박리 368", "지도Link")</f>
        <v/>
      </c>
      <c r="N273" s="6">
        <f>HYPERLINK("http://www.eum.go.kr/web/ar/lu/luLandDet.jsp?pnu=3611034034103680000&amp;isNoScr=script&amp;mode=search", "토지이음")</f>
        <v/>
      </c>
      <c r="O273" s="3" t="inlineStr">
        <is>
          <t>세종제일</t>
        </is>
      </c>
      <c r="P273" s="3" t="n">
        <v>1</v>
      </c>
      <c r="Q273" s="3" t="n">
        <v>438</v>
      </c>
      <c r="R273" s="3" t="inlineStr">
        <is>
          <t>지정되지않음</t>
        </is>
      </c>
      <c r="S273" s="3" t="inlineStr">
        <is>
          <t>전</t>
        </is>
      </c>
      <c r="T273" s="3" t="inlineStr">
        <is>
          <t>완경사</t>
        </is>
      </c>
      <c r="U273" s="3" t="inlineStr">
        <is>
          <t>부정형</t>
        </is>
      </c>
      <c r="V273" s="3" t="inlineStr">
        <is>
          <t>세로한면(가)</t>
        </is>
      </c>
    </row>
    <row r="274">
      <c r="A274" s="3" t="inlineStr">
        <is>
          <t>세종특별자치시 금남면 대박리 369-3</t>
        </is>
      </c>
      <c r="B274" s="3" t="inlineStr">
        <is>
          <t>계획관리지역</t>
        </is>
      </c>
      <c r="C274" s="3" t="inlineStr">
        <is>
          <t>대</t>
        </is>
      </c>
      <c r="D274" s="3" t="inlineStr">
        <is>
          <t>대</t>
        </is>
      </c>
      <c r="E274" s="3" t="inlineStr">
        <is>
          <t>매매</t>
        </is>
      </c>
      <c r="F274" s="4" t="n">
        <v>80000</v>
      </c>
      <c r="G274" s="4" t="n">
        <v>562</v>
      </c>
      <c r="H274" s="4" t="n">
        <v>170</v>
      </c>
      <c r="I274" s="5" t="n">
        <v>470.6</v>
      </c>
      <c r="J274" s="4" t="n">
        <v>191.5</v>
      </c>
      <c r="K274" s="3" t="inlineStr">
        <is>
          <t>급매, 계획관리지역, 지목이대로바로건축가능, 협의,절충, 주위인프라굿</t>
        </is>
      </c>
      <c r="L274" s="6">
        <f>HYPERLINK("https://fin.land.naver.com/articles/2647506346", "매물Link")</f>
        <v/>
      </c>
      <c r="M274" s="6">
        <f>HYPERLINK("https://map.naver.com/p/search/세종특별자치시 금남면 대박리 369-3", "지도Link")</f>
        <v/>
      </c>
      <c r="N274" s="6">
        <f>HYPERLINK("http://www.eum.go.kr/web/ar/lu/luLandDet.jsp?pnu=3611034034103690003&amp;isNoScr=script&amp;mode=search", "토지이음")</f>
        <v/>
      </c>
      <c r="O274" s="3" t="inlineStr">
        <is>
          <t>세종한울</t>
        </is>
      </c>
      <c r="P274" s="3" t="n">
        <v>1</v>
      </c>
      <c r="Q274" s="3" t="n">
        <v>562</v>
      </c>
      <c r="R274" s="3" t="inlineStr">
        <is>
          <t>지정되지않음</t>
        </is>
      </c>
      <c r="S274" s="3" t="inlineStr">
        <is>
          <t>주거나지</t>
        </is>
      </c>
      <c r="T274" s="3" t="inlineStr">
        <is>
          <t>완경사</t>
        </is>
      </c>
      <c r="U274" s="3" t="inlineStr">
        <is>
          <t>사다리형</t>
        </is>
      </c>
      <c r="V274" s="3" t="inlineStr">
        <is>
          <t>세로한면(가)</t>
        </is>
      </c>
    </row>
    <row r="275">
      <c r="A275" s="3" t="inlineStr">
        <is>
          <t>세종특별자치시 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2차선 도로옆 계획관리</t>
        </is>
      </c>
      <c r="L275" s="6">
        <f>HYPERLINK("https://fin.land.naver.com/articles/2645470099", "매물Link")</f>
        <v/>
      </c>
      <c r="M275" s="6">
        <f>HYPERLINK("https://map.naver.com/p/search/세종특별자치시 금남면 대박리 71-4", "지도Link")</f>
        <v/>
      </c>
      <c r="N275" s="6">
        <f>HYPERLINK("http://www.eum.go.kr/web/ar/lu/luLandDet.jsp?pnu=3611034034100710004&amp;isNoScr=script&amp;mode=search", "토지이음")</f>
        <v/>
      </c>
      <c r="O275" s="3" t="inlineStr">
        <is>
          <t>강아지풀</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세종특별자치시 금남면 대박리 71-4</t>
        </is>
      </c>
      <c r="B276" s="3" t="inlineStr">
        <is>
          <t>제1종일반주거지역</t>
        </is>
      </c>
      <c r="C276" s="3" t="inlineStr">
        <is>
          <t>대</t>
        </is>
      </c>
      <c r="D276" s="3" t="inlineStr">
        <is>
          <t>대</t>
        </is>
      </c>
      <c r="E276" s="3" t="inlineStr">
        <is>
          <t>매매</t>
        </is>
      </c>
      <c r="F276" s="4" t="n">
        <v>160000</v>
      </c>
      <c r="G276" s="4" t="n">
        <v>753</v>
      </c>
      <c r="H276" s="4" t="n">
        <v>228</v>
      </c>
      <c r="I276" s="5" t="n">
        <v>701.8</v>
      </c>
      <c r="J276" s="4" t="n">
        <v>258</v>
      </c>
      <c r="K276" s="3" t="inlineStr">
        <is>
          <t>금남면 대박리 1종일반 나대지 매매, 2차선 접, 신도시 인근</t>
        </is>
      </c>
      <c r="L276" s="6">
        <f>HYPERLINK("https://fin.land.naver.com/articles/2646847697", "매물Link")</f>
        <v/>
      </c>
      <c r="M276" s="6">
        <f>HYPERLINK("https://map.naver.com/p/search/세종특별자치시 금남면 대박리 71-4", "지도Link")</f>
        <v/>
      </c>
      <c r="N276" s="6">
        <f>HYPERLINK("http://www.eum.go.kr/web/ar/lu/luLandDet.jsp?pnu=3611034034100710004&amp;isNoScr=script&amp;mode=search", "토지이음")</f>
        <v/>
      </c>
      <c r="O276" s="3" t="inlineStr">
        <is>
          <t>스카이</t>
        </is>
      </c>
      <c r="P276" s="3" t="n">
        <v>1</v>
      </c>
      <c r="Q276" s="3" t="n">
        <v>755</v>
      </c>
      <c r="R276" s="3" t="inlineStr">
        <is>
          <t>지정되지않음</t>
        </is>
      </c>
      <c r="S276" s="3" t="inlineStr">
        <is>
          <t>주거나지</t>
        </is>
      </c>
      <c r="T276" s="3" t="inlineStr">
        <is>
          <t>평지</t>
        </is>
      </c>
      <c r="U276" s="3" t="inlineStr">
        <is>
          <t>사다리형</t>
        </is>
      </c>
      <c r="V276" s="3" t="inlineStr">
        <is>
          <t>소로한면</t>
        </is>
      </c>
    </row>
    <row r="277">
      <c r="A277" s="3" t="inlineStr">
        <is>
          <t>세종특별자치시 금남면 대박리 74</t>
        </is>
      </c>
      <c r="B277" s="3" t="inlineStr">
        <is>
          <t>제1종일반주거지역</t>
        </is>
      </c>
      <c r="C277" s="3" t="inlineStr">
        <is>
          <t>대</t>
        </is>
      </c>
      <c r="D277" s="3" t="inlineStr">
        <is>
          <t>대</t>
        </is>
      </c>
      <c r="E277" s="3" t="inlineStr">
        <is>
          <t>매매</t>
        </is>
      </c>
      <c r="F277" s="4" t="n">
        <v>48750</v>
      </c>
      <c r="G277" s="4" t="n">
        <v>645</v>
      </c>
      <c r="H277" s="4" t="n">
        <v>195</v>
      </c>
      <c r="I277" s="5" t="n">
        <v>250</v>
      </c>
      <c r="J277" s="4" t="n">
        <v>212.2</v>
      </c>
      <c r="K277" s="3" t="inlineStr">
        <is>
          <t>대박리 마을 카페 앞 땅 I 넓은 주택가 땅</t>
        </is>
      </c>
      <c r="L277" s="6">
        <f>HYPERLINK("https://fin.land.naver.com/articles/2644581623", "매물Link")</f>
        <v/>
      </c>
      <c r="M277" s="6">
        <f>HYPERLINK("https://map.naver.com/p/search/세종특별자치시 금남면 대박리 74", "지도Link")</f>
        <v/>
      </c>
      <c r="N277" s="6">
        <f>HYPERLINK("http://www.eum.go.kr/web/ar/lu/luLandDet.jsp?pnu=3611034034100740000&amp;isNoScr=script&amp;mode=search", "토지이음")</f>
        <v/>
      </c>
      <c r="O277" s="3" t="inlineStr">
        <is>
          <t>옥수</t>
        </is>
      </c>
      <c r="P277" s="3" t="n">
        <v>1</v>
      </c>
      <c r="Q277" s="3" t="n">
        <v>645</v>
      </c>
      <c r="R277" s="3" t="inlineStr">
        <is>
          <t>지정되지않음</t>
        </is>
      </c>
      <c r="S277" s="3" t="inlineStr">
        <is>
          <t>단독</t>
        </is>
      </c>
      <c r="T277" s="3" t="inlineStr">
        <is>
          <t>평지</t>
        </is>
      </c>
      <c r="U277" s="3" t="inlineStr">
        <is>
          <t>부정형</t>
        </is>
      </c>
      <c r="V277" s="3" t="inlineStr">
        <is>
          <t>세로한면(가)</t>
        </is>
      </c>
    </row>
    <row r="278">
      <c r="A278" s="3" t="inlineStr">
        <is>
          <t>세종특별자치시 금남면 대박리 75-2</t>
        </is>
      </c>
      <c r="B278" s="3" t="inlineStr">
        <is>
          <t>제1종일반주거지역</t>
        </is>
      </c>
      <c r="C278" s="3" t="inlineStr">
        <is>
          <t>대</t>
        </is>
      </c>
      <c r="D278" s="3" t="inlineStr">
        <is>
          <t>대</t>
        </is>
      </c>
      <c r="E278" s="3" t="inlineStr">
        <is>
          <t>매매</t>
        </is>
      </c>
      <c r="F278" s="4" t="n">
        <v>36750</v>
      </c>
      <c r="G278" s="4" t="n">
        <v>487</v>
      </c>
      <c r="H278" s="4" t="n">
        <v>147</v>
      </c>
      <c r="I278" s="5" t="n">
        <v>250</v>
      </c>
      <c r="J278" s="4" t="n">
        <v>206.3</v>
      </c>
      <c r="K278" s="3" t="inlineStr">
        <is>
          <t>대박리 마을 마을 회관 옆 I 도로 접한 집 I</t>
        </is>
      </c>
      <c r="L278" s="6">
        <f>HYPERLINK("https://fin.land.naver.com/articles/2644581758", "매물Link")</f>
        <v/>
      </c>
      <c r="M278" s="6">
        <f>HYPERLINK("https://map.naver.com/p/search/세종특별자치시 금남면 대박리 75-2", "지도Link")</f>
        <v/>
      </c>
      <c r="N278" s="6">
        <f>HYPERLINK("http://www.eum.go.kr/web/ar/lu/luLandDet.jsp?pnu=3611034034100750002&amp;isNoScr=script&amp;mode=search", "토지이음")</f>
        <v/>
      </c>
      <c r="O278" s="3" t="inlineStr">
        <is>
          <t>옥수</t>
        </is>
      </c>
      <c r="P278" s="3" t="n">
        <v>1</v>
      </c>
      <c r="Q278" s="3" t="n">
        <v>487</v>
      </c>
      <c r="R278" s="3" t="inlineStr">
        <is>
          <t>지정되지않음</t>
        </is>
      </c>
      <c r="S278" s="3" t="inlineStr">
        <is>
          <t>단독</t>
        </is>
      </c>
      <c r="T278" s="3" t="inlineStr">
        <is>
          <t>평지</t>
        </is>
      </c>
      <c r="U278" s="3" t="inlineStr">
        <is>
          <t>부정형</t>
        </is>
      </c>
      <c r="V278" s="3" t="inlineStr">
        <is>
          <t>세로한면(가)</t>
        </is>
      </c>
    </row>
    <row r="279">
      <c r="A279" s="3" t="inlineStr">
        <is>
          <t>세종특별자치시 금남면 대박리 산48</t>
        </is>
      </c>
      <c r="B279" s="3" t="inlineStr">
        <is>
          <t>개발제한구역</t>
        </is>
      </c>
      <c r="C279" s="3" t="inlineStr">
        <is>
          <t>임야</t>
        </is>
      </c>
      <c r="D279" s="3" t="inlineStr">
        <is>
          <t>임야</t>
        </is>
      </c>
      <c r="E279" s="3" t="inlineStr">
        <is>
          <t>매매</t>
        </is>
      </c>
      <c r="F279" s="4" t="n">
        <v>60000</v>
      </c>
      <c r="G279" s="4" t="n">
        <v>23802</v>
      </c>
      <c r="H279" s="4" t="n">
        <v>7200</v>
      </c>
      <c r="I279" s="5" t="n">
        <v>8.300000000000001</v>
      </c>
      <c r="J279" s="4" t="n">
        <v>2.6</v>
      </c>
      <c r="K279" s="3" t="inlineStr">
        <is>
          <t>nan</t>
        </is>
      </c>
      <c r="L279" s="6">
        <f>HYPERLINK("https://fin.land.naver.com/articles/2648814717", "매물Link")</f>
        <v/>
      </c>
      <c r="M279" s="6">
        <f>HYPERLINK("https://map.naver.com/p/search/세종특별자치시 금남면 대박리 산48", "지도Link")</f>
        <v/>
      </c>
      <c r="N279" s="6">
        <f>HYPERLINK("http://www.eum.go.kr/web/ar/lu/luLandDet.jsp?pnu=3611034034200480000&amp;isNoScr=script&amp;mode=search", "토지이음")</f>
        <v/>
      </c>
      <c r="O279" s="3" t="inlineStr">
        <is>
          <t>한마음</t>
        </is>
      </c>
      <c r="P279" s="3" t="n">
        <v>1</v>
      </c>
      <c r="Q279" s="3" t="n">
        <v>23802</v>
      </c>
      <c r="R279" s="3" t="inlineStr">
        <is>
          <t>지정되지않음</t>
        </is>
      </c>
      <c r="S279" s="3" t="inlineStr">
        <is>
          <t>자연림</t>
        </is>
      </c>
      <c r="T279" s="3" t="inlineStr">
        <is>
          <t>급경사</t>
        </is>
      </c>
      <c r="U279" s="3" t="inlineStr">
        <is>
          <t>부정형</t>
        </is>
      </c>
      <c r="V279" s="3" t="inlineStr">
        <is>
          <t>맹지</t>
        </is>
      </c>
    </row>
    <row r="280">
      <c r="A280" s="3" t="inlineStr">
        <is>
          <t>세종특별자치시 금남면 도남리 103</t>
        </is>
      </c>
      <c r="B280" s="3" t="inlineStr">
        <is>
          <t>계획관리지역</t>
        </is>
      </c>
      <c r="C280" s="3" t="inlineStr">
        <is>
          <t>전</t>
        </is>
      </c>
      <c r="D280" s="3" t="inlineStr">
        <is>
          <t>전</t>
        </is>
      </c>
      <c r="E280" s="3" t="inlineStr">
        <is>
          <t>매매</t>
        </is>
      </c>
      <c r="F280" s="4" t="n">
        <v>39000</v>
      </c>
      <c r="G280" s="4" t="n">
        <v>535</v>
      </c>
      <c r="H280" s="4" t="n">
        <v>162</v>
      </c>
      <c r="I280" s="5" t="n">
        <v>240.7</v>
      </c>
      <c r="J280" s="4" t="n">
        <v>86.09999999999999</v>
      </c>
      <c r="K280" s="3" t="inlineStr">
        <is>
          <t>금남면 도남리 도로접한 계획관리 토지, 단독주택 및 근생시설, 금강수목원</t>
        </is>
      </c>
      <c r="L280" s="6">
        <f>HYPERLINK("https://fin.land.naver.com/articles/2647204302", "매물Link")</f>
        <v/>
      </c>
      <c r="M280" s="6">
        <f>HYPERLINK("https://map.naver.com/p/search/세종특별자치시 금남면 도남리 103", "지도Link")</f>
        <v/>
      </c>
      <c r="N280" s="6">
        <f>HYPERLINK("http://www.eum.go.kr/web/ar/lu/luLandDet.jsp?pnu=3611034046101030000&amp;isNoScr=script&amp;mode=search", "토지이음")</f>
        <v/>
      </c>
      <c r="O280" s="3" t="inlineStr">
        <is>
          <t>스카이</t>
        </is>
      </c>
      <c r="P280" s="3" t="n">
        <v>2</v>
      </c>
      <c r="Q280" s="3" t="n">
        <v>535</v>
      </c>
      <c r="R280" s="3" t="inlineStr">
        <is>
          <t>지정되지않음</t>
        </is>
      </c>
      <c r="S280" s="3" t="inlineStr">
        <is>
          <t>전</t>
        </is>
      </c>
      <c r="T280" s="3" t="inlineStr">
        <is>
          <t>완경사</t>
        </is>
      </c>
      <c r="U280" s="3" t="inlineStr">
        <is>
          <t>부정형</t>
        </is>
      </c>
      <c r="V280" s="3" t="inlineStr">
        <is>
          <t>세로한면(가)</t>
        </is>
      </c>
    </row>
    <row r="281">
      <c r="A281" s="3" t="inlineStr">
        <is>
          <t>세종특별자치시 금남면 도남리 11-2</t>
        </is>
      </c>
      <c r="B281" s="3" t="inlineStr">
        <is>
          <t>계획관리지역</t>
        </is>
      </c>
      <c r="C281" s="3" t="inlineStr">
        <is>
          <t>전</t>
        </is>
      </c>
      <c r="D281" s="3" t="inlineStr">
        <is>
          <t>전</t>
        </is>
      </c>
      <c r="E281" s="3" t="inlineStr">
        <is>
          <t>매매</t>
        </is>
      </c>
      <c r="F281" s="4" t="n">
        <v>100000</v>
      </c>
      <c r="G281" s="4" t="n">
        <v>2195</v>
      </c>
      <c r="H281" s="4" t="n">
        <v>664</v>
      </c>
      <c r="I281" s="5" t="n">
        <v>150.6</v>
      </c>
      <c r="J281" s="4" t="n">
        <v>81.7</v>
      </c>
      <c r="K281" s="3" t="inlineStr">
        <is>
          <t>금남면 도남리 계획관리 토지, 2차선 바로 옆으로 진입, 근생 건축</t>
        </is>
      </c>
      <c r="L281" s="6">
        <f>HYPERLINK("https://fin.land.naver.com/articles/2647204366", "매물Link")</f>
        <v/>
      </c>
      <c r="M281" s="6">
        <f>HYPERLINK("https://map.naver.com/p/search/세종특별자치시 금남면 도남리 11-2", "지도Link")</f>
        <v/>
      </c>
      <c r="N281" s="6">
        <f>HYPERLINK("http://www.eum.go.kr/web/ar/lu/luLandDet.jsp?pnu=3611034046100110002&amp;isNoScr=script&amp;mode=search", "토지이음")</f>
        <v/>
      </c>
      <c r="O281" s="3" t="inlineStr">
        <is>
          <t>스카이</t>
        </is>
      </c>
      <c r="P281" s="3" t="n">
        <v>2</v>
      </c>
      <c r="Q281" s="3" t="n">
        <v>1879</v>
      </c>
      <c r="R281" s="3" t="inlineStr">
        <is>
          <t>지정되지않음</t>
        </is>
      </c>
      <c r="S281" s="3" t="inlineStr">
        <is>
          <t>답</t>
        </is>
      </c>
      <c r="T281" s="3" t="inlineStr">
        <is>
          <t>완경사</t>
        </is>
      </c>
      <c r="U281" s="3" t="inlineStr">
        <is>
          <t>부정형</t>
        </is>
      </c>
      <c r="V281" s="3" t="inlineStr">
        <is>
          <t>세로한면(불)</t>
        </is>
      </c>
    </row>
    <row r="282">
      <c r="A282" s="3" t="inlineStr">
        <is>
          <t>세종특별자치시 금남면 도남리 114-11</t>
        </is>
      </c>
      <c r="B282" s="3" t="inlineStr">
        <is>
          <t>보전관리지역</t>
        </is>
      </c>
      <c r="C282" s="3" t="inlineStr">
        <is>
          <t>임야</t>
        </is>
      </c>
      <c r="D282" s="3" t="inlineStr">
        <is>
          <t>임야</t>
        </is>
      </c>
      <c r="E282" s="3" t="inlineStr">
        <is>
          <t>매매</t>
        </is>
      </c>
      <c r="F282" s="4" t="n">
        <v>55000</v>
      </c>
      <c r="G282" s="4" t="n">
        <v>610</v>
      </c>
      <c r="H282" s="4" t="n">
        <v>185</v>
      </c>
      <c r="I282" s="5" t="n">
        <v>297.3</v>
      </c>
      <c r="J282" s="4" t="n">
        <v>61.2</v>
      </c>
      <c r="K282" s="3" t="inlineStr">
        <is>
          <t>nan</t>
        </is>
      </c>
      <c r="L282" s="6">
        <f>HYPERLINK("https://fin.land.naver.com/articles/2646839372", "매물Link")</f>
        <v/>
      </c>
      <c r="M282" s="6">
        <f>HYPERLINK("https://map.naver.com/p/search/세종특별자치시 금남면 도남리 114-11", "지도Link")</f>
        <v/>
      </c>
      <c r="N282" s="6">
        <f>HYPERLINK("http://www.eum.go.kr/web/ar/lu/luLandDet.jsp?pnu=3611034046101140011&amp;isNoScr=script&amp;mode=search", "토지이음")</f>
        <v/>
      </c>
      <c r="O282" s="3" t="inlineStr">
        <is>
          <t>세종몽땅</t>
        </is>
      </c>
      <c r="P282" s="3" t="n">
        <v>1</v>
      </c>
      <c r="Q282" s="3" t="n">
        <v>610</v>
      </c>
      <c r="R282" s="3" t="inlineStr">
        <is>
          <t>지정되지않음</t>
        </is>
      </c>
      <c r="S282" s="3" t="inlineStr">
        <is>
          <t>전기타</t>
        </is>
      </c>
      <c r="T282" s="3" t="inlineStr">
        <is>
          <t>완경사</t>
        </is>
      </c>
      <c r="U282" s="3" t="inlineStr">
        <is>
          <t>정방형</t>
        </is>
      </c>
      <c r="V282" s="3" t="inlineStr">
        <is>
          <t>세로한면(가)</t>
        </is>
      </c>
    </row>
    <row r="283">
      <c r="A283" s="3" t="inlineStr">
        <is>
          <t>세종특별자치시 금남면 도남리 116-55</t>
        </is>
      </c>
      <c r="B283" s="3" t="inlineStr">
        <is>
          <t>계획관리지역</t>
        </is>
      </c>
      <c r="C283" s="3" t="inlineStr">
        <is>
          <t>목장용지</t>
        </is>
      </c>
      <c r="D283" s="3" t="inlineStr">
        <is>
          <t>목장용지</t>
        </is>
      </c>
      <c r="E283" s="3" t="inlineStr">
        <is>
          <t>매매</t>
        </is>
      </c>
      <c r="F283" s="4" t="n">
        <v>35000</v>
      </c>
      <c r="G283" s="4" t="n">
        <v>194</v>
      </c>
      <c r="H283" s="4" t="n">
        <v>59</v>
      </c>
      <c r="I283" s="5" t="n">
        <v>593.2</v>
      </c>
      <c r="J283" s="4" t="n">
        <v>118.3</v>
      </c>
      <c r="K283" s="3" t="inlineStr">
        <is>
          <t>금남면 도남리 개발된 토지 및 단독주택, 금강뷰, 자연취락지구</t>
        </is>
      </c>
      <c r="L283" s="6">
        <f>HYPERLINK("https://fin.land.naver.com/articles/2646864745", "매물Link")</f>
        <v/>
      </c>
      <c r="M283" s="6">
        <f>HYPERLINK("https://map.naver.com/p/search/세종특별자치시 금남면 도남리 116-55", "지도Link")</f>
        <v/>
      </c>
      <c r="N283" s="6">
        <f>HYPERLINK("http://www.eum.go.kr/web/ar/lu/luLandDet.jsp?pnu=3611034046101160055&amp;isNoScr=script&amp;mode=search", "토지이음")</f>
        <v/>
      </c>
      <c r="O283" s="3" t="inlineStr">
        <is>
          <t>스카이</t>
        </is>
      </c>
      <c r="P283" s="3" t="n">
        <v>1</v>
      </c>
      <c r="Q283" s="3" t="n">
        <v>395</v>
      </c>
      <c r="R283" s="3" t="inlineStr">
        <is>
          <t>지정되지않음</t>
        </is>
      </c>
      <c r="S283" s="3" t="inlineStr">
        <is>
          <t>단독</t>
        </is>
      </c>
      <c r="T283" s="3" t="inlineStr">
        <is>
          <t>완경사</t>
        </is>
      </c>
      <c r="U283" s="3" t="inlineStr">
        <is>
          <t>사다리형</t>
        </is>
      </c>
      <c r="V283" s="3" t="inlineStr">
        <is>
          <t>세로한면(가)</t>
        </is>
      </c>
    </row>
    <row r="284">
      <c r="A284" s="3" t="inlineStr">
        <is>
          <t>세종특별자치시 금남면 도남리 116-86</t>
        </is>
      </c>
      <c r="B284" s="3" t="inlineStr">
        <is>
          <t>계획관리지역</t>
        </is>
      </c>
      <c r="C284" s="3" t="inlineStr">
        <is>
          <t>목장용지</t>
        </is>
      </c>
      <c r="D284" s="3" t="inlineStr">
        <is>
          <t>목장용지</t>
        </is>
      </c>
      <c r="E284" s="3" t="inlineStr">
        <is>
          <t>매매</t>
        </is>
      </c>
      <c r="F284" s="4" t="n">
        <v>39000</v>
      </c>
      <c r="G284" s="4" t="n">
        <v>885</v>
      </c>
      <c r="H284" s="4" t="n">
        <v>268</v>
      </c>
      <c r="I284" s="5" t="n">
        <v>145.5</v>
      </c>
      <c r="J284" s="4" t="n">
        <v>33.9</v>
      </c>
      <c r="K284" s="3" t="inlineStr">
        <is>
          <t>금강뷰 건축용지 매매</t>
        </is>
      </c>
      <c r="L284" s="6">
        <f>HYPERLINK("https://fin.land.naver.com/articles/2647110741", "매물Link")</f>
        <v/>
      </c>
      <c r="M284" s="6">
        <f>HYPERLINK("https://map.naver.com/p/search/세종특별자치시 금남면 도남리 116-86", "지도Link")</f>
        <v/>
      </c>
      <c r="N284" s="6">
        <f>HYPERLINK("http://www.eum.go.kr/web/ar/lu/luLandDet.jsp?pnu=3611034046101160086&amp;isNoScr=script&amp;mode=search", "토지이음")</f>
        <v/>
      </c>
      <c r="O284" s="3" t="inlineStr">
        <is>
          <t>THE행복</t>
        </is>
      </c>
      <c r="P284" s="3" t="n">
        <v>1</v>
      </c>
      <c r="Q284" s="3" t="n">
        <v>886</v>
      </c>
      <c r="R284" s="3" t="inlineStr">
        <is>
          <t>지정되지않음</t>
        </is>
      </c>
      <c r="S284" s="3" t="inlineStr">
        <is>
          <t>임야기타</t>
        </is>
      </c>
      <c r="T284" s="3" t="inlineStr">
        <is>
          <t>완경사</t>
        </is>
      </c>
      <c r="U284" s="3" t="inlineStr">
        <is>
          <t>부정형</t>
        </is>
      </c>
      <c r="V284" s="3" t="inlineStr">
        <is>
          <t>세로한면(가)</t>
        </is>
      </c>
    </row>
    <row r="285">
      <c r="A285" s="3" t="inlineStr">
        <is>
          <t>세종특별자치시 금남면 도남리 119-1</t>
        </is>
      </c>
      <c r="B285" s="3" t="inlineStr">
        <is>
          <t>계획관리지역</t>
        </is>
      </c>
      <c r="C285" s="3" t="inlineStr">
        <is>
          <t>대</t>
        </is>
      </c>
      <c r="D285" s="3" t="inlineStr">
        <is>
          <t>대</t>
        </is>
      </c>
      <c r="E285" s="3" t="inlineStr">
        <is>
          <t>매매</t>
        </is>
      </c>
      <c r="F285" s="4" t="n">
        <v>55000</v>
      </c>
      <c r="G285" s="4" t="n">
        <v>520</v>
      </c>
      <c r="H285" s="4" t="n">
        <v>157</v>
      </c>
      <c r="I285" s="5" t="n">
        <v>350.3</v>
      </c>
      <c r="J285" s="4" t="n">
        <v>126.2</v>
      </c>
      <c r="K285" s="3" t="inlineStr">
        <is>
          <t>대자157p  건물22p  근생으로다양하게활용가능</t>
        </is>
      </c>
      <c r="L285" s="6">
        <f>HYPERLINK("https://fin.land.naver.com/articles/2649910115", "매물Link")</f>
        <v/>
      </c>
      <c r="M285" s="6">
        <f>HYPERLINK("https://map.naver.com/p/search/세종특별자치시 금남면 도남리 119-1", "지도Link")</f>
        <v/>
      </c>
      <c r="N285" s="6">
        <f>HYPERLINK("http://www.eum.go.kr/web/ar/lu/luLandDet.jsp?pnu=3611034046101190001&amp;isNoScr=script&amp;mode=search", "토지이음")</f>
        <v/>
      </c>
      <c r="O285" s="3" t="inlineStr">
        <is>
          <t>동백</t>
        </is>
      </c>
      <c r="P285" s="3" t="n">
        <v>2</v>
      </c>
      <c r="Q285" s="3" t="n">
        <v>520</v>
      </c>
      <c r="R285" s="3" t="inlineStr">
        <is>
          <t>지정되지않음</t>
        </is>
      </c>
      <c r="S285" s="3" t="inlineStr">
        <is>
          <t>주거기타</t>
        </is>
      </c>
      <c r="T285" s="3" t="inlineStr">
        <is>
          <t>완경사</t>
        </is>
      </c>
      <c r="U285" s="3" t="inlineStr">
        <is>
          <t>부정형</t>
        </is>
      </c>
      <c r="V285" s="3" t="inlineStr">
        <is>
          <t>세로한면(가)</t>
        </is>
      </c>
    </row>
    <row r="286">
      <c r="A286" s="3" t="inlineStr">
        <is>
          <t>세종특별자치시 금남면 도남리 127</t>
        </is>
      </c>
      <c r="B286" s="3" t="inlineStr">
        <is>
          <t>계획관리지역</t>
        </is>
      </c>
      <c r="C286" s="3" t="inlineStr">
        <is>
          <t>전</t>
        </is>
      </c>
      <c r="D286" s="3" t="inlineStr">
        <is>
          <t>전</t>
        </is>
      </c>
      <c r="E286" s="3" t="inlineStr">
        <is>
          <t>매매</t>
        </is>
      </c>
      <c r="F286" s="4" t="n">
        <v>134100</v>
      </c>
      <c r="G286" s="4" t="n">
        <v>2464</v>
      </c>
      <c r="H286" s="4" t="n">
        <v>745</v>
      </c>
      <c r="I286" s="5" t="n">
        <v>180</v>
      </c>
      <c r="J286" s="4" t="n">
        <v>82.8</v>
      </c>
      <c r="K286" s="3" t="inlineStr">
        <is>
          <t>금남면 도남리 마을 안 계획관리 토지, 사옥 및 창고 추천, 저렴</t>
        </is>
      </c>
      <c r="L286" s="6">
        <f>HYPERLINK("https://fin.land.naver.com/articles/2646868929", "매물Link")</f>
        <v/>
      </c>
      <c r="M286" s="6">
        <f>HYPERLINK("https://map.naver.com/p/search/세종특별자치시 금남면 도남리 127", "지도Link")</f>
        <v/>
      </c>
      <c r="N286" s="6">
        <f>HYPERLINK("http://www.eum.go.kr/web/ar/lu/luLandDet.jsp?pnu=3611034046101270000&amp;isNoScr=script&amp;mode=search", "토지이음")</f>
        <v/>
      </c>
      <c r="O286" s="3" t="inlineStr">
        <is>
          <t>스카이</t>
        </is>
      </c>
      <c r="P286" s="3" t="n">
        <v>2</v>
      </c>
      <c r="Q286" s="3" t="n">
        <v>2464</v>
      </c>
      <c r="R286" s="3" t="inlineStr">
        <is>
          <t>지정되지않음</t>
        </is>
      </c>
      <c r="S286" s="3" t="inlineStr">
        <is>
          <t>전</t>
        </is>
      </c>
      <c r="T286" s="3" t="inlineStr">
        <is>
          <t>완경사</t>
        </is>
      </c>
      <c r="U286" s="3" t="inlineStr">
        <is>
          <t>부정형</t>
        </is>
      </c>
      <c r="V286" s="3" t="inlineStr">
        <is>
          <t>세로한면(가)</t>
        </is>
      </c>
    </row>
    <row r="287">
      <c r="A287" s="3" t="inlineStr">
        <is>
          <t>세종특별자치시 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HYPERLINK("https://map.naver.com/p/search/세종특별자치시 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세종특별자치시 금남면 도남리 145</t>
        </is>
      </c>
      <c r="B288" s="3" t="inlineStr">
        <is>
          <t>보전관리지역</t>
        </is>
      </c>
      <c r="C288" s="3" t="inlineStr">
        <is>
          <t>답</t>
        </is>
      </c>
      <c r="D288" s="3" t="inlineStr">
        <is>
          <t>답</t>
        </is>
      </c>
      <c r="E288" s="3" t="inlineStr">
        <is>
          <t>매매</t>
        </is>
      </c>
      <c r="F288" s="4" t="n">
        <v>48000</v>
      </c>
      <c r="G288" s="4" t="n">
        <v>1525</v>
      </c>
      <c r="H288" s="4" t="n">
        <v>461</v>
      </c>
      <c r="I288" s="5" t="n">
        <v>104.1</v>
      </c>
      <c r="J288" s="4" t="n">
        <v>50</v>
      </c>
      <c r="K288" s="3" t="inlineStr">
        <is>
          <t>금강의 여유를 품은 힐링 토지,세종 10분내 진입권,도로인접</t>
        </is>
      </c>
      <c r="L288" s="6">
        <f>HYPERLINK("https://fin.land.naver.com/articles/2649633962", "매물Link")</f>
        <v/>
      </c>
      <c r="M288" s="6">
        <f>HYPERLINK("https://map.naver.com/p/search/세종특별자치시 금남면 도남리 145", "지도Link")</f>
        <v/>
      </c>
      <c r="N288" s="6">
        <f>HYPERLINK("http://www.eum.go.kr/web/ar/lu/luLandDet.jsp?pnu=3611034046101450000&amp;isNoScr=script&amp;mode=search", "토지이음")</f>
        <v/>
      </c>
      <c r="O288" s="3" t="inlineStr">
        <is>
          <t>가치잇는</t>
        </is>
      </c>
      <c r="P288" s="3" t="n">
        <v>3</v>
      </c>
      <c r="Q288" s="3" t="n">
        <v>1525</v>
      </c>
      <c r="R288" s="3" t="inlineStr">
        <is>
          <t>지정되지않음</t>
        </is>
      </c>
      <c r="S288" s="3" t="inlineStr">
        <is>
          <t>답</t>
        </is>
      </c>
      <c r="T288" s="3" t="inlineStr">
        <is>
          <t>평지</t>
        </is>
      </c>
      <c r="U288" s="3" t="inlineStr">
        <is>
          <t>부정형</t>
        </is>
      </c>
      <c r="V288" s="3" t="inlineStr">
        <is>
          <t>소로한면</t>
        </is>
      </c>
    </row>
    <row r="289">
      <c r="A289" s="3" t="inlineStr">
        <is>
          <t>세종특별자치시 금남면 도남리 192-13</t>
        </is>
      </c>
      <c r="B289" s="3" t="inlineStr">
        <is>
          <t>보전관리지역</t>
        </is>
      </c>
      <c r="C289" s="3" t="inlineStr">
        <is>
          <t>대</t>
        </is>
      </c>
      <c r="D289" s="3" t="inlineStr">
        <is>
          <t>대</t>
        </is>
      </c>
      <c r="E289" s="3" t="inlineStr">
        <is>
          <t>매매</t>
        </is>
      </c>
      <c r="F289" s="4" t="n">
        <v>67000</v>
      </c>
      <c r="G289" s="4" t="n">
        <v>578</v>
      </c>
      <c r="H289" s="4" t="n">
        <v>175</v>
      </c>
      <c r="I289" s="5" t="n">
        <v>382.9</v>
      </c>
      <c r="J289" s="4" t="n">
        <v>95.2</v>
      </c>
      <c r="K289" s="3" t="inlineStr">
        <is>
          <t>nan</t>
        </is>
      </c>
      <c r="L289" s="6">
        <f>HYPERLINK("https://fin.land.naver.com/articles/2644608473", "매물Link")</f>
        <v/>
      </c>
      <c r="M289" s="6">
        <f>HYPERLINK("https://map.naver.com/p/search/세종특별자치시 금남면 도남리 192-13", "지도Link")</f>
        <v/>
      </c>
      <c r="N289" s="6">
        <f>HYPERLINK("http://www.eum.go.kr/web/ar/lu/luLandDet.jsp?pnu=3611034046101920013&amp;isNoScr=script&amp;mode=search", "토지이음")</f>
        <v/>
      </c>
      <c r="O289" s="3" t="inlineStr">
        <is>
          <t>세종몽땅</t>
        </is>
      </c>
      <c r="P289" s="3" t="n">
        <v>1</v>
      </c>
      <c r="Q289" s="3" t="n">
        <v>578</v>
      </c>
      <c r="R289" s="3" t="inlineStr">
        <is>
          <t>지정되지않음</t>
        </is>
      </c>
      <c r="S289" s="3" t="inlineStr">
        <is>
          <t>주거기타</t>
        </is>
      </c>
      <c r="T289" s="3" t="inlineStr">
        <is>
          <t>완경사</t>
        </is>
      </c>
      <c r="U289" s="3" t="inlineStr">
        <is>
          <t>사다리형</t>
        </is>
      </c>
      <c r="V289" s="3" t="inlineStr">
        <is>
          <t>세로한면(가)</t>
        </is>
      </c>
    </row>
    <row r="290">
      <c r="A290" s="3" t="inlineStr">
        <is>
          <t>세종특별자치시 금남면 도남리 205-31</t>
        </is>
      </c>
      <c r="B290" s="3" t="inlineStr">
        <is>
          <t>계획관리지역</t>
        </is>
      </c>
      <c r="C290" s="3" t="inlineStr">
        <is>
          <t>대</t>
        </is>
      </c>
      <c r="D290" s="3" t="inlineStr">
        <is>
          <t>대</t>
        </is>
      </c>
      <c r="E290" s="3" t="inlineStr">
        <is>
          <t>매매</t>
        </is>
      </c>
      <c r="F290" s="4" t="n">
        <v>51000</v>
      </c>
      <c r="G290" s="4" t="n">
        <v>581</v>
      </c>
      <c r="H290" s="4" t="n">
        <v>176</v>
      </c>
      <c r="I290" s="5" t="n">
        <v>289.8</v>
      </c>
      <c r="J290" s="4" t="n">
        <v>167.7</v>
      </c>
      <c r="K290" s="3" t="inlineStr">
        <is>
          <t>금강뷰, 즉시 신축가능한 부자동네의 전망좋은 고급주택지</t>
        </is>
      </c>
      <c r="L290" s="6">
        <f>HYPERLINK("https://fin.land.naver.com/articles/2645601978", "매물Link")</f>
        <v/>
      </c>
      <c r="M290" s="6">
        <f>HYPERLINK("https://map.naver.com/p/search/세종특별자치시 금남면 도남리 205-31", "지도Link")</f>
        <v/>
      </c>
      <c r="N290" s="6">
        <f>HYPERLINK("http://www.eum.go.kr/web/ar/lu/luLandDet.jsp?pnu=3611034046102050031&amp;isNoScr=script&amp;mode=search", "토지이음")</f>
        <v/>
      </c>
      <c r="O290" s="3" t="inlineStr">
        <is>
          <t>미스터홈즈강남지사</t>
        </is>
      </c>
      <c r="P290" s="3" t="n">
        <v>1</v>
      </c>
      <c r="Q290" s="3" t="n">
        <v>466</v>
      </c>
      <c r="R290" s="3" t="inlineStr">
        <is>
          <t>지정되지않음</t>
        </is>
      </c>
      <c r="S290" s="3" t="inlineStr">
        <is>
          <t>주거나지</t>
        </is>
      </c>
      <c r="T290" s="3" t="inlineStr">
        <is>
          <t>완경사</t>
        </is>
      </c>
      <c r="U290" s="3" t="inlineStr">
        <is>
          <t>사다리형</t>
        </is>
      </c>
      <c r="V290" s="3" t="inlineStr">
        <is>
          <t>세로한면(가)</t>
        </is>
      </c>
    </row>
    <row r="291">
      <c r="A291" s="3" t="inlineStr">
        <is>
          <t>세종특별자치시 금남면 도남리 306</t>
        </is>
      </c>
      <c r="B291" s="3" t="inlineStr">
        <is>
          <t>계획관리지역</t>
        </is>
      </c>
      <c r="C291" s="3" t="inlineStr">
        <is>
          <t>대</t>
        </is>
      </c>
      <c r="D291" s="3" t="inlineStr">
        <is>
          <t>대</t>
        </is>
      </c>
      <c r="E291" s="3" t="inlineStr">
        <is>
          <t>매매</t>
        </is>
      </c>
      <c r="F291" s="4" t="n">
        <v>100000</v>
      </c>
      <c r="G291" s="4" t="n">
        <v>1551</v>
      </c>
      <c r="H291" s="4" t="n">
        <v>469</v>
      </c>
      <c r="I291" s="5" t="n">
        <v>213.2</v>
      </c>
      <c r="J291" s="4" t="n">
        <v>140.4</v>
      </c>
      <c r="K291" s="3" t="inlineStr">
        <is>
          <t>대 포함 3필지 계획관리지역 일괄매매</t>
        </is>
      </c>
      <c r="L291" s="6">
        <f>HYPERLINK("https://fin.land.naver.com/articles/2648741434", "매물Link")</f>
        <v/>
      </c>
      <c r="M291" s="6">
        <f>HYPERLINK("https://map.naver.com/p/search/세종특별자치시 금남면 도남리 306", "지도Link")</f>
        <v/>
      </c>
      <c r="N291" s="6">
        <f>HYPERLINK("http://www.eum.go.kr/web/ar/lu/luLandDet.jsp?pnu=3611034046103060000&amp;isNoScr=script&amp;mode=search", "토지이음")</f>
        <v/>
      </c>
      <c r="O291" s="3" t="inlineStr">
        <is>
          <t>세종몽땅</t>
        </is>
      </c>
      <c r="P291" s="3" t="n">
        <v>1</v>
      </c>
      <c r="Q291" s="3" t="n">
        <v>200</v>
      </c>
      <c r="R291" s="3" t="inlineStr">
        <is>
          <t>지정되지않음</t>
        </is>
      </c>
      <c r="S291" s="3" t="inlineStr">
        <is>
          <t>단독</t>
        </is>
      </c>
      <c r="T291" s="3" t="inlineStr">
        <is>
          <t>완경사</t>
        </is>
      </c>
      <c r="U291" s="3" t="inlineStr">
        <is>
          <t>사다리형</t>
        </is>
      </c>
      <c r="V291" s="3" t="inlineStr">
        <is>
          <t>세로한면(가)</t>
        </is>
      </c>
    </row>
    <row r="292">
      <c r="A292" s="3" t="inlineStr">
        <is>
          <t>세종특별자치시 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HYPERLINK("https://map.naver.com/p/search/세종특별자치시 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세종특별자치시 금남면 도남리 308</t>
        </is>
      </c>
      <c r="B293" s="3" t="inlineStr">
        <is>
          <t>계획관리지역</t>
        </is>
      </c>
      <c r="C293" s="3" t="inlineStr">
        <is>
          <t>전</t>
        </is>
      </c>
      <c r="D293" s="3" t="inlineStr">
        <is>
          <t>전</t>
        </is>
      </c>
      <c r="E293" s="3" t="inlineStr">
        <is>
          <t>매매</t>
        </is>
      </c>
      <c r="F293" s="4" t="n">
        <v>95000</v>
      </c>
      <c r="G293" s="4" t="n">
        <v>1551</v>
      </c>
      <c r="H293" s="4" t="n">
        <v>469</v>
      </c>
      <c r="I293" s="5" t="n">
        <v>202.6</v>
      </c>
      <c r="J293" s="4" t="n">
        <v>79</v>
      </c>
      <c r="K293" s="3" t="inlineStr">
        <is>
          <t>급매 주변에 카폐,전원주택들이 있고,세종 청사 10분거리,진입도로있음</t>
        </is>
      </c>
      <c r="L293" s="6">
        <f>HYPERLINK("https://fin.land.naver.com/articles/2646377205", "매물Link")</f>
        <v/>
      </c>
      <c r="M293" s="6">
        <f>HYPERLINK("https://map.naver.com/p/search/세종특별자치시 금남면 도남리 308", "지도Link")</f>
        <v/>
      </c>
      <c r="N293" s="6">
        <f>HYPERLINK("http://www.eum.go.kr/web/ar/lu/luLandDet.jsp?pnu=3611034046103080000&amp;isNoScr=script&amp;mode=search", "토지이음")</f>
        <v/>
      </c>
      <c r="O293" s="3" t="inlineStr">
        <is>
          <t>그린영광</t>
        </is>
      </c>
      <c r="P293" s="3" t="n">
        <v>1</v>
      </c>
      <c r="Q293" s="3" t="n">
        <v>1252</v>
      </c>
      <c r="R293" s="3" t="inlineStr">
        <is>
          <t>지정되지않음</t>
        </is>
      </c>
      <c r="S293" s="3" t="inlineStr">
        <is>
          <t>전</t>
        </is>
      </c>
      <c r="T293" s="3" t="inlineStr">
        <is>
          <t>완경사</t>
        </is>
      </c>
      <c r="U293" s="3" t="inlineStr">
        <is>
          <t>부정형</t>
        </is>
      </c>
      <c r="V293" s="3" t="inlineStr">
        <is>
          <t>맹지</t>
        </is>
      </c>
    </row>
    <row r="294">
      <c r="A294" s="3" t="inlineStr">
        <is>
          <t>세종특별자치시 금남면 도남리 4-12</t>
        </is>
      </c>
      <c r="B294" s="3" t="inlineStr">
        <is>
          <t>계획관리지역</t>
        </is>
      </c>
      <c r="C294" s="3" t="inlineStr">
        <is>
          <t>대</t>
        </is>
      </c>
      <c r="D294" s="3" t="inlineStr">
        <is>
          <t>대</t>
        </is>
      </c>
      <c r="E294" s="3" t="inlineStr">
        <is>
          <t>매매</t>
        </is>
      </c>
      <c r="F294" s="4" t="n">
        <v>32000</v>
      </c>
      <c r="G294" s="4" t="n">
        <v>363</v>
      </c>
      <c r="H294" s="4" t="n">
        <v>110</v>
      </c>
      <c r="I294" s="5" t="n">
        <v>290.9</v>
      </c>
      <c r="J294" s="4" t="n">
        <v>137.4</v>
      </c>
      <c r="K294" s="3" t="inlineStr">
        <is>
          <t>금남면 2차선변 계획관리 대지, 소형평수, 금강수목원 옆</t>
        </is>
      </c>
      <c r="L294" s="6">
        <f>HYPERLINK("https://fin.land.naver.com/articles/2647284906", "매물Link")</f>
        <v/>
      </c>
      <c r="M294" s="6">
        <f>HYPERLINK("https://map.naver.com/p/search/세종특별자치시 금남면 도남리 4-12", "지도Link")</f>
        <v/>
      </c>
      <c r="N294" s="6">
        <f>HYPERLINK("http://www.eum.go.kr/web/ar/lu/luLandDet.jsp?pnu=3611034046100040012&amp;isNoScr=script&amp;mode=search", "토지이음")</f>
        <v/>
      </c>
      <c r="O294" s="3" t="inlineStr">
        <is>
          <t>스카이</t>
        </is>
      </c>
      <c r="P294" s="3" t="n">
        <v>1</v>
      </c>
      <c r="Q294" s="3" t="n">
        <v>363</v>
      </c>
      <c r="R294" s="3" t="inlineStr">
        <is>
          <t>지정되지않음</t>
        </is>
      </c>
      <c r="S294" s="3" t="inlineStr">
        <is>
          <t>주거기타</t>
        </is>
      </c>
      <c r="T294" s="3" t="inlineStr">
        <is>
          <t>평지</t>
        </is>
      </c>
      <c r="U294" s="3" t="inlineStr">
        <is>
          <t>부정형</t>
        </is>
      </c>
      <c r="V294" s="3" t="inlineStr">
        <is>
          <t>소로한면</t>
        </is>
      </c>
    </row>
    <row r="295">
      <c r="A295" s="3" t="inlineStr">
        <is>
          <t>세종특별자치시 금남면 도남리 4-24</t>
        </is>
      </c>
      <c r="B295" s="3" t="inlineStr">
        <is>
          <t>보전관리지역</t>
        </is>
      </c>
      <c r="C295" s="3" t="inlineStr">
        <is>
          <t>임야</t>
        </is>
      </c>
      <c r="D295" s="3" t="inlineStr">
        <is>
          <t>임야</t>
        </is>
      </c>
      <c r="E295" s="3" t="inlineStr">
        <is>
          <t>매매</t>
        </is>
      </c>
      <c r="F295" s="4" t="n">
        <v>65000</v>
      </c>
      <c r="G295" s="4" t="n">
        <v>1070</v>
      </c>
      <c r="H295" s="4" t="n">
        <v>324</v>
      </c>
      <c r="I295" s="5" t="n">
        <v>200.6</v>
      </c>
      <c r="J295" s="4" t="n">
        <v>55.4</v>
      </c>
      <c r="K295" s="3" t="inlineStr">
        <is>
          <t>구산림박물관 인근 근생시설부지 매매</t>
        </is>
      </c>
      <c r="L295" s="6">
        <f>HYPERLINK("https://fin.land.naver.com/articles/2648920485", "매물Link")</f>
        <v/>
      </c>
      <c r="M295" s="6">
        <f>HYPERLINK("https://map.naver.com/p/search/세종특별자치시 금남면 도남리 4-24", "지도Link")</f>
        <v/>
      </c>
      <c r="N295" s="6">
        <f>HYPERLINK("http://www.eum.go.kr/web/ar/lu/luLandDet.jsp?pnu=3611034046100040024&amp;isNoScr=script&amp;mode=search", "토지이음")</f>
        <v/>
      </c>
      <c r="O295" s="3" t="inlineStr">
        <is>
          <t>세종비전행정사</t>
        </is>
      </c>
      <c r="P295" s="3" t="n">
        <v>1</v>
      </c>
      <c r="Q295" s="3" t="n">
        <v>1070</v>
      </c>
      <c r="R295" s="3" t="inlineStr">
        <is>
          <t>지정되지않음</t>
        </is>
      </c>
      <c r="S295" s="3" t="inlineStr">
        <is>
          <t>전기타</t>
        </is>
      </c>
      <c r="T295" s="3" t="inlineStr">
        <is>
          <t>완경사</t>
        </is>
      </c>
      <c r="U295" s="3" t="inlineStr">
        <is>
          <t>사다리형</t>
        </is>
      </c>
      <c r="V295" s="3" t="inlineStr">
        <is>
          <t>소로한면</t>
        </is>
      </c>
    </row>
    <row r="296">
      <c r="A296" s="3" t="inlineStr">
        <is>
          <t>세종특별자치시 금남면 도남리 4-25</t>
        </is>
      </c>
      <c r="B296" s="3" t="inlineStr">
        <is>
          <t>보전관리지역</t>
        </is>
      </c>
      <c r="C296" s="3" t="inlineStr">
        <is>
          <t>임야</t>
        </is>
      </c>
      <c r="D296" s="3" t="inlineStr">
        <is>
          <t>대</t>
        </is>
      </c>
      <c r="E296" s="3" t="inlineStr">
        <is>
          <t>매매</t>
        </is>
      </c>
      <c r="F296" s="4" t="n">
        <v>52000</v>
      </c>
      <c r="G296" s="4" t="n">
        <v>850</v>
      </c>
      <c r="H296" s="4" t="n">
        <v>257</v>
      </c>
      <c r="I296" s="5" t="n">
        <v>202.3</v>
      </c>
      <c r="J296" s="4" t="n">
        <v>55.4</v>
      </c>
      <c r="K296" s="3" t="inlineStr">
        <is>
          <t>구산림박물관 인근 토목공사 완료된 근생시설부지 매매</t>
        </is>
      </c>
      <c r="L296" s="6">
        <f>HYPERLINK("https://fin.land.naver.com/articles/2648920418", "매물Link")</f>
        <v/>
      </c>
      <c r="M296" s="6">
        <f>HYPERLINK("https://map.naver.com/p/search/세종특별자치시 금남면 도남리 4-25", "지도Link")</f>
        <v/>
      </c>
      <c r="N296" s="6">
        <f>HYPERLINK("http://www.eum.go.kr/web/ar/lu/luLandDet.jsp?pnu=3611034046100040025&amp;isNoScr=script&amp;mode=search", "토지이음")</f>
        <v/>
      </c>
      <c r="O296" s="3" t="inlineStr">
        <is>
          <t>세종비전행정사</t>
        </is>
      </c>
      <c r="P296" s="3" t="n">
        <v>1</v>
      </c>
      <c r="Q296" s="3" t="n">
        <v>850</v>
      </c>
      <c r="R296" s="3" t="inlineStr">
        <is>
          <t>지정되지않음</t>
        </is>
      </c>
      <c r="S296" s="3" t="inlineStr">
        <is>
          <t>전기타</t>
        </is>
      </c>
      <c r="T296" s="3" t="inlineStr">
        <is>
          <t>완경사</t>
        </is>
      </c>
      <c r="U296" s="3" t="inlineStr">
        <is>
          <t>사다리형</t>
        </is>
      </c>
      <c r="V296" s="3" t="inlineStr">
        <is>
          <t>소로한면</t>
        </is>
      </c>
    </row>
    <row r="297">
      <c r="A297" s="3" t="inlineStr">
        <is>
          <t>세종특별자치시 금남면 도남리 4-26</t>
        </is>
      </c>
      <c r="B297" s="3" t="inlineStr">
        <is>
          <t>보전관리지역</t>
        </is>
      </c>
      <c r="C297" s="3" t="inlineStr">
        <is>
          <t>임야</t>
        </is>
      </c>
      <c r="D297" s="3" t="inlineStr">
        <is>
          <t>임야</t>
        </is>
      </c>
      <c r="E297" s="3" t="inlineStr">
        <is>
          <t>매매</t>
        </is>
      </c>
      <c r="F297" s="4" t="n">
        <v>69000</v>
      </c>
      <c r="G297" s="4" t="n">
        <v>987</v>
      </c>
      <c r="H297" s="4" t="n">
        <v>299</v>
      </c>
      <c r="I297" s="5" t="n">
        <v>230.8</v>
      </c>
      <c r="J297" s="4" t="n">
        <v>55.4</v>
      </c>
      <c r="K297" s="3" t="inlineStr">
        <is>
          <t>구 산림박물관 인근 카페 등 근생시설 부지 매매</t>
        </is>
      </c>
      <c r="L297" s="6">
        <f>HYPERLINK("https://fin.land.naver.com/articles/2648920447", "매물Link")</f>
        <v/>
      </c>
      <c r="M297" s="6">
        <f>HYPERLINK("https://map.naver.com/p/search/세종특별자치시 금남면 도남리 4-26", "지도Link")</f>
        <v/>
      </c>
      <c r="N297" s="6">
        <f>HYPERLINK("http://www.eum.go.kr/web/ar/lu/luLandDet.jsp?pnu=3611034046100040026&amp;isNoScr=script&amp;mode=search", "토지이음")</f>
        <v/>
      </c>
      <c r="O297" s="3" t="inlineStr">
        <is>
          <t>세종비전행정사</t>
        </is>
      </c>
      <c r="P297" s="3" t="n">
        <v>1</v>
      </c>
      <c r="Q297" s="3" t="n">
        <v>987</v>
      </c>
      <c r="R297" s="3" t="inlineStr">
        <is>
          <t>지정되지않음</t>
        </is>
      </c>
      <c r="S297" s="3" t="inlineStr">
        <is>
          <t>전기타</t>
        </is>
      </c>
      <c r="T297" s="3" t="inlineStr">
        <is>
          <t>완경사</t>
        </is>
      </c>
      <c r="U297" s="3" t="inlineStr">
        <is>
          <t>사다리형</t>
        </is>
      </c>
      <c r="V297" s="3" t="inlineStr">
        <is>
          <t>소로한면</t>
        </is>
      </c>
    </row>
    <row r="298">
      <c r="A298" s="3" t="inlineStr">
        <is>
          <t>세종특별자치시 금남면 도남리 6-3</t>
        </is>
      </c>
      <c r="B298" s="3" t="inlineStr">
        <is>
          <t>계획관리지역</t>
        </is>
      </c>
      <c r="C298" s="3" t="inlineStr">
        <is>
          <t>전</t>
        </is>
      </c>
      <c r="D298" s="3" t="inlineStr">
        <is>
          <t>전</t>
        </is>
      </c>
      <c r="E298" s="3" t="inlineStr">
        <is>
          <t>매매</t>
        </is>
      </c>
      <c r="F298" s="4" t="n">
        <v>35000</v>
      </c>
      <c r="G298" s="4" t="n">
        <v>463</v>
      </c>
      <c r="H298" s="4" t="n">
        <v>140</v>
      </c>
      <c r="I298" s="5" t="n">
        <v>250</v>
      </c>
      <c r="J298" s="4" t="n">
        <v>136.1</v>
      </c>
      <c r="K298" s="3" t="inlineStr">
        <is>
          <t>nan</t>
        </is>
      </c>
      <c r="L298" s="6">
        <f>HYPERLINK("https://fin.land.naver.com/articles/2644181307", "매물Link")</f>
        <v/>
      </c>
      <c r="M298" s="6">
        <f>HYPERLINK("https://map.naver.com/p/search/세종특별자치시 금남면 도남리 6-3", "지도Link")</f>
        <v/>
      </c>
      <c r="N298" s="6">
        <f>HYPERLINK("http://www.eum.go.kr/web/ar/lu/luLandDet.jsp?pnu=3611034046100060003&amp;isNoScr=script&amp;mode=search", "토지이음")</f>
        <v/>
      </c>
      <c r="O298" s="3" t="inlineStr">
        <is>
          <t>세종</t>
        </is>
      </c>
      <c r="P298" s="3" t="n">
        <v>1</v>
      </c>
      <c r="Q298" s="3" t="n">
        <v>463</v>
      </c>
      <c r="R298" s="3" t="inlineStr">
        <is>
          <t>지정되지않음</t>
        </is>
      </c>
      <c r="S298" s="3" t="inlineStr">
        <is>
          <t>주거나지</t>
        </is>
      </c>
      <c r="T298" s="3" t="inlineStr">
        <is>
          <t>평지</t>
        </is>
      </c>
      <c r="U298" s="3" t="inlineStr">
        <is>
          <t>사다리형</t>
        </is>
      </c>
      <c r="V298" s="3" t="inlineStr">
        <is>
          <t>세로한면(가)</t>
        </is>
      </c>
    </row>
    <row r="299">
      <c r="A299" s="3" t="inlineStr">
        <is>
          <t>세종특별자치시 금남면 도남리 6-4</t>
        </is>
      </c>
      <c r="B299" s="3" t="inlineStr">
        <is>
          <t>계획관리지역</t>
        </is>
      </c>
      <c r="C299" s="3" t="inlineStr">
        <is>
          <t>전</t>
        </is>
      </c>
      <c r="D299" s="3" t="inlineStr">
        <is>
          <t>전</t>
        </is>
      </c>
      <c r="E299" s="3" t="inlineStr">
        <is>
          <t>매매</t>
        </is>
      </c>
      <c r="F299" s="4" t="n">
        <v>30000</v>
      </c>
      <c r="G299" s="4" t="n">
        <v>493</v>
      </c>
      <c r="H299" s="4" t="n">
        <v>149</v>
      </c>
      <c r="I299" s="5" t="n">
        <v>201.3</v>
      </c>
      <c r="J299" s="4" t="n">
        <v>136.1</v>
      </c>
      <c r="K299" s="3" t="inlineStr">
        <is>
          <t>금강수목원인접토지.가격조정가능</t>
        </is>
      </c>
      <c r="L299" s="6">
        <f>HYPERLINK("https://fin.land.naver.com/articles/2647299469", "매물Link")</f>
        <v/>
      </c>
      <c r="M299" s="6">
        <f>HYPERLINK("https://map.naver.com/p/search/세종특별자치시 금남면 도남리 6-4", "지도Link")</f>
        <v/>
      </c>
      <c r="N299" s="6">
        <f>HYPERLINK("http://www.eum.go.kr/web/ar/lu/luLandDet.jsp?pnu=3611034046100060004&amp;isNoScr=script&amp;mode=search", "토지이음")</f>
        <v/>
      </c>
      <c r="O299" s="3" t="inlineStr">
        <is>
          <t>늘봄</t>
        </is>
      </c>
      <c r="P299" s="3" t="n">
        <v>1</v>
      </c>
      <c r="Q299" s="3" t="n">
        <v>493</v>
      </c>
      <c r="R299" s="3" t="inlineStr">
        <is>
          <t>지정되지않음</t>
        </is>
      </c>
      <c r="S299" s="3" t="inlineStr">
        <is>
          <t>주거나지</t>
        </is>
      </c>
      <c r="T299" s="3" t="inlineStr">
        <is>
          <t>평지</t>
        </is>
      </c>
      <c r="U299" s="3" t="inlineStr">
        <is>
          <t>사다리형</t>
        </is>
      </c>
      <c r="V299" s="3" t="inlineStr">
        <is>
          <t>세로한면(가)</t>
        </is>
      </c>
    </row>
    <row r="300">
      <c r="A300" s="3" t="inlineStr">
        <is>
          <t>세종특별자치시 금남면 도남리 82-1</t>
        </is>
      </c>
      <c r="B300" s="3" t="inlineStr">
        <is>
          <t>보전관리지역</t>
        </is>
      </c>
      <c r="C300" s="3" t="inlineStr">
        <is>
          <t>전</t>
        </is>
      </c>
      <c r="D300" s="3" t="inlineStr">
        <is>
          <t>전</t>
        </is>
      </c>
      <c r="E300" s="3" t="inlineStr">
        <is>
          <t>매매</t>
        </is>
      </c>
      <c r="F300" s="4" t="n">
        <v>46000</v>
      </c>
      <c r="G300" s="4" t="n">
        <v>662</v>
      </c>
      <c r="H300" s="4" t="n">
        <v>200</v>
      </c>
      <c r="I300" s="5" t="n">
        <v>230</v>
      </c>
      <c r="J300" s="4" t="n">
        <v>54.8</v>
      </c>
      <c r="K300" s="3" t="inlineStr">
        <is>
          <t>2차선도로변 토지</t>
        </is>
      </c>
      <c r="L300" s="6">
        <f>HYPERLINK("https://fin.land.naver.com/articles/2647994435", "매물Link")</f>
        <v/>
      </c>
      <c r="M300" s="6">
        <f>HYPERLINK("https://map.naver.com/p/search/세종특별자치시 금남면 도남리 82-1", "지도Link")</f>
        <v/>
      </c>
      <c r="N300" s="6">
        <f>HYPERLINK("http://www.eum.go.kr/web/ar/lu/luLandDet.jsp?pnu=3611034046100820001&amp;isNoScr=script&amp;mode=search", "토지이음")</f>
        <v/>
      </c>
      <c r="O300" s="3" t="inlineStr">
        <is>
          <t>the다올</t>
        </is>
      </c>
      <c r="P300" s="3" t="n">
        <v>2</v>
      </c>
      <c r="Q300" s="3" t="n">
        <v>662</v>
      </c>
      <c r="R300" s="3" t="inlineStr">
        <is>
          <t>지정되지않음</t>
        </is>
      </c>
      <c r="S300" s="3" t="inlineStr">
        <is>
          <t>전</t>
        </is>
      </c>
      <c r="T300" s="3" t="inlineStr">
        <is>
          <t>완경사</t>
        </is>
      </c>
      <c r="U300" s="3" t="inlineStr">
        <is>
          <t>부정형</t>
        </is>
      </c>
      <c r="V300" s="3" t="inlineStr">
        <is>
          <t>소로한면</t>
        </is>
      </c>
    </row>
    <row r="301">
      <c r="A301" s="3" t="inlineStr">
        <is>
          <t>세종특별자치시 금남면 도남리 84</t>
        </is>
      </c>
      <c r="B301" s="3" t="inlineStr">
        <is>
          <t>보전관리지역</t>
        </is>
      </c>
      <c r="C301" s="3" t="inlineStr">
        <is>
          <t>전</t>
        </is>
      </c>
      <c r="D301" s="3" t="inlineStr">
        <is>
          <t>전</t>
        </is>
      </c>
      <c r="E301" s="3" t="inlineStr">
        <is>
          <t>매매</t>
        </is>
      </c>
      <c r="F301" s="4" t="n">
        <v>46400</v>
      </c>
      <c r="G301" s="4" t="n">
        <v>1279</v>
      </c>
      <c r="H301" s="4" t="n">
        <v>387</v>
      </c>
      <c r="I301" s="5" t="n">
        <v>119.9</v>
      </c>
      <c r="J301" s="4" t="n">
        <v>61.9</v>
      </c>
      <c r="K301" s="3" t="inlineStr">
        <is>
          <t>금남면 도남리 2차선변 보전관리 토지, 금강수목원 인근, 불티교 통함</t>
        </is>
      </c>
      <c r="L301" s="6">
        <f>HYPERLINK("https://fin.land.naver.com/articles/2647204782", "매물Link")</f>
        <v/>
      </c>
      <c r="M301" s="6">
        <f>HYPERLINK("https://map.naver.com/p/search/세종특별자치시 금남면 도남리 84", "지도Link")</f>
        <v/>
      </c>
      <c r="N301" s="6">
        <f>HYPERLINK("http://www.eum.go.kr/web/ar/lu/luLandDet.jsp?pnu=3611034046100840000&amp;isNoScr=script&amp;mode=search", "토지이음")</f>
        <v/>
      </c>
      <c r="O301" s="3" t="inlineStr">
        <is>
          <t>스카이</t>
        </is>
      </c>
      <c r="P301" s="3" t="n">
        <v>1</v>
      </c>
      <c r="Q301" s="3" t="n">
        <v>1279</v>
      </c>
      <c r="R301" s="3" t="inlineStr">
        <is>
          <t>지정되지않음</t>
        </is>
      </c>
      <c r="S301" s="3" t="inlineStr">
        <is>
          <t>전</t>
        </is>
      </c>
      <c r="T301" s="3" t="inlineStr">
        <is>
          <t>평지</t>
        </is>
      </c>
      <c r="U301" s="3" t="inlineStr">
        <is>
          <t>부정형</t>
        </is>
      </c>
      <c r="V301" s="3" t="inlineStr">
        <is>
          <t>소로한면</t>
        </is>
      </c>
    </row>
    <row r="302">
      <c r="A302" s="3" t="inlineStr">
        <is>
          <t>세종특별자치시 금남면 도남리 96-1</t>
        </is>
      </c>
      <c r="B302" s="3" t="inlineStr">
        <is>
          <t>계획관리지역</t>
        </is>
      </c>
      <c r="C302" s="3" t="inlineStr">
        <is>
          <t>전</t>
        </is>
      </c>
      <c r="D302" s="3" t="inlineStr">
        <is>
          <t>전</t>
        </is>
      </c>
      <c r="E302" s="3" t="inlineStr">
        <is>
          <t>매매</t>
        </is>
      </c>
      <c r="F302" s="4" t="n">
        <v>25000</v>
      </c>
      <c r="G302" s="4" t="n">
        <v>520</v>
      </c>
      <c r="H302" s="4" t="n">
        <v>157</v>
      </c>
      <c r="I302" s="5" t="n">
        <v>159.2</v>
      </c>
      <c r="J302" s="4" t="n">
        <v>86.2</v>
      </c>
      <c r="K302" s="3" t="inlineStr">
        <is>
          <t>금남면 도남리 계획관리 토지, 도로접, 농막 및 체류형 쉼터, 투자용</t>
        </is>
      </c>
      <c r="L302" s="6">
        <f>HYPERLINK("https://fin.land.naver.com/articles/2647204238", "매물Link")</f>
        <v/>
      </c>
      <c r="M302" s="6">
        <f>HYPERLINK("https://map.naver.com/p/search/세종특별자치시 금남면 도남리 96-1", "지도Link")</f>
        <v/>
      </c>
      <c r="N302" s="6">
        <f>HYPERLINK("http://www.eum.go.kr/web/ar/lu/luLandDet.jsp?pnu=3611034046100960001&amp;isNoScr=script&amp;mode=search", "토지이음")</f>
        <v/>
      </c>
      <c r="O302" s="3" t="inlineStr">
        <is>
          <t>스카이</t>
        </is>
      </c>
      <c r="P302" s="3" t="n">
        <v>1</v>
      </c>
      <c r="Q302" s="3" t="n">
        <v>520</v>
      </c>
      <c r="R302" s="3" t="inlineStr">
        <is>
          <t>지정되지않음</t>
        </is>
      </c>
      <c r="S302" s="3" t="inlineStr">
        <is>
          <t>전</t>
        </is>
      </c>
      <c r="T302" s="3" t="inlineStr">
        <is>
          <t>완경사</t>
        </is>
      </c>
      <c r="U302" s="3" t="inlineStr">
        <is>
          <t>부정형</t>
        </is>
      </c>
      <c r="V302" s="3" t="inlineStr">
        <is>
          <t>세로한면(가)</t>
        </is>
      </c>
    </row>
    <row r="303">
      <c r="A303" s="3" t="inlineStr">
        <is>
          <t>세종특별자치시 금남면 도남리 99</t>
        </is>
      </c>
      <c r="B303" s="3" t="inlineStr">
        <is>
          <t>계획관리지역</t>
        </is>
      </c>
      <c r="C303" s="3" t="inlineStr">
        <is>
          <t>대</t>
        </is>
      </c>
      <c r="D303" s="3" t="inlineStr">
        <is>
          <t>대</t>
        </is>
      </c>
      <c r="E303" s="3" t="inlineStr">
        <is>
          <t>매매</t>
        </is>
      </c>
      <c r="F303" s="4" t="n">
        <v>37000</v>
      </c>
      <c r="G303" s="4" t="n">
        <v>539</v>
      </c>
      <c r="H303" s="4" t="n">
        <v>163</v>
      </c>
      <c r="I303" s="5" t="n">
        <v>227</v>
      </c>
      <c r="J303" s="4" t="n">
        <v>126.7</v>
      </c>
      <c r="K303" s="3" t="inlineStr">
        <is>
          <t>대지 건축가능 남동향 급매물</t>
        </is>
      </c>
      <c r="L303" s="6">
        <f>HYPERLINK("https://fin.land.naver.com/articles/2649386053", "매물Link")</f>
        <v/>
      </c>
      <c r="M303" s="6">
        <f>HYPERLINK("https://map.naver.com/p/search/세종특별자치시 금남면 도남리 99", "지도Link")</f>
        <v/>
      </c>
      <c r="N303" s="6">
        <f>HYPERLINK("http://www.eum.go.kr/web/ar/lu/luLandDet.jsp?pnu=3611034046100990000&amp;isNoScr=script&amp;mode=search", "토지이음")</f>
        <v/>
      </c>
      <c r="O303" s="3" t="inlineStr">
        <is>
          <t>신현대</t>
        </is>
      </c>
      <c r="P303" s="3" t="n">
        <v>1</v>
      </c>
      <c r="Q303" s="3" t="n">
        <v>539</v>
      </c>
      <c r="R303" s="3" t="inlineStr">
        <is>
          <t>지정되지않음</t>
        </is>
      </c>
      <c r="S303" s="3" t="inlineStr">
        <is>
          <t>단독</t>
        </is>
      </c>
      <c r="T303" s="3" t="inlineStr">
        <is>
          <t>평지</t>
        </is>
      </c>
      <c r="U303" s="3" t="inlineStr">
        <is>
          <t>부정형</t>
        </is>
      </c>
      <c r="V303" s="3" t="inlineStr">
        <is>
          <t>세로한면(가)</t>
        </is>
      </c>
    </row>
    <row r="304">
      <c r="A304" s="3" t="inlineStr">
        <is>
          <t>세종특별자치시 금남면 도남리 산9-1</t>
        </is>
      </c>
      <c r="B304" s="3" t="inlineStr">
        <is>
          <t>보전관리지역</t>
        </is>
      </c>
      <c r="C304" s="3" t="inlineStr">
        <is>
          <t>임야</t>
        </is>
      </c>
      <c r="D304" s="3" t="inlineStr">
        <is>
          <t>임야</t>
        </is>
      </c>
      <c r="E304" s="3" t="inlineStr">
        <is>
          <t>매매</t>
        </is>
      </c>
      <c r="F304" s="4" t="n">
        <v>3100000</v>
      </c>
      <c r="G304" s="4" t="n">
        <v>50987</v>
      </c>
      <c r="H304" s="4" t="n">
        <v>15424</v>
      </c>
      <c r="I304" s="5" t="n">
        <v>201</v>
      </c>
      <c r="J304" s="4" t="n">
        <v>20.5</v>
      </c>
      <c r="K304" s="3" t="inlineStr">
        <is>
          <t>도남리 금강조망 나오는 타운하우스 개발용 토지매매</t>
        </is>
      </c>
      <c r="L304" s="6">
        <f>HYPERLINK("https://fin.land.naver.com/articles/2648545919", "매물Link")</f>
        <v/>
      </c>
      <c r="M304" s="6">
        <f>HYPERLINK("https://map.naver.com/p/search/세종특별자치시 금남면 도남리 산9-1", "지도Link")</f>
        <v/>
      </c>
      <c r="N304" s="6">
        <f>HYPERLINK("http://www.eum.go.kr/web/ar/lu/luLandDet.jsp?pnu=3611034046200090001&amp;isNoScr=script&amp;mode=search", "토지이음")</f>
        <v/>
      </c>
      <c r="O304" s="3" t="inlineStr">
        <is>
          <t>에이스</t>
        </is>
      </c>
      <c r="P304" s="3" t="n">
        <v>1</v>
      </c>
      <c r="Q304" s="3" t="n">
        <v>10500</v>
      </c>
      <c r="R304" s="3" t="inlineStr">
        <is>
          <t>지정되지않음</t>
        </is>
      </c>
      <c r="S304" s="3" t="inlineStr">
        <is>
          <t>자연림</t>
        </is>
      </c>
      <c r="T304" s="3" t="inlineStr">
        <is>
          <t>완경사</t>
        </is>
      </c>
      <c r="U304" s="3" t="inlineStr">
        <is>
          <t>부정형</t>
        </is>
      </c>
      <c r="V304" s="3" t="inlineStr">
        <is>
          <t>소로한면</t>
        </is>
      </c>
    </row>
    <row r="305">
      <c r="A305" s="3" t="inlineStr">
        <is>
          <t>세종특별자치시 금남면 도암리 101-2</t>
        </is>
      </c>
      <c r="B305" s="3" t="inlineStr">
        <is>
          <t>농림지역</t>
        </is>
      </c>
      <c r="C305" s="3" t="inlineStr">
        <is>
          <t>전</t>
        </is>
      </c>
      <c r="D305" s="3" t="inlineStr">
        <is>
          <t>전</t>
        </is>
      </c>
      <c r="E305" s="3" t="inlineStr">
        <is>
          <t>매매</t>
        </is>
      </c>
      <c r="F305" s="4" t="n">
        <v>300000</v>
      </c>
      <c r="G305" s="4" t="n">
        <v>2059</v>
      </c>
      <c r="H305" s="4" t="n">
        <v>623</v>
      </c>
      <c r="I305" s="5" t="n">
        <v>481.5</v>
      </c>
      <c r="J305" s="4" t="n">
        <v>53.5</v>
      </c>
      <c r="K305" s="3" t="inlineStr">
        <is>
          <t>도로연접한 귀한 가치가 있는 땅</t>
        </is>
      </c>
      <c r="L305" s="6">
        <f>HYPERLINK("https://fin.land.naver.com/articles/2645001006", "매물Link")</f>
        <v/>
      </c>
      <c r="M305" s="6">
        <f>HYPERLINK("https://map.naver.com/p/search/세종특별자치시 금남면 도암리 101-2", "지도Link")</f>
        <v/>
      </c>
      <c r="N305" s="6">
        <f>HYPERLINK("http://www.eum.go.kr/web/ar/lu/luLandDet.jsp?pnu=3611034039101010002&amp;isNoScr=script&amp;mode=search", "토지이음")</f>
        <v/>
      </c>
      <c r="O305" s="3" t="inlineStr">
        <is>
          <t>금돼지</t>
        </is>
      </c>
      <c r="P305" s="3" t="n">
        <v>1</v>
      </c>
      <c r="Q305" s="3" t="n">
        <v>2059</v>
      </c>
      <c r="R305" s="3" t="inlineStr">
        <is>
          <t>지정되지않음</t>
        </is>
      </c>
      <c r="S305" s="3" t="inlineStr">
        <is>
          <t>전</t>
        </is>
      </c>
      <c r="T305" s="3" t="inlineStr">
        <is>
          <t>평지</t>
        </is>
      </c>
      <c r="U305" s="3" t="inlineStr">
        <is>
          <t>부정형</t>
        </is>
      </c>
      <c r="V305" s="3" t="inlineStr">
        <is>
          <t>세로한면(가)</t>
        </is>
      </c>
    </row>
    <row r="306">
      <c r="A306" s="3" t="inlineStr">
        <is>
          <t>세종특별자치시 금남면 도암리 226-2</t>
        </is>
      </c>
      <c r="B306" s="3" t="inlineStr">
        <is>
          <t>생산관리지역</t>
        </is>
      </c>
      <c r="C306" s="3" t="inlineStr">
        <is>
          <t>전</t>
        </is>
      </c>
      <c r="D306" s="3" t="inlineStr">
        <is>
          <t>전</t>
        </is>
      </c>
      <c r="E306" s="3" t="inlineStr">
        <is>
          <t>매매</t>
        </is>
      </c>
      <c r="F306" s="4" t="n">
        <v>107000</v>
      </c>
      <c r="G306" s="4" t="n">
        <v>1770</v>
      </c>
      <c r="H306" s="4" t="n">
        <v>535</v>
      </c>
      <c r="I306" s="5" t="n">
        <v>200</v>
      </c>
      <c r="J306" s="4" t="n">
        <v>63.1</v>
      </c>
      <c r="K306" s="3" t="inlineStr">
        <is>
          <t>금남면 도암리 토지 전. 생산관리지역</t>
        </is>
      </c>
      <c r="L306" s="6">
        <f>HYPERLINK("https://fin.land.naver.com/articles/2649183578", "매물Link")</f>
        <v/>
      </c>
      <c r="M306" s="6">
        <f>HYPERLINK("https://map.naver.com/p/search/세종특별자치시 금남면 도암리 226-2", "지도Link")</f>
        <v/>
      </c>
      <c r="N306" s="6">
        <f>HYPERLINK("http://www.eum.go.kr/web/ar/lu/luLandDet.jsp?pnu=3611034039102260002&amp;isNoScr=script&amp;mode=search", "토지이음")</f>
        <v/>
      </c>
      <c r="O306" s="3" t="inlineStr">
        <is>
          <t>새롬삼둥이</t>
        </is>
      </c>
      <c r="P306" s="3" t="n">
        <v>1</v>
      </c>
      <c r="Q306" s="3" t="n">
        <v>1770</v>
      </c>
      <c r="R306" s="3" t="inlineStr">
        <is>
          <t>지정되지않음</t>
        </is>
      </c>
      <c r="S306" s="3" t="inlineStr">
        <is>
          <t>전</t>
        </is>
      </c>
      <c r="T306" s="3" t="inlineStr">
        <is>
          <t>완경사</t>
        </is>
      </c>
      <c r="U306" s="3" t="inlineStr">
        <is>
          <t>부정형</t>
        </is>
      </c>
      <c r="V306" s="3" t="inlineStr">
        <is>
          <t>세로한면(가)</t>
        </is>
      </c>
    </row>
    <row r="307">
      <c r="A307" s="3" t="inlineStr">
        <is>
          <t>세종특별자치시 금남면 도암리 245-1</t>
        </is>
      </c>
      <c r="B307" s="3" t="inlineStr">
        <is>
          <t>생산관리지역</t>
        </is>
      </c>
      <c r="C307" s="3" t="inlineStr">
        <is>
          <t>답</t>
        </is>
      </c>
      <c r="D307" s="3" t="inlineStr">
        <is>
          <t>답</t>
        </is>
      </c>
      <c r="E307" s="3" t="inlineStr">
        <is>
          <t>매매</t>
        </is>
      </c>
      <c r="F307" s="4" t="n">
        <v>161400</v>
      </c>
      <c r="G307" s="4" t="n">
        <v>3444</v>
      </c>
      <c r="H307" s="4" t="n">
        <v>1042</v>
      </c>
      <c r="I307" s="5" t="n">
        <v>154.9</v>
      </c>
      <c r="J307" s="4" t="n">
        <v>66.59999999999999</v>
      </c>
      <c r="K307" s="3" t="inlineStr">
        <is>
          <t>도암리 마을회관앞 주위 단독주택 소재하는곳</t>
        </is>
      </c>
      <c r="L307" s="6">
        <f>HYPERLINK("https://fin.land.naver.com/articles/2644730174", "매물Link")</f>
        <v/>
      </c>
      <c r="M307" s="6">
        <f>HYPERLINK("https://map.naver.com/p/search/세종특별자치시 금남면 도암리 245-1", "지도Link")</f>
        <v/>
      </c>
      <c r="N307" s="6">
        <f>HYPERLINK("http://www.eum.go.kr/web/ar/lu/luLandDet.jsp?pnu=3611034039102450001&amp;isNoScr=script&amp;mode=search", "토지이음")</f>
        <v/>
      </c>
      <c r="O307" s="3" t="inlineStr">
        <is>
          <t>원내</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세종특별자치시 금남면 도암리 245-1</t>
        </is>
      </c>
      <c r="B308" s="3" t="inlineStr">
        <is>
          <t>생산관리지역</t>
        </is>
      </c>
      <c r="C308" s="3" t="inlineStr">
        <is>
          <t>답</t>
        </is>
      </c>
      <c r="D308" s="3" t="inlineStr">
        <is>
          <t>답</t>
        </is>
      </c>
      <c r="E308" s="3" t="inlineStr">
        <is>
          <t>매매</t>
        </is>
      </c>
      <c r="F308" s="4" t="n">
        <v>155000</v>
      </c>
      <c r="G308" s="4" t="n">
        <v>3444</v>
      </c>
      <c r="H308" s="4" t="n">
        <v>1042</v>
      </c>
      <c r="I308" s="5" t="n">
        <v>148.8</v>
      </c>
      <c r="J308" s="4" t="n">
        <v>66.59999999999999</v>
      </c>
      <c r="K308" s="3" t="inlineStr">
        <is>
          <t>세종 3생활권 인접 금남면 도암리 성장관리구역 토지</t>
        </is>
      </c>
      <c r="L308" s="6">
        <f>HYPERLINK("https://fin.land.naver.com/articles/2648791490", "매물Link")</f>
        <v/>
      </c>
      <c r="M308" s="6">
        <f>HYPERLINK("https://map.naver.com/p/search/세종특별자치시 금남면 도암리 245-1", "지도Link")</f>
        <v/>
      </c>
      <c r="N308" s="6">
        <f>HYPERLINK("http://www.eum.go.kr/web/ar/lu/luLandDet.jsp?pnu=3611034039102450001&amp;isNoScr=script&amp;mode=search", "토지이음")</f>
        <v/>
      </c>
      <c r="O308" s="3" t="inlineStr">
        <is>
          <t>미래</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세종특별자치시 금남면 도암리 245-1</t>
        </is>
      </c>
      <c r="B309" s="3" t="inlineStr">
        <is>
          <t>생산관리지역</t>
        </is>
      </c>
      <c r="C309" s="3" t="inlineStr">
        <is>
          <t>답</t>
        </is>
      </c>
      <c r="D309" s="3" t="inlineStr">
        <is>
          <t>답</t>
        </is>
      </c>
      <c r="E309" s="3" t="inlineStr">
        <is>
          <t>매매</t>
        </is>
      </c>
      <c r="F309" s="4" t="n">
        <v>151000</v>
      </c>
      <c r="G309" s="4" t="n">
        <v>3444</v>
      </c>
      <c r="H309" s="4" t="n">
        <v>1042</v>
      </c>
      <c r="I309" s="5" t="n">
        <v>144.9</v>
      </c>
      <c r="J309" s="4" t="n">
        <v>66.59999999999999</v>
      </c>
      <c r="K309" s="3" t="inlineStr">
        <is>
          <t>급매 도암리 최저가 귀한매물</t>
        </is>
      </c>
      <c r="L309" s="6">
        <f>HYPERLINK("https://fin.land.naver.com/articles/2648716387", "매물Link")</f>
        <v/>
      </c>
      <c r="M309" s="6">
        <f>HYPERLINK("https://map.naver.com/p/search/세종특별자치시 금남면 도암리 245-1", "지도Link")</f>
        <v/>
      </c>
      <c r="N309" s="6">
        <f>HYPERLINK("http://www.eum.go.kr/web/ar/lu/luLandDet.jsp?pnu=3611034039102450001&amp;isNoScr=script&amp;mode=search", "토지이음")</f>
        <v/>
      </c>
      <c r="O309" s="3" t="inlineStr">
        <is>
          <t>세종스타</t>
        </is>
      </c>
      <c r="P309" s="3" t="n">
        <v>1</v>
      </c>
      <c r="Q309" s="3" t="n">
        <v>1745</v>
      </c>
      <c r="R309" s="3" t="inlineStr">
        <is>
          <t>지정되지않음</t>
        </is>
      </c>
      <c r="S309" s="3" t="inlineStr">
        <is>
          <t>답</t>
        </is>
      </c>
      <c r="T309" s="3" t="inlineStr">
        <is>
          <t>완경사</t>
        </is>
      </c>
      <c r="U309" s="3" t="inlineStr">
        <is>
          <t>부정형</t>
        </is>
      </c>
      <c r="V309" s="3" t="inlineStr">
        <is>
          <t>세로한면(가)</t>
        </is>
      </c>
    </row>
    <row r="310">
      <c r="A310" s="3" t="inlineStr">
        <is>
          <t>세종특별자치시 금남면 도암리 275</t>
        </is>
      </c>
      <c r="B310" s="3" t="inlineStr">
        <is>
          <t>계획관리지역</t>
        </is>
      </c>
      <c r="C310" s="3" t="inlineStr">
        <is>
          <t>대</t>
        </is>
      </c>
      <c r="D310" s="3" t="inlineStr">
        <is>
          <t>대</t>
        </is>
      </c>
      <c r="E310" s="3" t="inlineStr">
        <is>
          <t>매매</t>
        </is>
      </c>
      <c r="F310" s="4" t="n">
        <v>35000</v>
      </c>
      <c r="G310" s="4" t="n">
        <v>566</v>
      </c>
      <c r="H310" s="4" t="n">
        <v>171</v>
      </c>
      <c r="I310" s="5" t="n">
        <v>204.7</v>
      </c>
      <c r="J310" s="4" t="n">
        <v>135.2</v>
      </c>
      <c r="K310" s="3" t="inlineStr">
        <is>
          <t>계획관리지역, 세종시 개발의 중심, KTX세종역 예정지 인접</t>
        </is>
      </c>
      <c r="L310" s="6">
        <f>HYPERLINK("https://fin.land.naver.com/articles/2648664519", "매물Link")</f>
        <v/>
      </c>
      <c r="M310" s="6">
        <f>HYPERLINK("https://map.naver.com/p/search/세종특별자치시 금남면 도암리 275", "지도Link")</f>
        <v/>
      </c>
      <c r="N310" s="6">
        <f>HYPERLINK("http://www.eum.go.kr/web/ar/lu/luLandDet.jsp?pnu=3611034039102750000&amp;isNoScr=script&amp;mode=search", "토지이음")</f>
        <v/>
      </c>
      <c r="O310" s="3" t="inlineStr">
        <is>
          <t>세종</t>
        </is>
      </c>
      <c r="P310" s="3" t="n">
        <v>1</v>
      </c>
      <c r="Q310" s="3" t="n">
        <v>566</v>
      </c>
      <c r="R310" s="3" t="inlineStr">
        <is>
          <t>지정되지않음</t>
        </is>
      </c>
      <c r="S310" s="3" t="inlineStr">
        <is>
          <t>단독</t>
        </is>
      </c>
      <c r="T310" s="3" t="inlineStr">
        <is>
          <t>평지</t>
        </is>
      </c>
      <c r="U310" s="3" t="inlineStr">
        <is>
          <t>부정형</t>
        </is>
      </c>
      <c r="V310" s="3" t="inlineStr">
        <is>
          <t>세로한면(가)</t>
        </is>
      </c>
    </row>
    <row r="311">
      <c r="A311" s="3" t="inlineStr">
        <is>
          <t>세종특별자치시 금남면 도암리 289</t>
        </is>
      </c>
      <c r="B311" s="3" t="inlineStr">
        <is>
          <t>생산관리지역</t>
        </is>
      </c>
      <c r="C311" s="3" t="inlineStr">
        <is>
          <t>전</t>
        </is>
      </c>
      <c r="D311" s="3" t="inlineStr">
        <is>
          <t>전</t>
        </is>
      </c>
      <c r="E311" s="3" t="inlineStr">
        <is>
          <t>매매</t>
        </is>
      </c>
      <c r="F311" s="4" t="n">
        <v>61120</v>
      </c>
      <c r="G311" s="4" t="n">
        <v>1262</v>
      </c>
      <c r="H311" s="4" t="n">
        <v>382</v>
      </c>
      <c r="I311" s="5" t="n">
        <v>160</v>
      </c>
      <c r="J311" s="4" t="n">
        <v>75.3</v>
      </c>
      <c r="K311" s="3" t="inlineStr">
        <is>
          <t>조용한 시골에 농막 놓고 주말농장겸 투자용으로 딱인 토지</t>
        </is>
      </c>
      <c r="L311" s="6">
        <f>HYPERLINK("https://fin.land.naver.com/articles/2647392043", "매물Link")</f>
        <v/>
      </c>
      <c r="M311" s="6">
        <f>HYPERLINK("https://map.naver.com/p/search/세종특별자치시 금남면 도암리 289", "지도Link")</f>
        <v/>
      </c>
      <c r="N311" s="6">
        <f>HYPERLINK("http://www.eum.go.kr/web/ar/lu/luLandDet.jsp?pnu=3611034039102890000&amp;isNoScr=script&amp;mode=search", "토지이음")</f>
        <v/>
      </c>
      <c r="O311" s="3" t="inlineStr">
        <is>
          <t>신와촌</t>
        </is>
      </c>
      <c r="P311" s="3" t="n">
        <v>1</v>
      </c>
      <c r="Q311" s="3" t="n">
        <v>1247</v>
      </c>
      <c r="R311" s="3" t="inlineStr">
        <is>
          <t>지정되지않음</t>
        </is>
      </c>
      <c r="S311" s="3" t="inlineStr">
        <is>
          <t>전</t>
        </is>
      </c>
      <c r="T311" s="3" t="inlineStr">
        <is>
          <t>평지</t>
        </is>
      </c>
      <c r="U311" s="3" t="inlineStr">
        <is>
          <t>가로장방</t>
        </is>
      </c>
      <c r="V311" s="3" t="inlineStr">
        <is>
          <t>세로한면(가)</t>
        </is>
      </c>
    </row>
    <row r="312">
      <c r="A312" s="3" t="inlineStr">
        <is>
          <t>세종특별자치시 금남면 도암리 353-4</t>
        </is>
      </c>
      <c r="B312" s="3" t="inlineStr">
        <is>
          <t>생산관리지역</t>
        </is>
      </c>
      <c r="C312" s="3" t="inlineStr">
        <is>
          <t>임야</t>
        </is>
      </c>
      <c r="D312" s="3" t="inlineStr">
        <is>
          <t>임야</t>
        </is>
      </c>
      <c r="E312" s="3" t="inlineStr">
        <is>
          <t>매매</t>
        </is>
      </c>
      <c r="F312" s="4" t="n">
        <v>200000</v>
      </c>
      <c r="G312" s="4" t="n">
        <v>5284</v>
      </c>
      <c r="H312" s="4" t="n">
        <v>1598</v>
      </c>
      <c r="I312" s="5" t="n">
        <v>125.2</v>
      </c>
      <c r="J312" s="4" t="n">
        <v>27.9</v>
      </c>
      <c r="K312" s="3" t="inlineStr">
        <is>
          <t>KTX세종역과 근접한 야산으로 생산관리지역 성장관리계획구역의 투자용 토지</t>
        </is>
      </c>
      <c r="L312" s="6">
        <f>HYPERLINK("https://fin.land.naver.com/articles/2647012941", "매물Link")</f>
        <v/>
      </c>
      <c r="M312" s="6">
        <f>HYPERLINK("https://map.naver.com/p/search/세종특별자치시 금남면 도암리 353-4", "지도Link")</f>
        <v/>
      </c>
      <c r="N312" s="6">
        <f>HYPERLINK("http://www.eum.go.kr/web/ar/lu/luLandDet.jsp?pnu=3611034039103530004&amp;isNoScr=script&amp;mode=search", "토지이음")</f>
        <v/>
      </c>
      <c r="O312" s="3" t="inlineStr">
        <is>
          <t>스마일세종</t>
        </is>
      </c>
      <c r="P312" s="3" t="n">
        <v>1</v>
      </c>
      <c r="Q312" s="3" t="n">
        <v>5284</v>
      </c>
      <c r="R312" s="3" t="inlineStr">
        <is>
          <t>지정되지않음</t>
        </is>
      </c>
      <c r="S312" s="3" t="inlineStr">
        <is>
          <t>자연림</t>
        </is>
      </c>
      <c r="T312" s="3" t="inlineStr">
        <is>
          <t>완경사</t>
        </is>
      </c>
      <c r="U312" s="3" t="inlineStr">
        <is>
          <t>부정형</t>
        </is>
      </c>
      <c r="V312" s="3" t="inlineStr">
        <is>
          <t>세로한면(가)</t>
        </is>
      </c>
    </row>
    <row r="313">
      <c r="A313" s="3" t="inlineStr">
        <is>
          <t>세종특별자치시 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HYPERLINK("https://map.naver.com/p/search/세종특별자치시 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세종특별자치시 금남면 도암리 353-7</t>
        </is>
      </c>
      <c r="B314" s="3" t="inlineStr">
        <is>
          <t>생산관리지역</t>
        </is>
      </c>
      <c r="C314" s="3" t="inlineStr">
        <is>
          <t>임야</t>
        </is>
      </c>
      <c r="D314" s="3" t="inlineStr">
        <is>
          <t>임야</t>
        </is>
      </c>
      <c r="E314" s="3" t="inlineStr">
        <is>
          <t>매매</t>
        </is>
      </c>
      <c r="F314" s="4" t="n">
        <v>67800</v>
      </c>
      <c r="G314" s="4" t="n">
        <v>1794</v>
      </c>
      <c r="H314" s="4" t="n">
        <v>543</v>
      </c>
      <c r="I314" s="5" t="n">
        <v>124.9</v>
      </c>
      <c r="J314" s="4" t="n">
        <v>61.3</v>
      </c>
      <c r="K314" s="3" t="inlineStr">
        <is>
          <t>nan</t>
        </is>
      </c>
      <c r="L314" s="6">
        <f>HYPERLINK("https://fin.land.naver.com/articles/2645087161", "매물Link")</f>
        <v/>
      </c>
      <c r="M314" s="6">
        <f>HYPERLINK("https://map.naver.com/p/search/세종특별자치시 금남면 도암리 353-7", "지도Link")</f>
        <v/>
      </c>
      <c r="N314" s="6">
        <f>HYPERLINK("http://www.eum.go.kr/web/ar/lu/luLandDet.jsp?pnu=3611034039103530007&amp;isNoScr=script&amp;mode=search", "토지이음")</f>
        <v/>
      </c>
      <c r="O314" s="3" t="inlineStr">
        <is>
          <t>세종</t>
        </is>
      </c>
      <c r="P314" s="3" t="n">
        <v>1</v>
      </c>
      <c r="Q314" s="3" t="n">
        <v>1794</v>
      </c>
      <c r="R314" s="3" t="inlineStr">
        <is>
          <t>지정되지않음</t>
        </is>
      </c>
      <c r="S314" s="3" t="inlineStr">
        <is>
          <t>전</t>
        </is>
      </c>
      <c r="T314" s="3" t="inlineStr">
        <is>
          <t>완경사</t>
        </is>
      </c>
      <c r="U314" s="3" t="inlineStr">
        <is>
          <t>부정형</t>
        </is>
      </c>
      <c r="V314" s="3" t="inlineStr">
        <is>
          <t>세로한면(가)</t>
        </is>
      </c>
    </row>
    <row r="315">
      <c r="A315" s="3" t="inlineStr">
        <is>
          <t>세종특별자치시 금남면 도암리 518</t>
        </is>
      </c>
      <c r="B315" s="3" t="inlineStr">
        <is>
          <t>계획관리지역</t>
        </is>
      </c>
      <c r="C315" s="3" t="inlineStr">
        <is>
          <t>답</t>
        </is>
      </c>
      <c r="D315" s="3" t="inlineStr">
        <is>
          <t>답</t>
        </is>
      </c>
      <c r="E315" s="3" t="inlineStr">
        <is>
          <t>매매</t>
        </is>
      </c>
      <c r="F315" s="4" t="n">
        <v>120000</v>
      </c>
      <c r="G315" s="4" t="n">
        <v>3590</v>
      </c>
      <c r="H315" s="4" t="n">
        <v>1086</v>
      </c>
      <c r="I315" s="5" t="n">
        <v>110.5</v>
      </c>
      <c r="J315" s="4" t="n">
        <v>57.4</v>
      </c>
      <c r="K315" s="3" t="inlineStr">
        <is>
          <t>인기있는 도암리 토지 계획관리지역</t>
        </is>
      </c>
      <c r="L315" s="6">
        <f>HYPERLINK("https://fin.land.naver.com/articles/2646140537", "매물Link")</f>
        <v/>
      </c>
      <c r="M315" s="6">
        <f>HYPERLINK("https://map.naver.com/p/search/세종특별자치시 금남면 도암리 518", "지도Link")</f>
        <v/>
      </c>
      <c r="N315" s="6">
        <f>HYPERLINK("http://www.eum.go.kr/web/ar/lu/luLandDet.jsp?pnu=3611034039105180000&amp;isNoScr=script&amp;mode=search", "토지이음")</f>
        <v/>
      </c>
      <c r="O315" s="3" t="inlineStr">
        <is>
          <t>새롬삼둥이</t>
        </is>
      </c>
      <c r="P315" s="3" t="n">
        <v>1</v>
      </c>
      <c r="Q315" s="3" t="n">
        <v>3590</v>
      </c>
      <c r="R315" s="3" t="inlineStr">
        <is>
          <t>지정되지않음</t>
        </is>
      </c>
      <c r="S315" s="3" t="inlineStr">
        <is>
          <t>답</t>
        </is>
      </c>
      <c r="T315" s="3" t="inlineStr">
        <is>
          <t>평지</t>
        </is>
      </c>
      <c r="U315" s="3" t="inlineStr">
        <is>
          <t>부정형</t>
        </is>
      </c>
      <c r="V315" s="3" t="inlineStr">
        <is>
          <t>세로한면(불)</t>
        </is>
      </c>
    </row>
    <row r="316">
      <c r="A316" s="3" t="inlineStr">
        <is>
          <t>세종특별자치시 금남면 도암리 561</t>
        </is>
      </c>
      <c r="B316" s="3" t="inlineStr">
        <is>
          <t>보전관리지역</t>
        </is>
      </c>
      <c r="C316" s="3" t="inlineStr">
        <is>
          <t>전</t>
        </is>
      </c>
      <c r="D316" s="3" t="inlineStr">
        <is>
          <t>전</t>
        </is>
      </c>
      <c r="E316" s="3" t="inlineStr">
        <is>
          <t>매매</t>
        </is>
      </c>
      <c r="F316" s="4" t="n">
        <v>61000</v>
      </c>
      <c r="G316" s="4" t="n">
        <v>2357</v>
      </c>
      <c r="H316" s="4" t="n">
        <v>713</v>
      </c>
      <c r="I316" s="5" t="n">
        <v>85.59999999999999</v>
      </c>
      <c r="J316" s="4" t="n">
        <v>35.1</v>
      </c>
      <c r="K316" s="3" t="inlineStr">
        <is>
          <t>0매우 저렴0, 세종 10분, 대전 10분 거리의 인기 지역 토지</t>
        </is>
      </c>
      <c r="L316" s="6">
        <f>HYPERLINK("https://fin.land.naver.com/articles/2646258248", "매물Link")</f>
        <v/>
      </c>
      <c r="M316" s="6">
        <f>HYPERLINK("https://map.naver.com/p/search/세종특별자치시 금남면 도암리 561", "지도Link")</f>
        <v/>
      </c>
      <c r="N316" s="6">
        <f>HYPERLINK("http://www.eum.go.kr/web/ar/lu/luLandDet.jsp?pnu=3611034039105610000&amp;isNoScr=script&amp;mode=search", "토지이음")</f>
        <v/>
      </c>
      <c r="O316" s="3" t="inlineStr">
        <is>
          <t>허브</t>
        </is>
      </c>
      <c r="P316" s="3" t="n">
        <v>1</v>
      </c>
      <c r="Q316" s="3" t="n">
        <v>2357</v>
      </c>
      <c r="R316" s="3" t="inlineStr">
        <is>
          <t>지정되지않음</t>
        </is>
      </c>
      <c r="S316" s="3" t="inlineStr">
        <is>
          <t>전</t>
        </is>
      </c>
      <c r="T316" s="3" t="inlineStr">
        <is>
          <t>완경사</t>
        </is>
      </c>
      <c r="U316" s="3" t="inlineStr">
        <is>
          <t>부정형</t>
        </is>
      </c>
      <c r="V316" s="3" t="inlineStr">
        <is>
          <t>세로한면(가)</t>
        </is>
      </c>
    </row>
    <row r="317">
      <c r="A317" s="3" t="inlineStr">
        <is>
          <t>세종특별자치시 금남면 도암리 610-3</t>
        </is>
      </c>
      <c r="B317" s="3" t="inlineStr">
        <is>
          <t>생산관리지역</t>
        </is>
      </c>
      <c r="C317" s="3" t="inlineStr">
        <is>
          <t>전</t>
        </is>
      </c>
      <c r="D317" s="3" t="inlineStr">
        <is>
          <t>전</t>
        </is>
      </c>
      <c r="E317" s="3" t="inlineStr">
        <is>
          <t>매매</t>
        </is>
      </c>
      <c r="F317" s="4" t="n">
        <v>11000</v>
      </c>
      <c r="G317" s="4" t="n">
        <v>585</v>
      </c>
      <c r="H317" s="4" t="n">
        <v>177</v>
      </c>
      <c r="I317" s="5" t="n">
        <v>62.1</v>
      </c>
      <c r="J317" s="4" t="n">
        <v>53.7</v>
      </c>
      <c r="K317" s="3" t="inlineStr">
        <is>
          <t>도암리 생산관리지역 지목이 전으로 2필지 급매.</t>
        </is>
      </c>
      <c r="L317" s="6">
        <f>HYPERLINK("https://fin.land.naver.com/articles/2645324829", "매물Link")</f>
        <v/>
      </c>
      <c r="M317" s="6">
        <f>HYPERLINK("https://map.naver.com/p/search/세종특별자치시 금남면 도암리 610-3", "지도Link")</f>
        <v/>
      </c>
      <c r="N317" s="6">
        <f>HYPERLINK("http://www.eum.go.kr/web/ar/lu/luLandDet.jsp?pnu=3611034039106100003&amp;isNoScr=script&amp;mode=search", "토지이음")</f>
        <v/>
      </c>
      <c r="O317" s="3" t="inlineStr">
        <is>
          <t>세종대장</t>
        </is>
      </c>
      <c r="P317" s="3" t="n">
        <v>1</v>
      </c>
      <c r="Q317" s="3" t="n">
        <v>407</v>
      </c>
      <c r="R317" s="3" t="inlineStr">
        <is>
          <t>지정되지않음</t>
        </is>
      </c>
      <c r="S317" s="3" t="inlineStr">
        <is>
          <t>전</t>
        </is>
      </c>
      <c r="T317" s="3" t="inlineStr">
        <is>
          <t>완경사</t>
        </is>
      </c>
      <c r="U317" s="3" t="inlineStr">
        <is>
          <t>부정형</t>
        </is>
      </c>
      <c r="V317" s="3" t="inlineStr">
        <is>
          <t>세로한면(가)</t>
        </is>
      </c>
    </row>
    <row r="318">
      <c r="A318" s="3" t="inlineStr">
        <is>
          <t>세종특별자치시 금남면 도암리 94</t>
        </is>
      </c>
      <c r="B318" s="3" t="inlineStr">
        <is>
          <t>농림지역</t>
        </is>
      </c>
      <c r="C318" s="3" t="inlineStr">
        <is>
          <t>답</t>
        </is>
      </c>
      <c r="D318" s="3" t="inlineStr">
        <is>
          <t>답</t>
        </is>
      </c>
      <c r="E318" s="3" t="inlineStr">
        <is>
          <t>매매</t>
        </is>
      </c>
      <c r="F318" s="4" t="n">
        <v>133500</v>
      </c>
      <c r="G318" s="4" t="n">
        <v>2942</v>
      </c>
      <c r="H318" s="4" t="n">
        <v>890</v>
      </c>
      <c r="I318" s="5" t="n">
        <v>150</v>
      </c>
      <c r="J318" s="4" t="n">
        <v>53</v>
      </c>
      <c r="K318" s="3" t="inlineStr">
        <is>
          <t>nan</t>
        </is>
      </c>
      <c r="L318" s="6">
        <f>HYPERLINK("https://fin.land.naver.com/articles/2644532076", "매물Link")</f>
        <v/>
      </c>
      <c r="M318" s="6">
        <f>HYPERLINK("https://map.naver.com/p/search/세종특별자치시 금남면 도암리 94", "지도Link")</f>
        <v/>
      </c>
      <c r="N318" s="6">
        <f>HYPERLINK("http://www.eum.go.kr/web/ar/lu/luLandDet.jsp?pnu=3611034039100940000&amp;isNoScr=script&amp;mode=search", "토지이음")</f>
        <v/>
      </c>
      <c r="O318" s="3" t="inlineStr">
        <is>
          <t>오송역그랜드</t>
        </is>
      </c>
      <c r="P318" s="3" t="n">
        <v>1</v>
      </c>
      <c r="Q318" s="3" t="n">
        <v>2942</v>
      </c>
      <c r="R318" s="3" t="inlineStr">
        <is>
          <t>지정되지않음</t>
        </is>
      </c>
      <c r="S318" s="3" t="inlineStr">
        <is>
          <t>답</t>
        </is>
      </c>
      <c r="T318" s="3" t="inlineStr">
        <is>
          <t>평지</t>
        </is>
      </c>
      <c r="U318" s="3" t="inlineStr">
        <is>
          <t>부정형</t>
        </is>
      </c>
      <c r="V318" s="3" t="inlineStr">
        <is>
          <t>세로한면(가)</t>
        </is>
      </c>
    </row>
    <row r="319">
      <c r="A319" s="3" t="inlineStr">
        <is>
          <t>세종특별자치시 금남면 두만리 124-1</t>
        </is>
      </c>
      <c r="B319" s="3" t="inlineStr">
        <is>
          <t>개발제한구역</t>
        </is>
      </c>
      <c r="C319" s="3" t="inlineStr">
        <is>
          <t>답</t>
        </is>
      </c>
      <c r="D319" s="3" t="inlineStr">
        <is>
          <t>답</t>
        </is>
      </c>
      <c r="E319" s="3" t="inlineStr">
        <is>
          <t>매매</t>
        </is>
      </c>
      <c r="F319" s="4" t="n">
        <v>100000</v>
      </c>
      <c r="G319" s="4" t="n">
        <v>2388</v>
      </c>
      <c r="H319" s="4" t="n">
        <v>722</v>
      </c>
      <c r="I319" s="5" t="n">
        <v>138.5</v>
      </c>
      <c r="J319" s="4" t="n">
        <v>57.9</v>
      </c>
      <c r="K319" s="3" t="inlineStr">
        <is>
          <t>남세종IC 인접, 세종시청 10분권의 평탄한 전원형 농지</t>
        </is>
      </c>
      <c r="L319" s="6">
        <f>HYPERLINK("https://fin.land.naver.com/articles/2648842669", "매물Link")</f>
        <v/>
      </c>
      <c r="M319" s="6">
        <f>HYPERLINK("https://map.naver.com/p/search/세종특별자치시 금남면 두만리 124-1", "지도Link")</f>
        <v/>
      </c>
      <c r="N319" s="6">
        <f>HYPERLINK("http://www.eum.go.kr/web/ar/lu/luLandDet.jsp?pnu=3611034024101240001&amp;isNoScr=script&amp;mode=search", "토지이음")</f>
        <v/>
      </c>
      <c r="O319" s="3" t="inlineStr">
        <is>
          <t>세종소담황금</t>
        </is>
      </c>
      <c r="P319" s="3" t="n">
        <v>1</v>
      </c>
      <c r="Q319" s="3" t="n">
        <v>2388</v>
      </c>
      <c r="R319" s="3" t="inlineStr">
        <is>
          <t>지정되지않음</t>
        </is>
      </c>
      <c r="S319" s="3" t="inlineStr">
        <is>
          <t>답</t>
        </is>
      </c>
      <c r="T319" s="3" t="inlineStr">
        <is>
          <t>평지</t>
        </is>
      </c>
      <c r="U319" s="3" t="inlineStr">
        <is>
          <t>부정형</t>
        </is>
      </c>
      <c r="V319" s="3" t="inlineStr">
        <is>
          <t>세로각지(가)</t>
        </is>
      </c>
    </row>
    <row r="320">
      <c r="A320" s="3" t="inlineStr">
        <is>
          <t>세종특별자치시 금남면 두만리 148</t>
        </is>
      </c>
      <c r="B320" s="3" t="inlineStr">
        <is>
          <t>개발제한구역</t>
        </is>
      </c>
      <c r="C320" s="3" t="inlineStr">
        <is>
          <t>전</t>
        </is>
      </c>
      <c r="D320" s="3" t="inlineStr">
        <is>
          <t>전</t>
        </is>
      </c>
      <c r="E320" s="3" t="inlineStr">
        <is>
          <t>매매</t>
        </is>
      </c>
      <c r="F320" s="4" t="n">
        <v>44500</v>
      </c>
      <c r="G320" s="4" t="n">
        <v>1963</v>
      </c>
      <c r="H320" s="4" t="n">
        <v>594</v>
      </c>
      <c r="I320" s="5" t="n">
        <v>74.90000000000001</v>
      </c>
      <c r="J320" s="4" t="n">
        <v>40.3</v>
      </c>
      <c r="K320" s="3" t="inlineStr">
        <is>
          <t>nan</t>
        </is>
      </c>
      <c r="L320" s="6">
        <f>HYPERLINK("https://fin.land.naver.com/articles/2645663978", "매물Link")</f>
        <v/>
      </c>
      <c r="M320" s="6">
        <f>HYPERLINK("https://map.naver.com/p/search/세종특별자치시 금남면 두만리 148", "지도Link")</f>
        <v/>
      </c>
      <c r="N320" s="6">
        <f>HYPERLINK("http://www.eum.go.kr/web/ar/lu/luLandDet.jsp?pnu=3611034024101480000&amp;isNoScr=script&amp;mode=search", "토지이음")</f>
        <v/>
      </c>
      <c r="O320" s="3" t="inlineStr">
        <is>
          <t>대웅</t>
        </is>
      </c>
      <c r="P320" s="3" t="n">
        <v>1</v>
      </c>
      <c r="Q320" s="3" t="n">
        <v>1451</v>
      </c>
      <c r="R320" s="3" t="inlineStr">
        <is>
          <t>지정되지않음</t>
        </is>
      </c>
      <c r="S320" s="3" t="inlineStr">
        <is>
          <t>전</t>
        </is>
      </c>
      <c r="T320" s="3" t="inlineStr">
        <is>
          <t>완경사</t>
        </is>
      </c>
      <c r="U320" s="3" t="inlineStr">
        <is>
          <t>부정형</t>
        </is>
      </c>
      <c r="V320" s="3" t="inlineStr">
        <is>
          <t>세로한면(가)</t>
        </is>
      </c>
    </row>
    <row r="321">
      <c r="A321" s="3" t="inlineStr">
        <is>
          <t>세종특별자치시 금남면 두만리 16</t>
        </is>
      </c>
      <c r="B321" s="3" t="inlineStr">
        <is>
          <t>개발제한구역</t>
        </is>
      </c>
      <c r="C321" s="3" t="inlineStr">
        <is>
          <t>전</t>
        </is>
      </c>
      <c r="D321" s="3" t="inlineStr">
        <is>
          <t>전</t>
        </is>
      </c>
      <c r="E321" s="3" t="inlineStr">
        <is>
          <t>매매</t>
        </is>
      </c>
      <c r="F321" s="4" t="n">
        <v>30500</v>
      </c>
      <c r="G321" s="4" t="n">
        <v>1679</v>
      </c>
      <c r="H321" s="4" t="n">
        <v>508</v>
      </c>
      <c r="I321" s="5" t="n">
        <v>60</v>
      </c>
      <c r="J321" s="4" t="n">
        <v>22.5</v>
      </c>
      <c r="K321" s="3" t="inlineStr">
        <is>
          <t>반석동 세종방향10분거리 토지옆 계곡있어요</t>
        </is>
      </c>
      <c r="L321" s="6">
        <f>HYPERLINK("https://fin.land.naver.com/articles/2648856328", "매물Link")</f>
        <v/>
      </c>
      <c r="M321" s="6">
        <f>HYPERLINK("https://map.naver.com/p/search/세종특별자치시 금남면 두만리 16", "지도Link")</f>
        <v/>
      </c>
      <c r="N321" s="6">
        <f>HYPERLINK("http://www.eum.go.kr/web/ar/lu/luLandDet.jsp?pnu=3611034024100160000&amp;isNoScr=script&amp;mode=search", "토지이음")</f>
        <v/>
      </c>
      <c r="O321" s="3" t="inlineStr">
        <is>
          <t>반석원무소</t>
        </is>
      </c>
      <c r="P321" s="3" t="n">
        <v>1</v>
      </c>
      <c r="Q321" s="3" t="n">
        <v>1679</v>
      </c>
      <c r="R321" s="3" t="inlineStr">
        <is>
          <t>지정되지않음</t>
        </is>
      </c>
      <c r="S321" s="3" t="inlineStr">
        <is>
          <t>전</t>
        </is>
      </c>
      <c r="T321" s="3" t="inlineStr">
        <is>
          <t>완경사</t>
        </is>
      </c>
      <c r="U321" s="3" t="inlineStr">
        <is>
          <t>부정형</t>
        </is>
      </c>
      <c r="V321" s="3" t="inlineStr">
        <is>
          <t>맹지</t>
        </is>
      </c>
    </row>
    <row r="322">
      <c r="A322" s="3" t="inlineStr">
        <is>
          <t>세종특별자치시 금남면 두만리 182</t>
        </is>
      </c>
      <c r="B322" s="3" t="inlineStr">
        <is>
          <t>개발제한구역</t>
        </is>
      </c>
      <c r="C322" s="3" t="inlineStr">
        <is>
          <t>답</t>
        </is>
      </c>
      <c r="D322" s="3" t="inlineStr">
        <is>
          <t>답</t>
        </is>
      </c>
      <c r="E322" s="3" t="inlineStr">
        <is>
          <t>매매</t>
        </is>
      </c>
      <c r="F322" s="4" t="n">
        <v>33600</v>
      </c>
      <c r="G322" s="4" t="n">
        <v>1388</v>
      </c>
      <c r="H322" s="4" t="n">
        <v>420</v>
      </c>
      <c r="I322" s="5" t="n">
        <v>80</v>
      </c>
      <c r="J322" s="4" t="n">
        <v>34.1</v>
      </c>
      <c r="K322" s="3" t="inlineStr">
        <is>
          <t>대전 세종 중간지점 금남면 토지</t>
        </is>
      </c>
      <c r="L322" s="6">
        <f>HYPERLINK("https://fin.land.naver.com/articles/2645346585", "매물Link")</f>
        <v/>
      </c>
      <c r="M322" s="6">
        <f>HYPERLINK("https://map.naver.com/p/search/세종특별자치시 금남면 두만리 182", "지도Link")</f>
        <v/>
      </c>
      <c r="N322" s="6">
        <f>HYPERLINK("http://www.eum.go.kr/web/ar/lu/luLandDet.jsp?pnu=3611034024101820000&amp;isNoScr=script&amp;mode=search", "토지이음")</f>
        <v/>
      </c>
      <c r="O322" s="3" t="inlineStr">
        <is>
          <t>반석원무소</t>
        </is>
      </c>
      <c r="P322" s="3" t="n">
        <v>1</v>
      </c>
      <c r="Q322" s="3" t="n">
        <v>1388</v>
      </c>
      <c r="R322" s="3" t="inlineStr">
        <is>
          <t>지정되지않음</t>
        </is>
      </c>
      <c r="S322" s="3" t="inlineStr">
        <is>
          <t>답</t>
        </is>
      </c>
      <c r="T322" s="3" t="inlineStr">
        <is>
          <t>완경사</t>
        </is>
      </c>
      <c r="U322" s="3" t="inlineStr">
        <is>
          <t>부정형</t>
        </is>
      </c>
      <c r="V322" s="3" t="inlineStr">
        <is>
          <t>맹지</t>
        </is>
      </c>
    </row>
    <row r="323">
      <c r="A323" s="3" t="inlineStr">
        <is>
          <t>세종특별자치시 금남면 두만리 273-1</t>
        </is>
      </c>
      <c r="B323" s="3" t="inlineStr">
        <is>
          <t>개발제한구역</t>
        </is>
      </c>
      <c r="C323" s="3" t="inlineStr">
        <is>
          <t>임야</t>
        </is>
      </c>
      <c r="D323" s="3" t="inlineStr">
        <is>
          <t>임야</t>
        </is>
      </c>
      <c r="E323" s="3" t="inlineStr">
        <is>
          <t>매매</t>
        </is>
      </c>
      <c r="F323" s="4" t="n">
        <v>112000</v>
      </c>
      <c r="G323" s="4" t="n">
        <v>9039</v>
      </c>
      <c r="H323" s="4" t="n">
        <v>2734</v>
      </c>
      <c r="I323" s="5" t="n">
        <v>41</v>
      </c>
      <c r="J323" s="4" t="n">
        <v>3.7</v>
      </c>
      <c r="K323" s="3" t="inlineStr">
        <is>
          <t>전과 임야로 구성된 토지. 1번국도로 바로 진입되는 위치</t>
        </is>
      </c>
      <c r="L323" s="6">
        <f>HYPERLINK("https://fin.land.naver.com/articles/2645543706", "매물Link")</f>
        <v/>
      </c>
      <c r="M323" s="6">
        <f>HYPERLINK("https://map.naver.com/p/search/세종특별자치시 금남면 두만리 273-1", "지도Link")</f>
        <v/>
      </c>
      <c r="N323" s="6">
        <f>HYPERLINK("http://www.eum.go.kr/web/ar/lu/luLandDet.jsp?pnu=3611034024102730001&amp;isNoScr=script&amp;mode=search", "토지이음")</f>
        <v/>
      </c>
      <c r="O323" s="3" t="inlineStr">
        <is>
          <t>미스터홈즈강남지사</t>
        </is>
      </c>
      <c r="P323" s="3" t="n">
        <v>1</v>
      </c>
      <c r="Q323" s="3" t="n">
        <v>5396</v>
      </c>
      <c r="R323" s="3" t="inlineStr">
        <is>
          <t>지정되지않음</t>
        </is>
      </c>
      <c r="S323" s="3" t="inlineStr">
        <is>
          <t>자연림</t>
        </is>
      </c>
      <c r="T323" s="3" t="inlineStr">
        <is>
          <t>완경사</t>
        </is>
      </c>
      <c r="U323" s="3" t="inlineStr">
        <is>
          <t>부정형</t>
        </is>
      </c>
      <c r="V323" s="3" t="inlineStr">
        <is>
          <t>세로한면(가)</t>
        </is>
      </c>
    </row>
    <row r="324">
      <c r="A324" s="3" t="inlineStr">
        <is>
          <t>세종특별자치시 금남면 두만리 308-4</t>
        </is>
      </c>
      <c r="B324" s="3" t="inlineStr">
        <is>
          <t>생산관리지역</t>
        </is>
      </c>
      <c r="C324" s="3" t="inlineStr">
        <is>
          <t>답</t>
        </is>
      </c>
      <c r="D324" s="3" t="inlineStr">
        <is>
          <t>답</t>
        </is>
      </c>
      <c r="E324" s="3" t="inlineStr">
        <is>
          <t>매매</t>
        </is>
      </c>
      <c r="F324" s="4" t="n">
        <v>160000</v>
      </c>
      <c r="G324" s="4" t="n">
        <v>4090</v>
      </c>
      <c r="H324" s="4" t="n">
        <v>1237</v>
      </c>
      <c r="I324" s="5" t="n">
        <v>129.3</v>
      </c>
      <c r="J324" s="4" t="n">
        <v>95.3</v>
      </c>
      <c r="K324" s="3" t="inlineStr">
        <is>
          <t>남세종TG와 가까운 토지매매</t>
        </is>
      </c>
      <c r="L324" s="6">
        <f>HYPERLINK("https://fin.land.naver.com/articles/2646585963", "매물Link")</f>
        <v/>
      </c>
      <c r="M324" s="6">
        <f>HYPERLINK("https://map.naver.com/p/search/세종특별자치시 금남면 두만리 308-4", "지도Link")</f>
        <v/>
      </c>
      <c r="N324" s="6">
        <f>HYPERLINK("http://www.eum.go.kr/web/ar/lu/luLandDet.jsp?pnu=3611034024103080004&amp;isNoScr=script&amp;mode=search", "토지이음")</f>
        <v/>
      </c>
      <c r="O324" s="3" t="inlineStr">
        <is>
          <t>비전</t>
        </is>
      </c>
      <c r="P324" s="3" t="n">
        <v>1</v>
      </c>
      <c r="Q324" s="3" t="n">
        <v>1855</v>
      </c>
      <c r="R324" s="3" t="inlineStr">
        <is>
          <t>지정되지않음</t>
        </is>
      </c>
      <c r="S324" s="3" t="inlineStr">
        <is>
          <t>답</t>
        </is>
      </c>
      <c r="T324" s="3" t="inlineStr">
        <is>
          <t>평지</t>
        </is>
      </c>
      <c r="U324" s="3" t="inlineStr">
        <is>
          <t>부정형</t>
        </is>
      </c>
      <c r="V324" s="3" t="inlineStr">
        <is>
          <t>소로각지</t>
        </is>
      </c>
    </row>
    <row r="325">
      <c r="A325" s="3" t="inlineStr">
        <is>
          <t>세종특별자치시 금남면 두만리 308-6</t>
        </is>
      </c>
      <c r="B325" s="3" t="inlineStr">
        <is>
          <t>생산관리지역</t>
        </is>
      </c>
      <c r="C325" s="3" t="inlineStr">
        <is>
          <t>대</t>
        </is>
      </c>
      <c r="D325" s="3" t="inlineStr">
        <is>
          <t>대</t>
        </is>
      </c>
      <c r="E325" s="3" t="inlineStr">
        <is>
          <t>매매</t>
        </is>
      </c>
      <c r="F325" s="4" t="n">
        <v>250000</v>
      </c>
      <c r="G325" s="4" t="n">
        <v>1694</v>
      </c>
      <c r="H325" s="4" t="n">
        <v>512</v>
      </c>
      <c r="I325" s="5" t="n">
        <v>488.3</v>
      </c>
      <c r="J325" s="4" t="n">
        <v>173</v>
      </c>
      <c r="K325" s="3" t="inlineStr">
        <is>
          <t>세종시내 근접한 창고  및  공장  등  적극 추찬</t>
        </is>
      </c>
      <c r="L325" s="6">
        <f>HYPERLINK("https://fin.land.naver.com/articles/2648853704", "매물Link")</f>
        <v/>
      </c>
      <c r="M325" s="6">
        <f>HYPERLINK("https://map.naver.com/p/search/세종특별자치시 금남면 두만리 308-6", "지도Link")</f>
        <v/>
      </c>
      <c r="N325" s="6">
        <f>HYPERLINK("http://www.eum.go.kr/web/ar/lu/luLandDet.jsp?pnu=3611034024103080006&amp;isNoScr=script&amp;mode=search", "토지이음")</f>
        <v/>
      </c>
      <c r="O325" s="3" t="inlineStr">
        <is>
          <t>태양</t>
        </is>
      </c>
      <c r="P325" s="3" t="n">
        <v>1</v>
      </c>
      <c r="Q325" s="3" t="n">
        <v>381</v>
      </c>
      <c r="R325" s="3" t="inlineStr">
        <is>
          <t>지정되지않음</t>
        </is>
      </c>
      <c r="S325" s="3" t="inlineStr">
        <is>
          <t>업무용</t>
        </is>
      </c>
      <c r="T325" s="3" t="inlineStr">
        <is>
          <t>평지</t>
        </is>
      </c>
      <c r="U325" s="3" t="inlineStr">
        <is>
          <t>부정형</t>
        </is>
      </c>
      <c r="V325" s="3" t="inlineStr">
        <is>
          <t>소로각지</t>
        </is>
      </c>
    </row>
    <row r="326">
      <c r="A326" s="3" t="inlineStr">
        <is>
          <t>세종특별자치시 금남면 두만리 335-5</t>
        </is>
      </c>
      <c r="B326" s="3" t="inlineStr">
        <is>
          <t>제1종일반주거지역</t>
        </is>
      </c>
      <c r="C326" s="3" t="inlineStr">
        <is>
          <t>대</t>
        </is>
      </c>
      <c r="D326" s="3" t="inlineStr">
        <is>
          <t>대</t>
        </is>
      </c>
      <c r="E326" s="3" t="inlineStr">
        <is>
          <t>매매</t>
        </is>
      </c>
      <c r="F326" s="4" t="n">
        <v>160000</v>
      </c>
      <c r="G326" s="4" t="n">
        <v>1779</v>
      </c>
      <c r="H326" s="4" t="n">
        <v>538</v>
      </c>
      <c r="I326" s="5" t="n">
        <v>297.4</v>
      </c>
      <c r="J326" s="4" t="n">
        <v>168.5</v>
      </c>
      <c r="K326" s="3" t="inlineStr">
        <is>
          <t>급매,협의절충,지목이 대로 1종일반주거지역이며 바로건축가능,주위인프라 굿</t>
        </is>
      </c>
      <c r="L326" s="6">
        <f>HYPERLINK("https://fin.land.naver.com/articles/2648016521", "매물Link")</f>
        <v/>
      </c>
      <c r="M326" s="6">
        <f>HYPERLINK("https://map.naver.com/p/search/세종특별자치시 금남면 두만리 335-5", "지도Link")</f>
        <v/>
      </c>
      <c r="N326" s="6">
        <f>HYPERLINK("http://www.eum.go.kr/web/ar/lu/luLandDet.jsp?pnu=3611034024103350005&amp;isNoScr=script&amp;mode=search", "토지이음")</f>
        <v/>
      </c>
      <c r="O326" s="3" t="inlineStr">
        <is>
          <t>세종한울</t>
        </is>
      </c>
      <c r="P326" s="3" t="n">
        <v>1</v>
      </c>
      <c r="Q326" s="3" t="n">
        <v>1779</v>
      </c>
      <c r="R326" s="3" t="inlineStr">
        <is>
          <t>지정되지않음</t>
        </is>
      </c>
      <c r="S326" s="3" t="inlineStr">
        <is>
          <t>단독</t>
        </is>
      </c>
      <c r="T326" s="3" t="inlineStr">
        <is>
          <t>평지</t>
        </is>
      </c>
      <c r="U326" s="3" t="inlineStr">
        <is>
          <t>부정형</t>
        </is>
      </c>
      <c r="V326" s="3" t="inlineStr">
        <is>
          <t>소로한면</t>
        </is>
      </c>
    </row>
    <row r="327">
      <c r="A327" s="3" t="inlineStr">
        <is>
          <t>세종특별자치시 금남면 두만리 353-2</t>
        </is>
      </c>
      <c r="B327" s="3" t="inlineStr">
        <is>
          <t>제1종일반주거지역</t>
        </is>
      </c>
      <c r="C327" s="3" t="inlineStr">
        <is>
          <t>대</t>
        </is>
      </c>
      <c r="D327" s="3" t="inlineStr">
        <is>
          <t>대</t>
        </is>
      </c>
      <c r="E327" s="3" t="inlineStr">
        <is>
          <t>매매</t>
        </is>
      </c>
      <c r="F327" s="4" t="n">
        <v>42000</v>
      </c>
      <c r="G327" s="4" t="n">
        <v>397</v>
      </c>
      <c r="H327" s="4" t="n">
        <v>120</v>
      </c>
      <c r="I327" s="5" t="n">
        <v>350</v>
      </c>
      <c r="J327" s="4" t="n">
        <v>152.1</v>
      </c>
      <c r="K327" s="3" t="inlineStr">
        <is>
          <t>대지</t>
        </is>
      </c>
      <c r="L327" s="6">
        <f>HYPERLINK("https://fin.land.naver.com/articles/2647748406", "매물Link")</f>
        <v/>
      </c>
      <c r="M327" s="6">
        <f>HYPERLINK("https://map.naver.com/p/search/세종특별자치시 금남면 두만리 353-2", "지도Link")</f>
        <v/>
      </c>
      <c r="N327" s="6">
        <f>HYPERLINK("http://www.eum.go.kr/web/ar/lu/luLandDet.jsp?pnu=3611034024103530002&amp;isNoScr=script&amp;mode=search", "토지이음")</f>
        <v/>
      </c>
      <c r="O327" s="3" t="inlineStr">
        <is>
          <t>다산</t>
        </is>
      </c>
      <c r="P327" s="3" t="n">
        <v>1</v>
      </c>
      <c r="Q327" s="3" t="n">
        <v>397</v>
      </c>
      <c r="R327" s="3" t="inlineStr">
        <is>
          <t>지정되지않음</t>
        </is>
      </c>
      <c r="S327" s="3" t="inlineStr">
        <is>
          <t>단독</t>
        </is>
      </c>
      <c r="T327" s="3" t="inlineStr">
        <is>
          <t>평지</t>
        </is>
      </c>
      <c r="U327" s="3" t="inlineStr">
        <is>
          <t>사다리형</t>
        </is>
      </c>
      <c r="V327" s="3" t="inlineStr">
        <is>
          <t>세로각지(가)</t>
        </is>
      </c>
    </row>
    <row r="328">
      <c r="A328" s="3" t="inlineStr">
        <is>
          <t>세종특별자치시 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nan</t>
        </is>
      </c>
      <c r="L328" s="6">
        <f>HYPERLINK("https://fin.land.naver.com/articles/2644435652", "매물Link")</f>
        <v/>
      </c>
      <c r="M328" s="6">
        <f>HYPERLINK("https://map.naver.com/p/search/세종특별자치시 금남면 두만리 373", "지도Link")</f>
        <v/>
      </c>
      <c r="N328" s="6">
        <f>HYPERLINK("http://www.eum.go.kr/web/ar/lu/luLandDet.jsp?pnu=3611034024103730000&amp;isNoScr=script&amp;mode=search", "토지이음")</f>
        <v/>
      </c>
      <c r="O328" s="3" t="inlineStr">
        <is>
          <t>수자인시티</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세종특별자치시 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nan</t>
        </is>
      </c>
      <c r="L329" s="6">
        <f>HYPERLINK("https://fin.land.naver.com/articles/2649949803", "매물Link")</f>
        <v/>
      </c>
      <c r="M329" s="6">
        <f>HYPERLINK("https://map.naver.com/p/search/세종특별자치시 금남면 두만리 373", "지도Link")</f>
        <v/>
      </c>
      <c r="N329" s="6">
        <f>HYPERLINK("http://www.eum.go.kr/web/ar/lu/luLandDet.jsp?pnu=3611034024103730000&amp;isNoScr=script&amp;mode=search", "토지이음")</f>
        <v/>
      </c>
      <c r="O329" s="3" t="inlineStr">
        <is>
          <t>다산</t>
        </is>
      </c>
      <c r="P329" s="3" t="n">
        <v>3</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세종특별자치시 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세종 금남면 주거지역 토지</t>
        </is>
      </c>
      <c r="L330" s="6">
        <f>HYPERLINK("https://fin.land.naver.com/articles/2649736110", "매물Link")</f>
        <v/>
      </c>
      <c r="M330" s="6">
        <f>HYPERLINK("https://map.naver.com/p/search/세종특별자치시 금남면 두만리 373", "지도Link")</f>
        <v/>
      </c>
      <c r="N330" s="6">
        <f>HYPERLINK("http://www.eum.go.kr/web/ar/lu/luLandDet.jsp?pnu=3611034024103730000&amp;isNoScr=script&amp;mode=search", "토지이음")</f>
        <v/>
      </c>
      <c r="O330" s="3" t="inlineStr">
        <is>
          <t>세종몽땅</t>
        </is>
      </c>
      <c r="P330" s="3" t="n">
        <v>1</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세종특별자치시 금남면 두만리 373</t>
        </is>
      </c>
      <c r="B331" s="3" t="inlineStr">
        <is>
          <t>제1종일반주거지역</t>
        </is>
      </c>
      <c r="C331" s="3" t="inlineStr">
        <is>
          <t>대</t>
        </is>
      </c>
      <c r="D331" s="3" t="inlineStr">
        <is>
          <t>대</t>
        </is>
      </c>
      <c r="E331" s="3" t="inlineStr">
        <is>
          <t>매매</t>
        </is>
      </c>
      <c r="F331" s="4" t="n">
        <v>93000</v>
      </c>
      <c r="G331" s="4" t="n">
        <v>1051</v>
      </c>
      <c r="H331" s="4" t="n">
        <v>318</v>
      </c>
      <c r="I331" s="5" t="n">
        <v>292.5</v>
      </c>
      <c r="J331" s="4" t="n">
        <v>117.8</v>
      </c>
      <c r="K331" s="3" t="inlineStr">
        <is>
          <t>세종 금남면 두만리 단독주택 매매 I 넓은 대지 I 제1종일반주거지역</t>
        </is>
      </c>
      <c r="L331" s="6">
        <f>HYPERLINK("https://fin.land.naver.com/articles/2646237381", "매물Link")</f>
        <v/>
      </c>
      <c r="M331" s="6">
        <f>HYPERLINK("https://map.naver.com/p/search/세종특별자치시 금남면 두만리 373", "지도Link")</f>
        <v/>
      </c>
      <c r="N331" s="6">
        <f>HYPERLINK("http://www.eum.go.kr/web/ar/lu/luLandDet.jsp?pnu=3611034024103730000&amp;isNoScr=script&amp;mode=search", "토지이음")</f>
        <v/>
      </c>
      <c r="O331" s="3" t="inlineStr">
        <is>
          <t>태양</t>
        </is>
      </c>
      <c r="P331" s="3" t="n">
        <v>1</v>
      </c>
      <c r="Q331" s="3" t="n">
        <v>1051</v>
      </c>
      <c r="R331" s="3" t="inlineStr">
        <is>
          <t>지정되지않음</t>
        </is>
      </c>
      <c r="S331" s="3" t="inlineStr">
        <is>
          <t>단독</t>
        </is>
      </c>
      <c r="T331" s="3" t="inlineStr">
        <is>
          <t>완경사</t>
        </is>
      </c>
      <c r="U331" s="3" t="inlineStr">
        <is>
          <t>부정형</t>
        </is>
      </c>
      <c r="V331" s="3" t="inlineStr">
        <is>
          <t>세로한면(가)</t>
        </is>
      </c>
    </row>
    <row r="332">
      <c r="A332" s="3" t="inlineStr">
        <is>
          <t>세종특별자치시 금남면 두만리 437-6</t>
        </is>
      </c>
      <c r="B332" s="3" t="inlineStr">
        <is>
          <t>보전관리지역</t>
        </is>
      </c>
      <c r="C332" s="3" t="inlineStr">
        <is>
          <t>답</t>
        </is>
      </c>
      <c r="D332" s="3" t="inlineStr">
        <is>
          <t>답</t>
        </is>
      </c>
      <c r="E332" s="3" t="inlineStr">
        <is>
          <t>매매</t>
        </is>
      </c>
      <c r="F332" s="4" t="n">
        <v>850000</v>
      </c>
      <c r="G332" s="4" t="n">
        <v>9064</v>
      </c>
      <c r="H332" s="4" t="n">
        <v>2742</v>
      </c>
      <c r="I332" s="5" t="n">
        <v>310</v>
      </c>
      <c r="J332" s="4" t="n">
        <v>62.5</v>
      </c>
      <c r="K332" s="3" t="inlineStr">
        <is>
          <t>세종시 금남면 대형토지 상세글 읽어주세요</t>
        </is>
      </c>
      <c r="L332" s="6">
        <f>HYPERLINK("https://fin.land.naver.com/articles/2647813686", "매물Link")</f>
        <v/>
      </c>
      <c r="M332" s="6">
        <f>HYPERLINK("https://map.naver.com/p/search/세종특별자치시 금남면 두만리 437-6", "지도Link")</f>
        <v/>
      </c>
      <c r="N332" s="6">
        <f>HYPERLINK("http://www.eum.go.kr/web/ar/lu/luLandDet.jsp?pnu=3611034024104370006&amp;isNoScr=script&amp;mode=search", "토지이음")</f>
        <v/>
      </c>
      <c r="O332" s="3" t="inlineStr">
        <is>
          <t>대전신화</t>
        </is>
      </c>
      <c r="P332" s="3" t="n">
        <v>1</v>
      </c>
      <c r="Q332" s="3" t="n">
        <v>5834</v>
      </c>
      <c r="R332" s="3" t="inlineStr">
        <is>
          <t>지정되지않음</t>
        </is>
      </c>
      <c r="S332" s="3" t="inlineStr">
        <is>
          <t>전</t>
        </is>
      </c>
      <c r="T332" s="3" t="inlineStr">
        <is>
          <t>평지</t>
        </is>
      </c>
      <c r="U332" s="3" t="inlineStr">
        <is>
          <t>부정형</t>
        </is>
      </c>
      <c r="V332" s="3" t="inlineStr">
        <is>
          <t>세로한면(가)</t>
        </is>
      </c>
    </row>
    <row r="333">
      <c r="A333" s="3" t="inlineStr">
        <is>
          <t>세종특별자치시 금남면 두만리 448-8</t>
        </is>
      </c>
      <c r="B333" s="3" t="inlineStr">
        <is>
          <t>농림지역</t>
        </is>
      </c>
      <c r="C333" s="3" t="inlineStr">
        <is>
          <t>답</t>
        </is>
      </c>
      <c r="D333" s="3" t="inlineStr">
        <is>
          <t>답</t>
        </is>
      </c>
      <c r="E333" s="3" t="inlineStr">
        <is>
          <t>매매</t>
        </is>
      </c>
      <c r="F333" s="4" t="n">
        <v>46280</v>
      </c>
      <c r="G333" s="4" t="n">
        <v>1275</v>
      </c>
      <c r="H333" s="4" t="n">
        <v>386</v>
      </c>
      <c r="I333" s="5" t="n">
        <v>119.9</v>
      </c>
      <c r="J333" s="4" t="n">
        <v>55.6</v>
      </c>
      <c r="K333" s="3" t="inlineStr">
        <is>
          <t>대로에 접한 답으로 농업 진흥 구역에 속한 투자물건</t>
        </is>
      </c>
      <c r="L333" s="6">
        <f>HYPERLINK("https://fin.land.naver.com/articles/2645691210", "매물Link")</f>
        <v/>
      </c>
      <c r="M333" s="6">
        <f>HYPERLINK("https://map.naver.com/p/search/세종특별자치시 금남면 두만리 448-8", "지도Link")</f>
        <v/>
      </c>
      <c r="N333" s="6">
        <f>HYPERLINK("http://www.eum.go.kr/web/ar/lu/luLandDet.jsp?pnu=3611034024104480008&amp;isNoScr=script&amp;mode=search", "토지이음")</f>
        <v/>
      </c>
      <c r="O333" s="3" t="inlineStr">
        <is>
          <t>우림</t>
        </is>
      </c>
      <c r="P333" s="3" t="n">
        <v>1</v>
      </c>
      <c r="Q333" s="3" t="n">
        <v>1275</v>
      </c>
      <c r="R333" s="3" t="inlineStr">
        <is>
          <t>지정되지않음</t>
        </is>
      </c>
      <c r="S333" s="3" t="inlineStr">
        <is>
          <t>답</t>
        </is>
      </c>
      <c r="T333" s="3" t="inlineStr">
        <is>
          <t>평지</t>
        </is>
      </c>
      <c r="U333" s="3" t="inlineStr">
        <is>
          <t>사다리형</t>
        </is>
      </c>
      <c r="V333" s="3" t="inlineStr">
        <is>
          <t>세로한면(가)</t>
        </is>
      </c>
    </row>
    <row r="334">
      <c r="A334" s="3" t="inlineStr">
        <is>
          <t>세종특별자치시 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HYPERLINK("https://map.naver.com/p/search/세종특별자치시 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세종특별자치시 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HYPERLINK("https://map.naver.com/p/search/세종특별자치시 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세종특별자치시 금남면 두만리 484</t>
        </is>
      </c>
      <c r="B336" s="3" t="inlineStr">
        <is>
          <t>농림지역</t>
        </is>
      </c>
      <c r="C336" s="3" t="inlineStr">
        <is>
          <t>답</t>
        </is>
      </c>
      <c r="D336" s="3" t="inlineStr">
        <is>
          <t>답</t>
        </is>
      </c>
      <c r="E336" s="3" t="inlineStr">
        <is>
          <t>매매</t>
        </is>
      </c>
      <c r="F336" s="4" t="n">
        <v>32000</v>
      </c>
      <c r="G336" s="4" t="n">
        <v>1769</v>
      </c>
      <c r="H336" s="4" t="n">
        <v>535</v>
      </c>
      <c r="I336" s="5" t="n">
        <v>59.8</v>
      </c>
      <c r="J336" s="4" t="n">
        <v>47.8</v>
      </c>
      <c r="K336" s="3" t="inlineStr">
        <is>
          <t>급매.세종시 동지역과 가까운 주변시세보다 저렴한 토지</t>
        </is>
      </c>
      <c r="L336" s="6">
        <f>HYPERLINK("https://fin.land.naver.com/articles/2644398911", "매물Link")</f>
        <v/>
      </c>
      <c r="M336" s="6">
        <f>HYPERLINK("https://map.naver.com/p/search/세종특별자치시 금남면 두만리 484", "지도Link")</f>
        <v/>
      </c>
      <c r="N336" s="6">
        <f>HYPERLINK("http://www.eum.go.kr/web/ar/lu/luLandDet.jsp?pnu=3611034024104840000&amp;isNoScr=script&amp;mode=search", "토지이음")</f>
        <v/>
      </c>
      <c r="O336" s="3" t="inlineStr">
        <is>
          <t>킹</t>
        </is>
      </c>
      <c r="P336" s="3" t="n">
        <v>1</v>
      </c>
      <c r="Q336" s="3" t="n">
        <v>1769</v>
      </c>
      <c r="R336" s="3" t="inlineStr">
        <is>
          <t>지정되지않음</t>
        </is>
      </c>
      <c r="S336" s="3" t="inlineStr">
        <is>
          <t>답</t>
        </is>
      </c>
      <c r="T336" s="3" t="inlineStr">
        <is>
          <t>평지</t>
        </is>
      </c>
      <c r="U336" s="3" t="inlineStr">
        <is>
          <t>부정형</t>
        </is>
      </c>
      <c r="V336" s="3" t="inlineStr">
        <is>
          <t>맹지</t>
        </is>
      </c>
    </row>
    <row r="337">
      <c r="A337" s="3" t="inlineStr">
        <is>
          <t>세종특별자치시 금남면 두만리 551-6</t>
        </is>
      </c>
      <c r="B337" s="3" t="inlineStr">
        <is>
          <t>개발제한구역</t>
        </is>
      </c>
      <c r="C337" s="3" t="inlineStr">
        <is>
          <t>전</t>
        </is>
      </c>
      <c r="D337" s="3" t="inlineStr">
        <is>
          <t>전</t>
        </is>
      </c>
      <c r="E337" s="3" t="inlineStr">
        <is>
          <t>매매</t>
        </is>
      </c>
      <c r="F337" s="4" t="n">
        <v>35000</v>
      </c>
      <c r="G337" s="4" t="n">
        <v>1253</v>
      </c>
      <c r="H337" s="4" t="n">
        <v>379</v>
      </c>
      <c r="I337" s="5" t="n">
        <v>92.3</v>
      </c>
      <c r="J337" s="4" t="n">
        <v>40.5</v>
      </c>
      <c r="K337" s="3" t="inlineStr">
        <is>
          <t>포장 도로접합 지하수 설치 개발제한구역  토지거래허가구역</t>
        </is>
      </c>
      <c r="L337" s="6">
        <f>HYPERLINK("https://fin.land.naver.com/articles/2648075868", "매물Link")</f>
        <v/>
      </c>
      <c r="M337" s="6">
        <f>HYPERLINK("https://map.naver.com/p/search/세종특별자치시 금남면 두만리 551-6", "지도Link")</f>
        <v/>
      </c>
      <c r="N337" s="6">
        <f>HYPERLINK("http://www.eum.go.kr/web/ar/lu/luLandDet.jsp?pnu=3611034024105510006&amp;isNoScr=script&amp;mode=search", "토지이음")</f>
        <v/>
      </c>
      <c r="O337" s="3" t="inlineStr">
        <is>
          <t>예예</t>
        </is>
      </c>
      <c r="P337" s="3" t="n">
        <v>1</v>
      </c>
      <c r="Q337" s="3" t="n">
        <v>1253</v>
      </c>
      <c r="R337" s="3" t="inlineStr">
        <is>
          <t>지정되지않음</t>
        </is>
      </c>
      <c r="S337" s="3" t="inlineStr">
        <is>
          <t>전</t>
        </is>
      </c>
      <c r="T337" s="3" t="inlineStr">
        <is>
          <t>평지</t>
        </is>
      </c>
      <c r="U337" s="3" t="inlineStr">
        <is>
          <t>부정형</t>
        </is>
      </c>
      <c r="V337" s="3" t="inlineStr">
        <is>
          <t>소로한면</t>
        </is>
      </c>
    </row>
    <row r="338">
      <c r="A338" s="3" t="inlineStr">
        <is>
          <t>세종특별자치시 금남면 두만리 81-4</t>
        </is>
      </c>
      <c r="B338" s="3" t="inlineStr">
        <is>
          <t>개발제한구역</t>
        </is>
      </c>
      <c r="C338" s="3" t="inlineStr">
        <is>
          <t>답</t>
        </is>
      </c>
      <c r="D338" s="3" t="inlineStr">
        <is>
          <t>답</t>
        </is>
      </c>
      <c r="E338" s="3" t="inlineStr">
        <is>
          <t>매매</t>
        </is>
      </c>
      <c r="F338" s="4" t="n">
        <v>19000</v>
      </c>
      <c r="G338" s="4" t="n">
        <v>1183</v>
      </c>
      <c r="H338" s="4" t="n">
        <v>358</v>
      </c>
      <c r="I338" s="5" t="n">
        <v>53.1</v>
      </c>
      <c r="J338" s="4" t="n">
        <v>39.8</v>
      </c>
      <c r="K338" s="3" t="inlineStr">
        <is>
          <t>저렴한토지,농지원부가능</t>
        </is>
      </c>
      <c r="L338" s="6">
        <f>HYPERLINK("https://fin.land.naver.com/articles/2647520065", "매물Link")</f>
        <v/>
      </c>
      <c r="M338" s="6">
        <f>HYPERLINK("https://map.naver.com/p/search/세종특별자치시 금남면 두만리 81-4", "지도Link")</f>
        <v/>
      </c>
      <c r="N338" s="6">
        <f>HYPERLINK("http://www.eum.go.kr/web/ar/lu/luLandDet.jsp?pnu=3611034024100810004&amp;isNoScr=script&amp;mode=search", "토지이음")</f>
        <v/>
      </c>
      <c r="O338" s="3" t="inlineStr">
        <is>
          <t>두진</t>
        </is>
      </c>
      <c r="P338" s="3" t="n">
        <v>1</v>
      </c>
      <c r="Q338" s="3" t="n">
        <v>1183</v>
      </c>
      <c r="R338" s="3" t="inlineStr">
        <is>
          <t>지정되지않음</t>
        </is>
      </c>
      <c r="S338" s="3" t="inlineStr">
        <is>
          <t>답</t>
        </is>
      </c>
      <c r="T338" s="3" t="inlineStr">
        <is>
          <t>완경사</t>
        </is>
      </c>
      <c r="U338" s="3" t="inlineStr">
        <is>
          <t>부정형</t>
        </is>
      </c>
      <c r="V338" s="3" t="inlineStr">
        <is>
          <t>맹지</t>
        </is>
      </c>
    </row>
    <row r="339">
      <c r="A339" s="3" t="inlineStr">
        <is>
          <t>세종특별자치시 금남면 박산리 154-5</t>
        </is>
      </c>
      <c r="B339" s="3" t="inlineStr">
        <is>
          <t>개발제한구역</t>
        </is>
      </c>
      <c r="C339" s="3" t="inlineStr">
        <is>
          <t>답</t>
        </is>
      </c>
      <c r="D339" s="3" t="inlineStr">
        <is>
          <t>답</t>
        </is>
      </c>
      <c r="E339" s="3" t="inlineStr">
        <is>
          <t>매매</t>
        </is>
      </c>
      <c r="F339" s="4" t="n">
        <v>58950</v>
      </c>
      <c r="G339" s="4" t="n">
        <v>2599</v>
      </c>
      <c r="H339" s="4" t="n">
        <v>786</v>
      </c>
      <c r="I339" s="5" t="n">
        <v>75</v>
      </c>
      <c r="J339" s="4" t="n">
        <v>41.6</v>
      </c>
      <c r="K339" s="3" t="inlineStr">
        <is>
          <t>투자가치 좋은곳 2차선도로 근접 가격조절 가능</t>
        </is>
      </c>
      <c r="L339" s="6">
        <f>HYPERLINK("https://fin.land.naver.com/articles/2644773669", "매물Link")</f>
        <v/>
      </c>
      <c r="M339" s="6">
        <f>HYPERLINK("https://map.naver.com/p/search/세종특별자치시 금남면 박산리 154-5", "지도Link")</f>
        <v/>
      </c>
      <c r="N339" s="6">
        <f>HYPERLINK("http://www.eum.go.kr/web/ar/lu/luLandDet.jsp?pnu=3611034033101540005&amp;isNoScr=script&amp;mode=search", "토지이음")</f>
        <v/>
      </c>
      <c r="O339" s="3" t="inlineStr">
        <is>
          <t>세종자이명가</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세종특별자치시 금남면 박산리 154-5</t>
        </is>
      </c>
      <c r="B340" s="3" t="inlineStr">
        <is>
          <t>개발제한구역</t>
        </is>
      </c>
      <c r="C340" s="3" t="inlineStr">
        <is>
          <t>답</t>
        </is>
      </c>
      <c r="D340" s="3" t="inlineStr">
        <is>
          <t>답</t>
        </is>
      </c>
      <c r="E340" s="3" t="inlineStr">
        <is>
          <t>매매</t>
        </is>
      </c>
      <c r="F340" s="4" t="n">
        <v>58900</v>
      </c>
      <c r="G340" s="4" t="n">
        <v>2599</v>
      </c>
      <c r="H340" s="4" t="n">
        <v>786</v>
      </c>
      <c r="I340" s="5" t="n">
        <v>74.90000000000001</v>
      </c>
      <c r="J340" s="4" t="n">
        <v>41.6</v>
      </c>
      <c r="K340" s="3" t="inlineStr">
        <is>
          <t>세종특별자치시 금남면 박산리 자연녹지지역 답</t>
        </is>
      </c>
      <c r="L340" s="6">
        <f>HYPERLINK("https://fin.land.naver.com/articles/2648763801", "매물Link")</f>
        <v/>
      </c>
      <c r="M340" s="6">
        <f>HYPERLINK("https://map.naver.com/p/search/세종특별자치시 금남면 박산리 154-5", "지도Link")</f>
        <v/>
      </c>
      <c r="N340" s="6">
        <f>HYPERLINK("http://www.eum.go.kr/web/ar/lu/luLandDet.jsp?pnu=3611034033101540005&amp;isNoScr=script&amp;mode=search", "토지이음")</f>
        <v/>
      </c>
      <c r="O340" s="3" t="inlineStr">
        <is>
          <t>하이엔드</t>
        </is>
      </c>
      <c r="P340" s="3" t="n">
        <v>1</v>
      </c>
      <c r="Q340" s="3" t="n">
        <v>2599</v>
      </c>
      <c r="R340" s="3" t="inlineStr">
        <is>
          <t>지정되지않음</t>
        </is>
      </c>
      <c r="S340" s="3" t="inlineStr">
        <is>
          <t>답</t>
        </is>
      </c>
      <c r="T340" s="3" t="inlineStr">
        <is>
          <t>평지</t>
        </is>
      </c>
      <c r="U340" s="3" t="inlineStr">
        <is>
          <t>세로장방</t>
        </is>
      </c>
      <c r="V340" s="3" t="inlineStr">
        <is>
          <t>세로한면(가)</t>
        </is>
      </c>
    </row>
    <row r="341">
      <c r="A341" s="3" t="inlineStr">
        <is>
          <t>세종특별자치시 금남면 박산리 156-4</t>
        </is>
      </c>
      <c r="B341" s="3" t="inlineStr">
        <is>
          <t>개발제한구역</t>
        </is>
      </c>
      <c r="C341" s="3" t="inlineStr">
        <is>
          <t>답</t>
        </is>
      </c>
      <c r="D341" s="3" t="inlineStr">
        <is>
          <t>답</t>
        </is>
      </c>
      <c r="E341" s="3" t="inlineStr">
        <is>
          <t>매매</t>
        </is>
      </c>
      <c r="F341" s="4" t="n">
        <v>114200</v>
      </c>
      <c r="G341" s="4" t="n">
        <v>1888</v>
      </c>
      <c r="H341" s="4" t="n">
        <v>571</v>
      </c>
      <c r="I341" s="5" t="n">
        <v>200</v>
      </c>
      <c r="J341" s="4" t="n">
        <v>41.6</v>
      </c>
      <c r="K341" s="3" t="inlineStr">
        <is>
          <t>생명나무,박산리 도로접한 땅모양 예쁜 농지</t>
        </is>
      </c>
      <c r="L341" s="6">
        <f>HYPERLINK("https://fin.land.naver.com/articles/2649359540", "매물Link")</f>
        <v/>
      </c>
      <c r="M341" s="6">
        <f>HYPERLINK("https://map.naver.com/p/search/세종특별자치시 금남면 박산리 156-4", "지도Link")</f>
        <v/>
      </c>
      <c r="N341" s="6">
        <f>HYPERLINK("http://www.eum.go.kr/web/ar/lu/luLandDet.jsp?pnu=3611034033101560004&amp;isNoScr=script&amp;mode=search", "토지이음")</f>
        <v/>
      </c>
      <c r="O341" s="3" t="inlineStr">
        <is>
          <t>생명나무</t>
        </is>
      </c>
      <c r="P341" s="3" t="n">
        <v>1</v>
      </c>
      <c r="Q341" s="3" t="n">
        <v>1888</v>
      </c>
      <c r="R341" s="3" t="inlineStr">
        <is>
          <t>지정되지않음</t>
        </is>
      </c>
      <c r="S341" s="3" t="inlineStr">
        <is>
          <t>답</t>
        </is>
      </c>
      <c r="T341" s="3" t="inlineStr">
        <is>
          <t>평지</t>
        </is>
      </c>
      <c r="U341" s="3" t="inlineStr">
        <is>
          <t>세로장방</t>
        </is>
      </c>
      <c r="V341" s="3" t="inlineStr">
        <is>
          <t>세로한면(가)</t>
        </is>
      </c>
    </row>
    <row r="342">
      <c r="A342" s="3" t="inlineStr">
        <is>
          <t>세종특별자치시 금남면 박산리 200</t>
        </is>
      </c>
      <c r="B342" s="3" t="inlineStr">
        <is>
          <t>개발제한구역</t>
        </is>
      </c>
      <c r="C342" s="3" t="inlineStr">
        <is>
          <t>전</t>
        </is>
      </c>
      <c r="D342" s="3" t="inlineStr">
        <is>
          <t>전</t>
        </is>
      </c>
      <c r="E342" s="3" t="inlineStr">
        <is>
          <t>매매</t>
        </is>
      </c>
      <c r="F342" s="4" t="n">
        <v>200000</v>
      </c>
      <c r="G342" s="4" t="n">
        <v>3457</v>
      </c>
      <c r="H342" s="4" t="n">
        <v>1046</v>
      </c>
      <c r="I342" s="5" t="n">
        <v>191.2</v>
      </c>
      <c r="J342" s="4" t="n">
        <v>65.09999999999999</v>
      </c>
      <c r="K342" s="3" t="inlineStr">
        <is>
          <t>nan</t>
        </is>
      </c>
      <c r="L342" s="6">
        <f>HYPERLINK("https://fin.land.naver.com/articles/2645361863", "매물Link")</f>
        <v/>
      </c>
      <c r="M342" s="6">
        <f>HYPERLINK("https://map.naver.com/p/search/세종특별자치시 금남면 박산리 200", "지도Link")</f>
        <v/>
      </c>
      <c r="N342" s="6">
        <f>HYPERLINK("http://www.eum.go.kr/web/ar/lu/luLandDet.jsp?pnu=3611034033102000000&amp;isNoScr=script&amp;mode=search", "토지이음")</f>
        <v/>
      </c>
      <c r="O342" s="3" t="inlineStr">
        <is>
          <t>세종땅전문</t>
        </is>
      </c>
      <c r="P342" s="3" t="n">
        <v>1</v>
      </c>
      <c r="Q342" s="3" t="n">
        <v>3457</v>
      </c>
      <c r="R342" s="3" t="inlineStr">
        <is>
          <t>지정되지않음</t>
        </is>
      </c>
      <c r="S342" s="3" t="inlineStr">
        <is>
          <t>전</t>
        </is>
      </c>
      <c r="T342" s="3" t="inlineStr">
        <is>
          <t>평지</t>
        </is>
      </c>
      <c r="U342" s="3" t="inlineStr">
        <is>
          <t>부정형</t>
        </is>
      </c>
      <c r="V342" s="3" t="inlineStr">
        <is>
          <t>세로한면(가)</t>
        </is>
      </c>
    </row>
    <row r="343">
      <c r="A343" s="3" t="inlineStr">
        <is>
          <t>세종특별자치시 금남면 박산리 219-3</t>
        </is>
      </c>
      <c r="B343" s="3" t="inlineStr">
        <is>
          <t>자연녹지지역</t>
        </is>
      </c>
      <c r="C343" s="3" t="inlineStr">
        <is>
          <t>대</t>
        </is>
      </c>
      <c r="D343" s="3" t="inlineStr">
        <is>
          <t>대</t>
        </is>
      </c>
      <c r="E343" s="3" t="inlineStr">
        <is>
          <t>매매</t>
        </is>
      </c>
      <c r="F343" s="4" t="n">
        <v>90000</v>
      </c>
      <c r="G343" s="4" t="n">
        <v>970</v>
      </c>
      <c r="H343" s="4" t="n">
        <v>293</v>
      </c>
      <c r="I343" s="5" t="n">
        <v>307.2</v>
      </c>
      <c r="J343" s="4" t="n">
        <v>154.6</v>
      </c>
      <c r="K343" s="3" t="inlineStr">
        <is>
          <t>지대가 높아 커피숍이나 애완카페 등으로 이용하면 좋은 대지입니다</t>
        </is>
      </c>
      <c r="L343" s="6">
        <f>HYPERLINK("https://fin.land.naver.com/articles/2648383819", "매물Link")</f>
        <v/>
      </c>
      <c r="M343" s="6">
        <f>HYPERLINK("https://map.naver.com/p/search/세종특별자치시 금남면 박산리 219-3", "지도Link")</f>
        <v/>
      </c>
      <c r="N343" s="6">
        <f>HYPERLINK("http://www.eum.go.kr/web/ar/lu/luLandDet.jsp?pnu=3611034033102190003&amp;isNoScr=script&amp;mode=search", "토지이음")</f>
        <v/>
      </c>
      <c r="O343" s="3" t="inlineStr">
        <is>
          <t>스마일세종</t>
        </is>
      </c>
      <c r="P343" s="3" t="n">
        <v>1</v>
      </c>
      <c r="Q343" s="3" t="n">
        <v>904</v>
      </c>
      <c r="R343" s="3" t="inlineStr">
        <is>
          <t>지정되지않음</t>
        </is>
      </c>
      <c r="S343" s="3" t="inlineStr">
        <is>
          <t>단독</t>
        </is>
      </c>
      <c r="T343" s="3" t="inlineStr">
        <is>
          <t>완경사</t>
        </is>
      </c>
      <c r="U343" s="3" t="inlineStr">
        <is>
          <t>부정형</t>
        </is>
      </c>
      <c r="V343" s="3" t="inlineStr">
        <is>
          <t>세로한면(가)</t>
        </is>
      </c>
    </row>
    <row r="344">
      <c r="A344" s="3" t="inlineStr">
        <is>
          <t>세종특별자치시 금남면 박산리 251-3</t>
        </is>
      </c>
      <c r="B344" s="3" t="inlineStr">
        <is>
          <t>개발제한구역</t>
        </is>
      </c>
      <c r="C344" s="3" t="inlineStr">
        <is>
          <t>답</t>
        </is>
      </c>
      <c r="D344" s="3" t="inlineStr">
        <is>
          <t>답</t>
        </is>
      </c>
      <c r="E344" s="3" t="inlineStr">
        <is>
          <t>매매</t>
        </is>
      </c>
      <c r="F344" s="4" t="n">
        <v>30000</v>
      </c>
      <c r="G344" s="4" t="n">
        <v>1249</v>
      </c>
      <c r="H344" s="4" t="n">
        <v>378</v>
      </c>
      <c r="I344" s="5" t="n">
        <v>79.40000000000001</v>
      </c>
      <c r="J344" s="4" t="n">
        <v>42.7</v>
      </c>
      <c r="K344" s="3" t="inlineStr">
        <is>
          <t>세종시내에서 가깝고 투자가치 최고</t>
        </is>
      </c>
      <c r="L344" s="6">
        <f>HYPERLINK("https://fin.land.naver.com/articles/2646809488", "매물Link")</f>
        <v/>
      </c>
      <c r="M344" s="6">
        <f>HYPERLINK("https://map.naver.com/p/search/세종특별자치시 금남면 박산리 251-3", "지도Link")</f>
        <v/>
      </c>
      <c r="N344" s="6">
        <f>HYPERLINK("http://www.eum.go.kr/web/ar/lu/luLandDet.jsp?pnu=3611034033102510003&amp;isNoScr=script&amp;mode=search", "토지이음")</f>
        <v/>
      </c>
      <c r="O344" s="3" t="inlineStr">
        <is>
          <t>둔곡</t>
        </is>
      </c>
      <c r="P344" s="3" t="n">
        <v>1</v>
      </c>
      <c r="Q344" s="3" t="n">
        <v>1249</v>
      </c>
      <c r="R344" s="3" t="inlineStr">
        <is>
          <t>지정되지않음</t>
        </is>
      </c>
      <c r="S344" s="3" t="inlineStr">
        <is>
          <t>답</t>
        </is>
      </c>
      <c r="T344" s="3" t="inlineStr">
        <is>
          <t>평지</t>
        </is>
      </c>
      <c r="U344" s="3" t="inlineStr">
        <is>
          <t>세로장방</t>
        </is>
      </c>
      <c r="V344" s="3" t="inlineStr">
        <is>
          <t>소로한면</t>
        </is>
      </c>
    </row>
    <row r="345">
      <c r="A345" s="3" t="inlineStr">
        <is>
          <t>세종특별자치시 금남면 박산리 251-5</t>
        </is>
      </c>
      <c r="B345" s="3" t="inlineStr">
        <is>
          <t>개발제한구역</t>
        </is>
      </c>
      <c r="C345" s="3" t="inlineStr">
        <is>
          <t>답</t>
        </is>
      </c>
      <c r="D345" s="3" t="inlineStr">
        <is>
          <t>답</t>
        </is>
      </c>
      <c r="E345" s="3" t="inlineStr">
        <is>
          <t>매매</t>
        </is>
      </c>
      <c r="F345" s="4" t="n">
        <v>59000</v>
      </c>
      <c r="G345" s="4" t="n">
        <v>2094</v>
      </c>
      <c r="H345" s="4" t="n">
        <v>633</v>
      </c>
      <c r="I345" s="5" t="n">
        <v>93.2</v>
      </c>
      <c r="J345" s="4" t="n">
        <v>42.7</v>
      </c>
      <c r="K345" s="3" t="inlineStr">
        <is>
          <t>국제과학 비즈니스 벨트 근처 2차선 도로가 토지</t>
        </is>
      </c>
      <c r="L345" s="6">
        <f>HYPERLINK("https://fin.land.naver.com/articles/2648030228", "매물Link")</f>
        <v/>
      </c>
      <c r="M345" s="6">
        <f>HYPERLINK("https://map.naver.com/p/search/세종특별자치시 금남면 박산리 251-5", "지도Link")</f>
        <v/>
      </c>
      <c r="N345" s="6">
        <f>HYPERLINK("http://www.eum.go.kr/web/ar/lu/luLandDet.jsp?pnu=3611034033102510005&amp;isNoScr=script&amp;mode=search", "토지이음")</f>
        <v/>
      </c>
      <c r="O345" s="3" t="inlineStr">
        <is>
          <t>이레</t>
        </is>
      </c>
      <c r="P345" s="3" t="n">
        <v>1</v>
      </c>
      <c r="Q345" s="3" t="n">
        <v>2094</v>
      </c>
      <c r="R345" s="3" t="inlineStr">
        <is>
          <t>지정되지않음</t>
        </is>
      </c>
      <c r="S345" s="3" t="inlineStr">
        <is>
          <t>답</t>
        </is>
      </c>
      <c r="T345" s="3" t="inlineStr">
        <is>
          <t>평지</t>
        </is>
      </c>
      <c r="U345" s="3" t="inlineStr">
        <is>
          <t>세로장방</t>
        </is>
      </c>
      <c r="V345" s="3" t="inlineStr">
        <is>
          <t>소로한면</t>
        </is>
      </c>
    </row>
    <row r="346">
      <c r="A346" s="3" t="inlineStr">
        <is>
          <t>세종특별자치시 금남면 발산리 106</t>
        </is>
      </c>
      <c r="B346" s="3" t="inlineStr">
        <is>
          <t>개발제한구역</t>
        </is>
      </c>
      <c r="C346" s="3" t="inlineStr">
        <is>
          <t>전</t>
        </is>
      </c>
      <c r="D346" s="3" t="inlineStr">
        <is>
          <t>전</t>
        </is>
      </c>
      <c r="E346" s="3" t="inlineStr">
        <is>
          <t>매매</t>
        </is>
      </c>
      <c r="F346" s="4" t="n">
        <v>73900</v>
      </c>
      <c r="G346" s="4" t="n">
        <v>1163</v>
      </c>
      <c r="H346" s="4" t="n">
        <v>352</v>
      </c>
      <c r="I346" s="5" t="n">
        <v>209.9</v>
      </c>
      <c r="J346" s="4" t="n">
        <v>89.2</v>
      </c>
      <c r="K346" s="3" t="inlineStr">
        <is>
          <t>금남면 발산리 마을포장도로에 접한 투자용 토지, 2필지 합해서 매매도가능</t>
        </is>
      </c>
      <c r="L346" s="6">
        <f>HYPERLINK("https://fin.land.naver.com/articles/2645668847", "매물Link")</f>
        <v/>
      </c>
      <c r="M346" s="6">
        <f>HYPERLINK("https://map.naver.com/p/search/세종특별자치시 금남면 발산리 106", "지도Link")</f>
        <v/>
      </c>
      <c r="N346" s="6">
        <f>HYPERLINK("http://www.eum.go.kr/web/ar/lu/luLandDet.jsp?pnu=3611034022101060000&amp;isNoScr=script&amp;mode=search", "토지이음")</f>
        <v/>
      </c>
      <c r="O346" s="3" t="inlineStr">
        <is>
          <t>스마일세종</t>
        </is>
      </c>
      <c r="P346" s="3" t="n">
        <v>2</v>
      </c>
      <c r="Q346" s="3" t="n">
        <v>1163</v>
      </c>
      <c r="R346" s="3" t="inlineStr">
        <is>
          <t>제1종일반주거지역</t>
        </is>
      </c>
      <c r="S346" s="3" t="inlineStr">
        <is>
          <t>전</t>
        </is>
      </c>
      <c r="T346" s="3" t="inlineStr">
        <is>
          <t>평지</t>
        </is>
      </c>
      <c r="U346" s="3" t="inlineStr">
        <is>
          <t>부정형</t>
        </is>
      </c>
      <c r="V346" s="3" t="inlineStr">
        <is>
          <t>세로한면(가)</t>
        </is>
      </c>
    </row>
    <row r="347">
      <c r="A347" s="3" t="inlineStr">
        <is>
          <t>세종특별자치시 금남면 발산리 106-1</t>
        </is>
      </c>
      <c r="B347" s="3" t="inlineStr">
        <is>
          <t>개발제한구역</t>
        </is>
      </c>
      <c r="C347" s="3" t="inlineStr">
        <is>
          <t>전</t>
        </is>
      </c>
      <c r="D347" s="3" t="inlineStr">
        <is>
          <t>전</t>
        </is>
      </c>
      <c r="E347" s="3" t="inlineStr">
        <is>
          <t>매매</t>
        </is>
      </c>
      <c r="F347" s="4" t="n">
        <v>105000</v>
      </c>
      <c r="G347" s="4" t="n">
        <v>1654</v>
      </c>
      <c r="H347" s="4" t="n">
        <v>500</v>
      </c>
      <c r="I347" s="5" t="n">
        <v>210</v>
      </c>
      <c r="J347" s="4" t="n">
        <v>72.40000000000001</v>
      </c>
      <c r="K347" s="3" t="inlineStr">
        <is>
          <t>KTX 세종역 인근 금남면 발산리 마을 포장도로에 접한 투자용 토지입니다</t>
        </is>
      </c>
      <c r="L347" s="6">
        <f>HYPERLINK("https://fin.land.naver.com/articles/2649381117", "매물Link")</f>
        <v/>
      </c>
      <c r="M347" s="6">
        <f>HYPERLINK("https://map.naver.com/p/search/세종특별자치시 금남면 발산리 106-1", "지도Link")</f>
        <v/>
      </c>
      <c r="N347" s="6">
        <f>HYPERLINK("http://www.eum.go.kr/web/ar/lu/luLandDet.jsp?pnu=3611034022101060001&amp;isNoScr=script&amp;mode=search", "토지이음")</f>
        <v/>
      </c>
      <c r="O347" s="3" t="inlineStr">
        <is>
          <t>스마일세종</t>
        </is>
      </c>
      <c r="P347" s="3" t="n">
        <v>1</v>
      </c>
      <c r="Q347" s="3" t="n">
        <v>1654</v>
      </c>
      <c r="R347" s="3" t="inlineStr">
        <is>
          <t>제1종일반주거지역</t>
        </is>
      </c>
      <c r="S347" s="3" t="inlineStr">
        <is>
          <t>전</t>
        </is>
      </c>
      <c r="T347" s="3" t="inlineStr">
        <is>
          <t>평지</t>
        </is>
      </c>
      <c r="U347" s="3" t="inlineStr">
        <is>
          <t>부정형</t>
        </is>
      </c>
      <c r="V347" s="3" t="inlineStr">
        <is>
          <t>세로한면(가)</t>
        </is>
      </c>
    </row>
    <row r="348">
      <c r="A348" s="3" t="inlineStr">
        <is>
          <t>세종특별자치시 금남면 발산리 110-8</t>
        </is>
      </c>
      <c r="B348" s="3" t="inlineStr">
        <is>
          <t>생산관리지역</t>
        </is>
      </c>
      <c r="C348" s="3" t="inlineStr">
        <is>
          <t>대</t>
        </is>
      </c>
      <c r="D348" s="3" t="inlineStr">
        <is>
          <t>대</t>
        </is>
      </c>
      <c r="E348" s="3" t="inlineStr">
        <is>
          <t>월세</t>
        </is>
      </c>
      <c r="F348" s="4" t="n">
        <v>2000</v>
      </c>
      <c r="G348" s="4" t="n">
        <v>1431</v>
      </c>
      <c r="H348" s="4" t="n">
        <v>433</v>
      </c>
      <c r="I348" s="5" t="n">
        <v>0.4</v>
      </c>
      <c r="J348" s="4" t="n">
        <v>154</v>
      </c>
      <c r="K348" s="3" t="inlineStr">
        <is>
          <t>현 지번 외 6필지로 부지주변 국유지가 붙어있어 넓게 사용가능</t>
        </is>
      </c>
      <c r="L348" s="6">
        <f>HYPERLINK("https://fin.land.naver.com/articles/2649891932", "매물Link")</f>
        <v/>
      </c>
      <c r="M348" s="6">
        <f>HYPERLINK("https://map.naver.com/p/search/세종특별자치시 금남면 발산리 110-8", "지도Link")</f>
        <v/>
      </c>
      <c r="N348" s="6">
        <f>HYPERLINK("http://www.eum.go.kr/web/ar/lu/luLandDet.jsp?pnu=3611034022101100008&amp;isNoScr=script&amp;mode=search", "토지이음")</f>
        <v/>
      </c>
      <c r="O348" s="3" t="inlineStr">
        <is>
          <t>두진</t>
        </is>
      </c>
      <c r="P348" s="3" t="n">
        <v>1</v>
      </c>
      <c r="Q348" s="3" t="n">
        <v>348</v>
      </c>
      <c r="R348" s="3" t="inlineStr">
        <is>
          <t>지정되지않음</t>
        </is>
      </c>
      <c r="S348" s="3" t="inlineStr">
        <is>
          <t>단독</t>
        </is>
      </c>
      <c r="T348" s="3" t="inlineStr">
        <is>
          <t>평지</t>
        </is>
      </c>
      <c r="U348" s="3" t="inlineStr">
        <is>
          <t>사다리형</t>
        </is>
      </c>
      <c r="V348" s="3" t="inlineStr">
        <is>
          <t>세로한면(불)</t>
        </is>
      </c>
    </row>
    <row r="349">
      <c r="A349" s="3" t="inlineStr">
        <is>
          <t>세종특별자치시 금남면 발산리 154</t>
        </is>
      </c>
      <c r="B349" s="3" t="inlineStr">
        <is>
          <t>개발제한구역</t>
        </is>
      </c>
      <c r="C349" s="3" t="inlineStr">
        <is>
          <t>답</t>
        </is>
      </c>
      <c r="D349" s="3" t="inlineStr">
        <is>
          <t>전</t>
        </is>
      </c>
      <c r="E349" s="3" t="inlineStr">
        <is>
          <t>매매</t>
        </is>
      </c>
      <c r="F349" s="4" t="n">
        <v>110000</v>
      </c>
      <c r="G349" s="4" t="n">
        <v>1821</v>
      </c>
      <c r="H349" s="4" t="n">
        <v>551</v>
      </c>
      <c r="I349" s="5" t="n">
        <v>199.6</v>
      </c>
      <c r="J349" s="4" t="n">
        <v>40.1</v>
      </c>
      <c r="K349" s="3" t="inlineStr">
        <is>
          <t>세종시 금남면 발산리 토지</t>
        </is>
      </c>
      <c r="L349" s="6">
        <f>HYPERLINK("https://fin.land.naver.com/articles/2649615897", "매물Link")</f>
        <v/>
      </c>
      <c r="M349" s="6">
        <f>HYPERLINK("https://map.naver.com/p/search/세종특별자치시 금남면 발산리 154", "지도Link")</f>
        <v/>
      </c>
      <c r="N349" s="6">
        <f>HYPERLINK("http://www.eum.go.kr/web/ar/lu/luLandDet.jsp?pnu=3611034022101540000&amp;isNoScr=script&amp;mode=search", "토지이음")</f>
        <v/>
      </c>
      <c r="O349" s="3" t="inlineStr">
        <is>
          <t>황금도장</t>
        </is>
      </c>
      <c r="P349" s="3" t="n">
        <v>1</v>
      </c>
      <c r="Q349" s="3" t="n">
        <v>1336</v>
      </c>
      <c r="R349" s="3" t="inlineStr">
        <is>
          <t>지정되지않음</t>
        </is>
      </c>
      <c r="S349" s="3" t="inlineStr">
        <is>
          <t>전</t>
        </is>
      </c>
      <c r="T349" s="3" t="inlineStr">
        <is>
          <t>완경사</t>
        </is>
      </c>
      <c r="U349" s="3" t="inlineStr">
        <is>
          <t>부정형</t>
        </is>
      </c>
      <c r="V349" s="3" t="inlineStr">
        <is>
          <t>맹지</t>
        </is>
      </c>
    </row>
    <row r="350">
      <c r="A350" s="3" t="inlineStr">
        <is>
          <t>세종특별자치시 금남면 발산리 155-4</t>
        </is>
      </c>
      <c r="B350" s="3" t="inlineStr">
        <is>
          <t>개발제한구역</t>
        </is>
      </c>
      <c r="C350" s="3" t="inlineStr">
        <is>
          <t>전</t>
        </is>
      </c>
      <c r="D350" s="3" t="inlineStr">
        <is>
          <t>전</t>
        </is>
      </c>
      <c r="E350" s="3" t="inlineStr">
        <is>
          <t>매매</t>
        </is>
      </c>
      <c r="F350" s="4" t="n">
        <v>210000</v>
      </c>
      <c r="G350" s="4" t="n">
        <v>3661</v>
      </c>
      <c r="H350" s="4" t="n">
        <v>1107</v>
      </c>
      <c r="I350" s="5" t="n">
        <v>189.7</v>
      </c>
      <c r="J350" s="4" t="n">
        <v>42.6</v>
      </c>
      <c r="K350" s="3" t="inlineStr">
        <is>
          <t>세종시 금남면 발산리 토지</t>
        </is>
      </c>
      <c r="L350" s="6">
        <f>HYPERLINK("https://fin.land.naver.com/articles/2649632942", "매물Link")</f>
        <v/>
      </c>
      <c r="M350" s="6">
        <f>HYPERLINK("https://map.naver.com/p/search/세종특별자치시 금남면 발산리 155-4", "지도Link")</f>
        <v/>
      </c>
      <c r="N350" s="6">
        <f>HYPERLINK("http://www.eum.go.kr/web/ar/lu/luLandDet.jsp?pnu=3611034022101550004&amp;isNoScr=script&amp;mode=search", "토지이음")</f>
        <v/>
      </c>
      <c r="O350" s="3" t="inlineStr">
        <is>
          <t>황금도장</t>
        </is>
      </c>
      <c r="P350" s="3" t="n">
        <v>1</v>
      </c>
      <c r="Q350" s="3" t="n">
        <v>3307</v>
      </c>
      <c r="R350" s="3" t="inlineStr">
        <is>
          <t>지정되지않음</t>
        </is>
      </c>
      <c r="S350" s="3" t="inlineStr">
        <is>
          <t>전</t>
        </is>
      </c>
      <c r="T350" s="3" t="inlineStr">
        <is>
          <t>완경사</t>
        </is>
      </c>
      <c r="U350" s="3" t="inlineStr">
        <is>
          <t>부정형</t>
        </is>
      </c>
      <c r="V350" s="3" t="inlineStr">
        <is>
          <t>세로한면(불)</t>
        </is>
      </c>
    </row>
    <row r="351">
      <c r="A351" s="3" t="inlineStr">
        <is>
          <t>세종특별자치시 금남면 발산리 165-1</t>
        </is>
      </c>
      <c r="B351" s="3" t="inlineStr">
        <is>
          <t>개발제한구역</t>
        </is>
      </c>
      <c r="C351" s="3" t="inlineStr">
        <is>
          <t>전</t>
        </is>
      </c>
      <c r="D351" s="3" t="inlineStr">
        <is>
          <t>전</t>
        </is>
      </c>
      <c r="E351" s="3" t="inlineStr">
        <is>
          <t>매매</t>
        </is>
      </c>
      <c r="F351" s="4" t="n">
        <v>130000</v>
      </c>
      <c r="G351" s="4" t="n">
        <v>6159</v>
      </c>
      <c r="H351" s="4" t="n">
        <v>1863</v>
      </c>
      <c r="I351" s="5" t="n">
        <v>69.8</v>
      </c>
      <c r="J351" s="4" t="n">
        <v>42.6</v>
      </c>
      <c r="K351" s="3" t="inlineStr">
        <is>
          <t>2차선 도로에 접해 있으며 지대가 높아 조망이 좋은 경사도 완만한 전</t>
        </is>
      </c>
      <c r="L351" s="6">
        <f>HYPERLINK("https://fin.land.naver.com/articles/2645811173", "매물Link")</f>
        <v/>
      </c>
      <c r="M351" s="6">
        <f>HYPERLINK("https://map.naver.com/p/search/세종특별자치시 금남면 발산리 165-1", "지도Link")</f>
        <v/>
      </c>
      <c r="N351" s="6">
        <f>HYPERLINK("http://www.eum.go.kr/web/ar/lu/luLandDet.jsp?pnu=3611034022101650001&amp;isNoScr=script&amp;mode=search", "토지이음")</f>
        <v/>
      </c>
      <c r="O351" s="3" t="inlineStr">
        <is>
          <t>스마일세종</t>
        </is>
      </c>
      <c r="P351" s="3" t="n">
        <v>1</v>
      </c>
      <c r="Q351" s="3" t="n">
        <v>5887</v>
      </c>
      <c r="R351" s="3" t="inlineStr">
        <is>
          <t>지정되지않음</t>
        </is>
      </c>
      <c r="S351" s="3" t="inlineStr">
        <is>
          <t>전</t>
        </is>
      </c>
      <c r="T351" s="3" t="inlineStr">
        <is>
          <t>완경사</t>
        </is>
      </c>
      <c r="U351" s="3" t="inlineStr">
        <is>
          <t>부정형</t>
        </is>
      </c>
      <c r="V351" s="3" t="inlineStr">
        <is>
          <t>세로한면(불)</t>
        </is>
      </c>
    </row>
    <row r="352">
      <c r="A352" s="3" t="inlineStr">
        <is>
          <t>세종특별자치시 금남면 발산리 261</t>
        </is>
      </c>
      <c r="B352" s="3" t="inlineStr">
        <is>
          <t>농림지역</t>
        </is>
      </c>
      <c r="C352" s="3" t="inlineStr">
        <is>
          <t>답</t>
        </is>
      </c>
      <c r="D352" s="3" t="inlineStr">
        <is>
          <t>답</t>
        </is>
      </c>
      <c r="E352" s="3" t="inlineStr">
        <is>
          <t>매매</t>
        </is>
      </c>
      <c r="F352" s="4" t="n">
        <v>148000</v>
      </c>
      <c r="G352" s="4" t="n">
        <v>1954</v>
      </c>
      <c r="H352" s="4" t="n">
        <v>591</v>
      </c>
      <c r="I352" s="5" t="n">
        <v>250.4</v>
      </c>
      <c r="J352" s="4" t="n">
        <v>79.59999999999999</v>
      </c>
      <c r="K352" s="3" t="inlineStr">
        <is>
          <t>접근성좋은 발산리 토지 도로접</t>
        </is>
      </c>
      <c r="L352" s="6">
        <f>HYPERLINK("https://fin.land.naver.com/articles/2644523186", "매물Link")</f>
        <v/>
      </c>
      <c r="M352" s="6">
        <f>HYPERLINK("https://map.naver.com/p/search/세종특별자치시 금남면 발산리 261", "지도Link")</f>
        <v/>
      </c>
      <c r="N352" s="6">
        <f>HYPERLINK("http://www.eum.go.kr/web/ar/lu/luLandDet.jsp?pnu=3611034022102610000&amp;isNoScr=script&amp;mode=search", "토지이음")</f>
        <v/>
      </c>
      <c r="O352" s="3" t="inlineStr">
        <is>
          <t>새롬삼둥이</t>
        </is>
      </c>
      <c r="P352" s="3" t="n">
        <v>1</v>
      </c>
      <c r="Q352" s="3" t="n">
        <v>1954</v>
      </c>
      <c r="R352" s="3" t="inlineStr">
        <is>
          <t>지정되지않음</t>
        </is>
      </c>
      <c r="S352" s="3" t="inlineStr">
        <is>
          <t>전</t>
        </is>
      </c>
      <c r="T352" s="3" t="inlineStr">
        <is>
          <t>평지</t>
        </is>
      </c>
      <c r="U352" s="3" t="inlineStr">
        <is>
          <t>사다리형</t>
        </is>
      </c>
      <c r="V352" s="3" t="inlineStr">
        <is>
          <t>세로한면(가)</t>
        </is>
      </c>
    </row>
    <row r="353">
      <c r="A353" s="3" t="inlineStr">
        <is>
          <t>세종특별자치시 금남면 발산리 276</t>
        </is>
      </c>
      <c r="B353" s="3" t="inlineStr">
        <is>
          <t>제1종일반주거지역</t>
        </is>
      </c>
      <c r="C353" s="3" t="inlineStr">
        <is>
          <t>대</t>
        </is>
      </c>
      <c r="D353" s="3" t="inlineStr">
        <is>
          <t>대</t>
        </is>
      </c>
      <c r="E353" s="3" t="inlineStr">
        <is>
          <t>매매</t>
        </is>
      </c>
      <c r="F353" s="4" t="n">
        <v>263000</v>
      </c>
      <c r="G353" s="4" t="n">
        <v>1242</v>
      </c>
      <c r="H353" s="4" t="n">
        <v>376</v>
      </c>
      <c r="I353" s="5" t="n">
        <v>699.5</v>
      </c>
      <c r="J353" s="4" t="n">
        <v>334.5</v>
      </c>
      <c r="K353" s="3" t="inlineStr">
        <is>
          <t>1종일반주거지역. 음식점 성업중. 핫플가득한 라인</t>
        </is>
      </c>
      <c r="L353" s="6">
        <f>HYPERLINK("https://fin.land.naver.com/articles/2645370611", "매물Link")</f>
        <v/>
      </c>
      <c r="M353" s="6">
        <f>HYPERLINK("https://map.naver.com/p/search/세종특별자치시 금남면 발산리 276", "지도Link")</f>
        <v/>
      </c>
      <c r="N353" s="6">
        <f>HYPERLINK("http://www.eum.go.kr/web/ar/lu/luLandDet.jsp?pnu=3611034022102760000&amp;isNoScr=script&amp;mode=search", "토지이음")</f>
        <v/>
      </c>
      <c r="O353" s="3" t="inlineStr">
        <is>
          <t>세종금밭</t>
        </is>
      </c>
      <c r="P353" s="3" t="n">
        <v>1</v>
      </c>
      <c r="Q353" s="3" t="n">
        <v>600</v>
      </c>
      <c r="R353" s="3" t="inlineStr">
        <is>
          <t>지정되지않음</t>
        </is>
      </c>
      <c r="S353" s="3" t="inlineStr">
        <is>
          <t>주상용</t>
        </is>
      </c>
      <c r="T353" s="3" t="inlineStr">
        <is>
          <t>평지</t>
        </is>
      </c>
      <c r="U353" s="3" t="inlineStr">
        <is>
          <t>사다리형</t>
        </is>
      </c>
      <c r="V353" s="3" t="inlineStr">
        <is>
          <t>세로한면(가)</t>
        </is>
      </c>
    </row>
    <row r="354">
      <c r="A354" s="3" t="inlineStr">
        <is>
          <t>세종특별자치시 금남면 발산리 316</t>
        </is>
      </c>
      <c r="B354" s="3" t="inlineStr">
        <is>
          <t>자연녹지지역</t>
        </is>
      </c>
      <c r="C354" s="3" t="inlineStr">
        <is>
          <t>전</t>
        </is>
      </c>
      <c r="D354" s="3" t="inlineStr">
        <is>
          <t>전</t>
        </is>
      </c>
      <c r="E354" s="3" t="inlineStr">
        <is>
          <t>매매</t>
        </is>
      </c>
      <c r="F354" s="4" t="n">
        <v>1472900</v>
      </c>
      <c r="G354" s="4" t="n">
        <v>4427</v>
      </c>
      <c r="H354" s="4" t="n">
        <v>1339</v>
      </c>
      <c r="I354" s="5" t="n">
        <v>1100</v>
      </c>
      <c r="J354" s="4" t="n">
        <v>436.4</v>
      </c>
      <c r="K354" s="3" t="inlineStr">
        <is>
          <t>nan</t>
        </is>
      </c>
      <c r="L354" s="6">
        <f>HYPERLINK("https://fin.land.naver.com/articles/2644904444", "매물Link")</f>
        <v/>
      </c>
      <c r="M354" s="6">
        <f>HYPERLINK("https://map.naver.com/p/search/세종특별자치시 금남면 발산리 316", "지도Link")</f>
        <v/>
      </c>
      <c r="N354" s="6">
        <f>HYPERLINK("http://www.eum.go.kr/web/ar/lu/luLandDet.jsp?pnu=3611034022103160000&amp;isNoScr=script&amp;mode=search", "토지이음")</f>
        <v/>
      </c>
      <c r="O354" s="3" t="inlineStr">
        <is>
          <t>KB</t>
        </is>
      </c>
      <c r="P354" s="3" t="n">
        <v>1</v>
      </c>
      <c r="Q354" s="3" t="n">
        <v>2474</v>
      </c>
      <c r="R354" s="3" t="inlineStr">
        <is>
          <t>생산녹지지역</t>
        </is>
      </c>
      <c r="S354" s="3" t="inlineStr">
        <is>
          <t>주상나지</t>
        </is>
      </c>
      <c r="T354" s="3" t="inlineStr">
        <is>
          <t>평지</t>
        </is>
      </c>
      <c r="U354" s="3" t="inlineStr">
        <is>
          <t>부정형</t>
        </is>
      </c>
      <c r="V354" s="3" t="inlineStr">
        <is>
          <t>중로한면</t>
        </is>
      </c>
    </row>
    <row r="355">
      <c r="A355" s="3" t="inlineStr">
        <is>
          <t>세종특별자치시 금남면 발산리 417-3</t>
        </is>
      </c>
      <c r="B355" s="3" t="inlineStr">
        <is>
          <t>농림지역</t>
        </is>
      </c>
      <c r="C355" s="3" t="inlineStr">
        <is>
          <t>답</t>
        </is>
      </c>
      <c r="D355" s="3" t="inlineStr">
        <is>
          <t>답</t>
        </is>
      </c>
      <c r="E355" s="3" t="inlineStr">
        <is>
          <t>매매</t>
        </is>
      </c>
      <c r="F355" s="4" t="n">
        <v>52500</v>
      </c>
      <c r="G355" s="4" t="n">
        <v>1580</v>
      </c>
      <c r="H355" s="4" t="n">
        <v>478</v>
      </c>
      <c r="I355" s="5" t="n">
        <v>109.8</v>
      </c>
      <c r="J355" s="4" t="n">
        <v>77.2</v>
      </c>
      <c r="K355" s="3" t="inlineStr">
        <is>
          <t>세종시  사두면 무조건 돈되는 땅입니다.가격조정 협의</t>
        </is>
      </c>
      <c r="L355" s="6">
        <f>HYPERLINK("https://fin.land.naver.com/articles/2645317598", "매물Link")</f>
        <v/>
      </c>
      <c r="M355" s="6">
        <f>HYPERLINK("https://map.naver.com/p/search/세종특별자치시 금남면 발산리 417-3", "지도Link")</f>
        <v/>
      </c>
      <c r="N355" s="6">
        <f>HYPERLINK("http://www.eum.go.kr/web/ar/lu/luLandDet.jsp?pnu=3611034022104170003&amp;isNoScr=script&amp;mode=search", "토지이음")</f>
        <v/>
      </c>
      <c r="O355" s="3" t="inlineStr">
        <is>
          <t>유성대박</t>
        </is>
      </c>
      <c r="P355" s="3" t="n">
        <v>1</v>
      </c>
      <c r="Q355" s="3" t="n">
        <v>1580</v>
      </c>
      <c r="R355" s="3" t="inlineStr">
        <is>
          <t>지정되지않음</t>
        </is>
      </c>
      <c r="S355" s="3" t="inlineStr">
        <is>
          <t>답</t>
        </is>
      </c>
      <c r="T355" s="3" t="inlineStr">
        <is>
          <t>평지</t>
        </is>
      </c>
      <c r="U355" s="3" t="inlineStr">
        <is>
          <t>사다리형</t>
        </is>
      </c>
      <c r="V355" s="3" t="inlineStr">
        <is>
          <t>세로한면(가)</t>
        </is>
      </c>
    </row>
    <row r="356">
      <c r="A356" s="3" t="inlineStr">
        <is>
          <t>세종특별자치시 금남면 발산리 46</t>
        </is>
      </c>
      <c r="B356" s="3" t="inlineStr">
        <is>
          <t>제1종일반주거지역</t>
        </is>
      </c>
      <c r="C356" s="3" t="inlineStr">
        <is>
          <t>답</t>
        </is>
      </c>
      <c r="D356" s="3" t="inlineStr">
        <is>
          <t>답</t>
        </is>
      </c>
      <c r="E356" s="3" t="inlineStr">
        <is>
          <t>매매</t>
        </is>
      </c>
      <c r="F356" s="4" t="n">
        <v>240600</v>
      </c>
      <c r="G356" s="4" t="n">
        <v>1326</v>
      </c>
      <c r="H356" s="4" t="n">
        <v>401</v>
      </c>
      <c r="I356" s="5" t="n">
        <v>600</v>
      </c>
      <c r="J356" s="4" t="n">
        <v>195.9</v>
      </c>
      <c r="K356" s="3" t="inlineStr">
        <is>
          <t>1종 일반주거지역</t>
        </is>
      </c>
      <c r="L356" s="6">
        <f>HYPERLINK("https://fin.land.naver.com/articles/2644215399", "매물Link")</f>
        <v/>
      </c>
      <c r="M356" s="6">
        <f>HYPERLINK("https://map.naver.com/p/search/세종특별자치시 금남면 발산리 46", "지도Link")</f>
        <v/>
      </c>
      <c r="N356" s="6">
        <f>HYPERLINK("http://www.eum.go.kr/web/ar/lu/luLandDet.jsp?pnu=3611034022100460000&amp;isNoScr=script&amp;mode=search", "토지이음")</f>
        <v/>
      </c>
      <c r="O356" s="3" t="inlineStr">
        <is>
          <t>신안</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세종특별자치시 금남면 발산리 46</t>
        </is>
      </c>
      <c r="B357" s="3" t="inlineStr">
        <is>
          <t>제1종일반주거지역</t>
        </is>
      </c>
      <c r="C357" s="3" t="inlineStr">
        <is>
          <t>답</t>
        </is>
      </c>
      <c r="D357" s="3" t="inlineStr">
        <is>
          <t>답</t>
        </is>
      </c>
      <c r="E357" s="3" t="inlineStr">
        <is>
          <t>매매</t>
        </is>
      </c>
      <c r="F357" s="4" t="n">
        <v>240000</v>
      </c>
      <c r="G357" s="4" t="n">
        <v>1326</v>
      </c>
      <c r="H357" s="4" t="n">
        <v>401</v>
      </c>
      <c r="I357" s="5" t="n">
        <v>598.5</v>
      </c>
      <c r="J357" s="4" t="n">
        <v>195.9</v>
      </c>
      <c r="K357" s="3" t="inlineStr">
        <is>
          <t>상가건물 신축시 임대수요 커피숍,유치원,사무실등많음,매매가 협의가능.</t>
        </is>
      </c>
      <c r="L357" s="6">
        <f>HYPERLINK("https://fin.land.naver.com/articles/2648545426", "매물Link")</f>
        <v/>
      </c>
      <c r="M357" s="6">
        <f>HYPERLINK("https://map.naver.com/p/search/세종특별자치시 금남면 발산리 46", "지도Link")</f>
        <v/>
      </c>
      <c r="N357" s="6">
        <f>HYPERLINK("http://www.eum.go.kr/web/ar/lu/luLandDet.jsp?pnu=3611034022100460000&amp;isNoScr=script&amp;mode=search", "토지이음")</f>
        <v/>
      </c>
      <c r="O357" s="3" t="inlineStr">
        <is>
          <t>장터</t>
        </is>
      </c>
      <c r="P357" s="3" t="n">
        <v>1</v>
      </c>
      <c r="Q357" s="3" t="n">
        <v>1326</v>
      </c>
      <c r="R357" s="3" t="inlineStr">
        <is>
          <t>지정되지않음</t>
        </is>
      </c>
      <c r="S357" s="3" t="inlineStr">
        <is>
          <t>답</t>
        </is>
      </c>
      <c r="T357" s="3" t="inlineStr">
        <is>
          <t>평지</t>
        </is>
      </c>
      <c r="U357" s="3" t="inlineStr">
        <is>
          <t>부정형</t>
        </is>
      </c>
      <c r="V357" s="3" t="inlineStr">
        <is>
          <t>세로한면(가)</t>
        </is>
      </c>
    </row>
    <row r="358">
      <c r="A358" s="3" t="inlineStr">
        <is>
          <t>세종특별자치시 금남면 발산리 55</t>
        </is>
      </c>
      <c r="B358" s="3" t="inlineStr">
        <is>
          <t>개발제한구역</t>
        </is>
      </c>
      <c r="C358" s="3" t="inlineStr">
        <is>
          <t>답</t>
        </is>
      </c>
      <c r="D358" s="3" t="inlineStr">
        <is>
          <t>답</t>
        </is>
      </c>
      <c r="E358" s="3" t="inlineStr">
        <is>
          <t>매매</t>
        </is>
      </c>
      <c r="F358" s="4" t="n">
        <v>13300</v>
      </c>
      <c r="G358" s="4" t="n">
        <v>1261</v>
      </c>
      <c r="H358" s="4" t="n">
        <v>381</v>
      </c>
      <c r="I358" s="5" t="n">
        <v>34.9</v>
      </c>
      <c r="J358" s="4" t="n">
        <v>20.7</v>
      </c>
      <c r="K358" s="3" t="inlineStr">
        <is>
          <t>발산리 개발제한구역 내 토지.</t>
        </is>
      </c>
      <c r="L358" s="6">
        <f>HYPERLINK("https://fin.land.naver.com/articles/2648347625", "매물Link")</f>
        <v/>
      </c>
      <c r="M358" s="6">
        <f>HYPERLINK("https://map.naver.com/p/search/세종특별자치시 금남면 발산리 55", "지도Link")</f>
        <v/>
      </c>
      <c r="N358" s="6">
        <f>HYPERLINK("http://www.eum.go.kr/web/ar/lu/luLandDet.jsp?pnu=3611034022100550000&amp;isNoScr=script&amp;mode=search", "토지이음")</f>
        <v/>
      </c>
      <c r="O358" s="3" t="inlineStr">
        <is>
          <t>미스터홈즈강남지사</t>
        </is>
      </c>
      <c r="P358" s="3" t="n">
        <v>1</v>
      </c>
      <c r="Q358" s="3" t="n">
        <v>1261</v>
      </c>
      <c r="R358" s="3" t="inlineStr">
        <is>
          <t>지정되지않음</t>
        </is>
      </c>
      <c r="S358" s="3" t="inlineStr">
        <is>
          <t>전기타</t>
        </is>
      </c>
      <c r="T358" s="3" t="inlineStr">
        <is>
          <t>급경사</t>
        </is>
      </c>
      <c r="U358" s="3" t="inlineStr">
        <is>
          <t>부정형</t>
        </is>
      </c>
      <c r="V358" s="3" t="inlineStr">
        <is>
          <t>맹지</t>
        </is>
      </c>
    </row>
    <row r="359">
      <c r="A359" s="3" t="inlineStr">
        <is>
          <t>세종특별자치시 금남면 발산리 67</t>
        </is>
      </c>
      <c r="B359" s="3" t="inlineStr">
        <is>
          <t>개발제한구역</t>
        </is>
      </c>
      <c r="C359" s="3" t="inlineStr">
        <is>
          <t>전</t>
        </is>
      </c>
      <c r="D359" s="3" t="inlineStr">
        <is>
          <t>전</t>
        </is>
      </c>
      <c r="E359" s="3" t="inlineStr">
        <is>
          <t>매매</t>
        </is>
      </c>
      <c r="F359" s="4" t="n">
        <v>12000</v>
      </c>
      <c r="G359" s="4" t="n">
        <v>324</v>
      </c>
      <c r="H359" s="4" t="n">
        <v>98</v>
      </c>
      <c r="I359" s="5" t="n">
        <v>122.4</v>
      </c>
      <c r="J359" s="4" t="n">
        <v>45.6</v>
      </c>
      <c r="K359" s="3" t="inlineStr">
        <is>
          <t>소형평수 토지투자</t>
        </is>
      </c>
      <c r="L359" s="6">
        <f>HYPERLINK("https://fin.land.naver.com/articles/2648545022", "매물Link")</f>
        <v/>
      </c>
      <c r="M359" s="6">
        <f>HYPERLINK("https://map.naver.com/p/search/세종특별자치시 금남면 발산리 67", "지도Link")</f>
        <v/>
      </c>
      <c r="N359" s="6">
        <f>HYPERLINK("http://www.eum.go.kr/web/ar/lu/luLandDet.jsp?pnu=3611034022100670000&amp;isNoScr=script&amp;mode=search", "토지이음")</f>
        <v/>
      </c>
      <c r="O359" s="3" t="inlineStr">
        <is>
          <t>세계로</t>
        </is>
      </c>
      <c r="P359" s="3" t="n">
        <v>1</v>
      </c>
      <c r="Q359" s="3" t="n">
        <v>324</v>
      </c>
      <c r="R359" s="3" t="inlineStr">
        <is>
          <t>지정되지않음</t>
        </is>
      </c>
      <c r="S359" s="3" t="inlineStr">
        <is>
          <t>전기타</t>
        </is>
      </c>
      <c r="T359" s="3" t="inlineStr">
        <is>
          <t>완경사</t>
        </is>
      </c>
      <c r="U359" s="3" t="inlineStr">
        <is>
          <t>부정형</t>
        </is>
      </c>
      <c r="V359" s="3" t="inlineStr">
        <is>
          <t>세로한면(가)</t>
        </is>
      </c>
    </row>
    <row r="360">
      <c r="A360" s="3" t="inlineStr">
        <is>
          <t>세종특별자치시 금남면 발산리 7-4</t>
        </is>
      </c>
      <c r="B360" s="3" t="inlineStr">
        <is>
          <t>개발제한구역</t>
        </is>
      </c>
      <c r="C360" s="3" t="inlineStr">
        <is>
          <t>전</t>
        </is>
      </c>
      <c r="D360" s="3" t="inlineStr">
        <is>
          <t>전</t>
        </is>
      </c>
      <c r="E360" s="3" t="inlineStr">
        <is>
          <t>매매</t>
        </is>
      </c>
      <c r="F360" s="4" t="n">
        <v>23883</v>
      </c>
      <c r="G360" s="4" t="n">
        <v>1385</v>
      </c>
      <c r="H360" s="4" t="n">
        <v>419</v>
      </c>
      <c r="I360" s="5" t="n">
        <v>57</v>
      </c>
      <c r="J360" s="4" t="n">
        <v>50.5</v>
      </c>
      <c r="K360" s="3" t="inlineStr">
        <is>
          <t>도로에 접해 접근성 양호한 토지</t>
        </is>
      </c>
      <c r="L360" s="6">
        <f>HYPERLINK("https://fin.land.naver.com/articles/2649677220", "매물Link")</f>
        <v/>
      </c>
      <c r="M360" s="6">
        <f>HYPERLINK("https://map.naver.com/p/search/세종특별자치시 금남면 발산리 7-4", "지도Link")</f>
        <v/>
      </c>
      <c r="N360" s="6">
        <f>HYPERLINK("http://www.eum.go.kr/web/ar/lu/luLandDet.jsp?pnu=3611034022100070004&amp;isNoScr=script&amp;mode=search", "토지이음")</f>
        <v/>
      </c>
      <c r="O360" s="3" t="inlineStr">
        <is>
          <t>정보은행</t>
        </is>
      </c>
      <c r="P360" s="3" t="n">
        <v>1</v>
      </c>
      <c r="Q360" s="3" t="n">
        <v>1142</v>
      </c>
      <c r="R360" s="3" t="inlineStr">
        <is>
          <t>지정되지않음</t>
        </is>
      </c>
      <c r="S360" s="3" t="inlineStr">
        <is>
          <t>전</t>
        </is>
      </c>
      <c r="T360" s="3" t="inlineStr">
        <is>
          <t>완경사</t>
        </is>
      </c>
      <c r="U360" s="3" t="inlineStr">
        <is>
          <t>부정형</t>
        </is>
      </c>
      <c r="V360" s="3" t="inlineStr">
        <is>
          <t>세로한면(가)</t>
        </is>
      </c>
    </row>
    <row r="361">
      <c r="A361" s="3" t="inlineStr">
        <is>
          <t>세종특별자치시 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HYPERLINK("https://map.naver.com/p/search/세종특별자치시 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세종특별자치시 금남면 발산리 88</t>
        </is>
      </c>
      <c r="B362" s="3" t="inlineStr">
        <is>
          <t>제1종일반주거지역</t>
        </is>
      </c>
      <c r="C362" s="3" t="inlineStr">
        <is>
          <t>대</t>
        </is>
      </c>
      <c r="D362" s="3" t="inlineStr">
        <is>
          <t>대</t>
        </is>
      </c>
      <c r="E362" s="3" t="inlineStr">
        <is>
          <t>매매</t>
        </is>
      </c>
      <c r="F362" s="4" t="n">
        <v>335000</v>
      </c>
      <c r="G362" s="4" t="n">
        <v>1574</v>
      </c>
      <c r="H362" s="4" t="n">
        <v>476</v>
      </c>
      <c r="I362" s="5" t="n">
        <v>703.8</v>
      </c>
      <c r="J362" s="4" t="n">
        <v>260</v>
      </c>
      <c r="K362" s="3" t="inlineStr">
        <is>
          <t>총3필지매매,대지와 답,전원주택포함매매</t>
        </is>
      </c>
      <c r="L362" s="6">
        <f>HYPERLINK("https://fin.land.naver.com/articles/2649696367", "매물Link")</f>
        <v/>
      </c>
      <c r="M362" s="6">
        <f>HYPERLINK("https://map.naver.com/p/search/세종특별자치시 금남면 발산리 88", "지도Link")</f>
        <v/>
      </c>
      <c r="N362" s="6">
        <f>HYPERLINK("http://www.eum.go.kr/web/ar/lu/luLandDet.jsp?pnu=3611034022100880000&amp;isNoScr=script&amp;mode=search", "토지이음")</f>
        <v/>
      </c>
      <c r="O362" s="3" t="inlineStr">
        <is>
          <t>담뜰</t>
        </is>
      </c>
      <c r="P362" s="3" t="n">
        <v>2</v>
      </c>
      <c r="Q362" s="3" t="n">
        <v>320</v>
      </c>
      <c r="R362" s="3" t="inlineStr">
        <is>
          <t>지정되지않음</t>
        </is>
      </c>
      <c r="S362" s="3" t="inlineStr">
        <is>
          <t>단독</t>
        </is>
      </c>
      <c r="T362" s="3" t="inlineStr">
        <is>
          <t>평지</t>
        </is>
      </c>
      <c r="U362" s="3" t="inlineStr">
        <is>
          <t>사다리형</t>
        </is>
      </c>
      <c r="V362" s="3" t="inlineStr">
        <is>
          <t>세로한면(가)</t>
        </is>
      </c>
    </row>
    <row r="363">
      <c r="A363" s="3" t="inlineStr">
        <is>
          <t>세종특별자치시 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HYPERLINK("https://map.naver.com/p/search/세종특별자치시 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세종특별자치시 금남면 발산리 88-1</t>
        </is>
      </c>
      <c r="B364" s="3" t="inlineStr">
        <is>
          <t>제1종일반주거지역</t>
        </is>
      </c>
      <c r="C364" s="3" t="inlineStr">
        <is>
          <t>답</t>
        </is>
      </c>
      <c r="D364" s="3" t="inlineStr">
        <is>
          <t>답</t>
        </is>
      </c>
      <c r="E364" s="3" t="inlineStr">
        <is>
          <t>매매</t>
        </is>
      </c>
      <c r="F364" s="4" t="n">
        <v>335000</v>
      </c>
      <c r="G364" s="4" t="n">
        <v>1574</v>
      </c>
      <c r="H364" s="4" t="n">
        <v>476</v>
      </c>
      <c r="I364" s="5" t="n">
        <v>703.8</v>
      </c>
      <c r="J364" s="4" t="n">
        <v>195.9</v>
      </c>
      <c r="K364" s="3" t="inlineStr">
        <is>
          <t>도시1종주거지로 음식점, 사무실, 다가구 등</t>
        </is>
      </c>
      <c r="L364" s="6">
        <f>HYPERLINK("https://fin.land.naver.com/articles/2649292644", "매물Link")</f>
        <v/>
      </c>
      <c r="M364" s="6">
        <f>HYPERLINK("https://map.naver.com/p/search/세종특별자치시 금남면 발산리 88-1", "지도Link")</f>
        <v/>
      </c>
      <c r="N364" s="6">
        <f>HYPERLINK("http://www.eum.go.kr/web/ar/lu/luLandDet.jsp?pnu=3611034022100880001&amp;isNoScr=script&amp;mode=search", "토지이음")</f>
        <v/>
      </c>
      <c r="O364" s="3" t="inlineStr">
        <is>
          <t>세종나라</t>
        </is>
      </c>
      <c r="P364" s="3" t="n">
        <v>1</v>
      </c>
      <c r="Q364" s="3" t="n">
        <v>754</v>
      </c>
      <c r="R364" s="3" t="inlineStr">
        <is>
          <t>지정되지않음</t>
        </is>
      </c>
      <c r="S364" s="3" t="inlineStr">
        <is>
          <t>전</t>
        </is>
      </c>
      <c r="T364" s="3" t="inlineStr">
        <is>
          <t>평지</t>
        </is>
      </c>
      <c r="U364" s="3" t="inlineStr">
        <is>
          <t>부정형</t>
        </is>
      </c>
      <c r="V364" s="3" t="inlineStr">
        <is>
          <t>세로한면(가)</t>
        </is>
      </c>
    </row>
    <row r="365">
      <c r="A365" s="3" t="inlineStr">
        <is>
          <t>세종특별자치시 금남면 발산리 88-2</t>
        </is>
      </c>
      <c r="B365" s="3" t="inlineStr">
        <is>
          <t>제1종일반주거지역</t>
        </is>
      </c>
      <c r="C365" s="3" t="inlineStr">
        <is>
          <t>답</t>
        </is>
      </c>
      <c r="D365" s="3" t="inlineStr">
        <is>
          <t>답</t>
        </is>
      </c>
      <c r="E365" s="3" t="inlineStr">
        <is>
          <t>매매</t>
        </is>
      </c>
      <c r="F365" s="4" t="n">
        <v>105700</v>
      </c>
      <c r="G365" s="4" t="n">
        <v>500</v>
      </c>
      <c r="H365" s="4" t="n">
        <v>151</v>
      </c>
      <c r="I365" s="5" t="n">
        <v>700</v>
      </c>
      <c r="J365" s="4" t="n">
        <v>203.7</v>
      </c>
      <c r="K365" s="3" t="inlineStr">
        <is>
          <t>다가구, 음식점, 카페 등 건축이 자유로운 도시지역, 제1종일반주거지역</t>
        </is>
      </c>
      <c r="L365" s="6">
        <f>HYPERLINK("https://fin.land.naver.com/articles/2649569731", "매물Link")</f>
        <v/>
      </c>
      <c r="M365" s="6">
        <f>HYPERLINK("https://map.naver.com/p/search/세종특별자치시 금남면 발산리 88-2", "지도Link")</f>
        <v/>
      </c>
      <c r="N365" s="6">
        <f>HYPERLINK("http://www.eum.go.kr/web/ar/lu/luLandDet.jsp?pnu=3611034022100880002&amp;isNoScr=script&amp;mode=search", "토지이음")</f>
        <v/>
      </c>
      <c r="O365" s="3" t="inlineStr">
        <is>
          <t>스마일세종</t>
        </is>
      </c>
      <c r="P365" s="3" t="n">
        <v>1</v>
      </c>
      <c r="Q365" s="3" t="n">
        <v>500</v>
      </c>
      <c r="R365" s="3" t="inlineStr">
        <is>
          <t>지정되지않음</t>
        </is>
      </c>
      <c r="S365" s="3" t="inlineStr">
        <is>
          <t>전</t>
        </is>
      </c>
      <c r="T365" s="3" t="inlineStr">
        <is>
          <t>평지</t>
        </is>
      </c>
      <c r="U365" s="3" t="inlineStr">
        <is>
          <t>부정형</t>
        </is>
      </c>
      <c r="V365" s="3" t="inlineStr">
        <is>
          <t>세로각지(가)</t>
        </is>
      </c>
    </row>
    <row r="366">
      <c r="A366" s="3" t="inlineStr">
        <is>
          <t>세종특별자치시 금남면 봉암리 161-4</t>
        </is>
      </c>
      <c r="B366" s="3" t="inlineStr">
        <is>
          <t>계획관리지역</t>
        </is>
      </c>
      <c r="C366" s="3" t="inlineStr">
        <is>
          <t>대</t>
        </is>
      </c>
      <c r="D366" s="3" t="inlineStr">
        <is>
          <t>대</t>
        </is>
      </c>
      <c r="E366" s="3" t="inlineStr">
        <is>
          <t>매매</t>
        </is>
      </c>
      <c r="F366" s="4" t="n">
        <v>161400</v>
      </c>
      <c r="G366" s="4" t="n">
        <v>2668</v>
      </c>
      <c r="H366" s="4" t="n">
        <v>807</v>
      </c>
      <c r="I366" s="5" t="n">
        <v>200</v>
      </c>
      <c r="J366" s="4" t="n">
        <v>113.1</v>
      </c>
      <c r="K366" s="3" t="inlineStr">
        <is>
          <t>대지 및 전</t>
        </is>
      </c>
      <c r="L366" s="6">
        <f>HYPERLINK("https://fin.land.naver.com/articles/2647244777", "매물Link")</f>
        <v/>
      </c>
      <c r="M366" s="6">
        <f>HYPERLINK("https://map.naver.com/p/search/세종특별자치시 금남면 봉암리 161-4", "지도Link")</f>
        <v/>
      </c>
      <c r="N366" s="6">
        <f>HYPERLINK("http://www.eum.go.kr/web/ar/lu/luLandDet.jsp?pnu=3611034043101610004&amp;isNoScr=script&amp;mode=search", "토지이음")</f>
        <v/>
      </c>
      <c r="O366" s="3" t="inlineStr">
        <is>
          <t>정직한한국</t>
        </is>
      </c>
      <c r="P366" s="3" t="n">
        <v>1</v>
      </c>
      <c r="Q366" s="3" t="n">
        <v>500</v>
      </c>
      <c r="R366" s="3" t="inlineStr">
        <is>
          <t>지정되지않음</t>
        </is>
      </c>
      <c r="S366" s="3" t="inlineStr">
        <is>
          <t>단독</t>
        </is>
      </c>
      <c r="T366" s="3" t="inlineStr">
        <is>
          <t>완경사</t>
        </is>
      </c>
      <c r="U366" s="3" t="inlineStr">
        <is>
          <t>부정형</t>
        </is>
      </c>
      <c r="V366" s="3" t="inlineStr">
        <is>
          <t>세로한면(불)</t>
        </is>
      </c>
    </row>
    <row r="367">
      <c r="A367" s="3" t="inlineStr">
        <is>
          <t>세종특별자치시 금남면 봉암리 28</t>
        </is>
      </c>
      <c r="B367" s="3" t="inlineStr">
        <is>
          <t>개발제한구역</t>
        </is>
      </c>
      <c r="C367" s="3" t="inlineStr">
        <is>
          <t>답</t>
        </is>
      </c>
      <c r="D367" s="3" t="inlineStr">
        <is>
          <t>답</t>
        </is>
      </c>
      <c r="E367" s="3" t="inlineStr">
        <is>
          <t>매매</t>
        </is>
      </c>
      <c r="F367" s="4" t="n">
        <v>15000</v>
      </c>
      <c r="G367" s="4" t="n">
        <v>992</v>
      </c>
      <c r="H367" s="4" t="n">
        <v>300</v>
      </c>
      <c r="I367" s="5" t="n">
        <v>50</v>
      </c>
      <c r="J367" s="4" t="n">
        <v>25.7</v>
      </c>
      <c r="K367" s="3" t="inlineStr">
        <is>
          <t>대전 세종 중간 입지 접근성 양호</t>
        </is>
      </c>
      <c r="L367" s="6">
        <f>HYPERLINK("https://fin.land.naver.com/articles/2644203030", "매물Link")</f>
        <v/>
      </c>
      <c r="M367" s="6">
        <f>HYPERLINK("https://map.naver.com/p/search/세종특별자치시 금남면 봉암리 28", "지도Link")</f>
        <v/>
      </c>
      <c r="N367" s="6">
        <f>HYPERLINK("http://www.eum.go.kr/web/ar/lu/luLandDet.jsp?pnu=3611034043100280000&amp;isNoScr=script&amp;mode=search", "토지이음")</f>
        <v/>
      </c>
      <c r="O367" s="3" t="inlineStr">
        <is>
          <t>반석원무소</t>
        </is>
      </c>
      <c r="P367" s="3" t="n">
        <v>1</v>
      </c>
      <c r="Q367" s="3" t="n">
        <v>992</v>
      </c>
      <c r="R367" s="3" t="inlineStr">
        <is>
          <t>지정되지않음</t>
        </is>
      </c>
      <c r="S367" s="3" t="inlineStr">
        <is>
          <t>답</t>
        </is>
      </c>
      <c r="T367" s="3" t="inlineStr">
        <is>
          <t>완경사</t>
        </is>
      </c>
      <c r="U367" s="3" t="inlineStr">
        <is>
          <t>부정형</t>
        </is>
      </c>
      <c r="V367" s="3" t="inlineStr">
        <is>
          <t>맹지</t>
        </is>
      </c>
    </row>
    <row r="368">
      <c r="A368" s="3" t="inlineStr">
        <is>
          <t>세종특별자치시 금남면 부용리 100</t>
        </is>
      </c>
      <c r="B368" s="3" t="inlineStr">
        <is>
          <t>계획관리지역</t>
        </is>
      </c>
      <c r="C368" s="3" t="inlineStr">
        <is>
          <t>대</t>
        </is>
      </c>
      <c r="D368" s="3" t="inlineStr">
        <is>
          <t>대</t>
        </is>
      </c>
      <c r="E368" s="3" t="inlineStr">
        <is>
          <t>매매</t>
        </is>
      </c>
      <c r="F368" s="4" t="n">
        <v>110000</v>
      </c>
      <c r="G368" s="4" t="n">
        <v>904</v>
      </c>
      <c r="H368" s="4" t="n">
        <v>273</v>
      </c>
      <c r="I368" s="5" t="n">
        <v>402.9</v>
      </c>
      <c r="J368" s="4" t="n">
        <v>239.2</v>
      </c>
      <c r="K368" s="3" t="inlineStr">
        <is>
          <t>지목대 계획관리 코너 가시성굿 접근성양호 귀한나대지</t>
        </is>
      </c>
      <c r="L368" s="6">
        <f>HYPERLINK("https://fin.land.naver.com/articles/2648459486", "매물Link")</f>
        <v/>
      </c>
      <c r="M368" s="6">
        <f>HYPERLINK("https://map.naver.com/p/search/세종특별자치시 금남면 부용리 100", "지도Link")</f>
        <v/>
      </c>
      <c r="N368" s="6">
        <f>HYPERLINK("http://www.eum.go.kr/web/ar/lu/luLandDet.jsp?pnu=3611034035101000000&amp;isNoScr=script&amp;mode=search", "토지이음")</f>
        <v/>
      </c>
      <c r="O368" s="3" t="inlineStr">
        <is>
          <t>열린</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세종특별자치시 금남면 부용리 100</t>
        </is>
      </c>
      <c r="B369" s="3" t="inlineStr">
        <is>
          <t>계획관리지역</t>
        </is>
      </c>
      <c r="C369" s="3" t="inlineStr">
        <is>
          <t>대</t>
        </is>
      </c>
      <c r="D369" s="3" t="inlineStr">
        <is>
          <t>대</t>
        </is>
      </c>
      <c r="E369" s="3" t="inlineStr">
        <is>
          <t>매매</t>
        </is>
      </c>
      <c r="F369" s="4" t="n">
        <v>98000</v>
      </c>
      <c r="G369" s="4" t="n">
        <v>904</v>
      </c>
      <c r="H369" s="4" t="n">
        <v>273</v>
      </c>
      <c r="I369" s="5" t="n">
        <v>359</v>
      </c>
      <c r="J369" s="4" t="n">
        <v>239.2</v>
      </c>
      <c r="K369" s="3" t="inlineStr">
        <is>
          <t>조율최대 계획관리지역 전원주택 카페등 청주 오송 근거리 매매가</t>
        </is>
      </c>
      <c r="L369" s="6">
        <f>HYPERLINK("https://fin.land.naver.com/articles/2645462989", "매물Link")</f>
        <v/>
      </c>
      <c r="M369" s="6">
        <f>HYPERLINK("https://map.naver.com/p/search/세종특별자치시 금남면 부용리 100", "지도Link")</f>
        <v/>
      </c>
      <c r="N369" s="6">
        <f>HYPERLINK("http://www.eum.go.kr/web/ar/lu/luLandDet.jsp?pnu=3611034035101000000&amp;isNoScr=script&amp;mode=search", "토지이음")</f>
        <v/>
      </c>
      <c r="O369" s="3" t="inlineStr">
        <is>
          <t>홍기표</t>
        </is>
      </c>
      <c r="P369" s="3" t="n">
        <v>1</v>
      </c>
      <c r="Q369" s="3" t="n">
        <v>904</v>
      </c>
      <c r="R369" s="3" t="inlineStr">
        <is>
          <t>지정되지않음</t>
        </is>
      </c>
      <c r="S369" s="3" t="inlineStr">
        <is>
          <t>주거나지</t>
        </is>
      </c>
      <c r="T369" s="3" t="inlineStr">
        <is>
          <t>평지</t>
        </is>
      </c>
      <c r="U369" s="3" t="inlineStr">
        <is>
          <t>부정형</t>
        </is>
      </c>
      <c r="V369" s="3" t="inlineStr">
        <is>
          <t>세로한면(가)</t>
        </is>
      </c>
    </row>
    <row r="370">
      <c r="A370" s="3" t="inlineStr">
        <is>
          <t>세종특별자치시 금남면 부용리 267-1</t>
        </is>
      </c>
      <c r="B370" s="3" t="inlineStr">
        <is>
          <t>생산관리지역</t>
        </is>
      </c>
      <c r="C370" s="3" t="inlineStr">
        <is>
          <t>답</t>
        </is>
      </c>
      <c r="D370" s="3" t="inlineStr">
        <is>
          <t>답</t>
        </is>
      </c>
      <c r="E370" s="3" t="inlineStr">
        <is>
          <t>월세</t>
        </is>
      </c>
      <c r="F370" s="4" t="n">
        <v>500</v>
      </c>
      <c r="G370" s="4" t="n">
        <v>1964</v>
      </c>
      <c r="H370" s="4" t="n">
        <v>594</v>
      </c>
      <c r="I370" s="5" t="n">
        <v>0.1</v>
      </c>
      <c r="J370" s="4" t="n">
        <v>148</v>
      </c>
      <c r="K370" s="3" t="inlineStr">
        <is>
          <t>nan</t>
        </is>
      </c>
      <c r="L370" s="6">
        <f>HYPERLINK("https://fin.land.naver.com/articles/2645489518", "매물Link")</f>
        <v/>
      </c>
      <c r="M370" s="6">
        <f>HYPERLINK("https://map.naver.com/p/search/세종특별자치시 금남면 부용리 267-1", "지도Link")</f>
        <v/>
      </c>
      <c r="N370" s="6">
        <f>HYPERLINK("http://www.eum.go.kr/web/ar/lu/luLandDet.jsp?pnu=3611034035102670001&amp;isNoScr=script&amp;mode=search", "토지이음")</f>
        <v/>
      </c>
      <c r="O370" s="3" t="inlineStr">
        <is>
          <t>안중행복드림</t>
        </is>
      </c>
      <c r="P370" s="3" t="n">
        <v>1</v>
      </c>
      <c r="Q370" s="3" t="n">
        <v>1554</v>
      </c>
      <c r="R370" s="3" t="inlineStr">
        <is>
          <t>지정되지않음</t>
        </is>
      </c>
      <c r="S370" s="3" t="inlineStr">
        <is>
          <t>답창고</t>
        </is>
      </c>
      <c r="T370" s="3" t="inlineStr">
        <is>
          <t>평지</t>
        </is>
      </c>
      <c r="U370" s="3" t="inlineStr">
        <is>
          <t>사다리형</t>
        </is>
      </c>
      <c r="V370" s="3" t="inlineStr">
        <is>
          <t>세로한면(가)</t>
        </is>
      </c>
    </row>
    <row r="371">
      <c r="A371" s="3" t="inlineStr">
        <is>
          <t>세종특별자치시 금남면 부용리 278-3</t>
        </is>
      </c>
      <c r="B371" s="3" t="inlineStr">
        <is>
          <t>계획관리지역</t>
        </is>
      </c>
      <c r="C371" s="3" t="inlineStr">
        <is>
          <t>대</t>
        </is>
      </c>
      <c r="D371" s="3" t="inlineStr">
        <is>
          <t>대</t>
        </is>
      </c>
      <c r="E371" s="3" t="inlineStr">
        <is>
          <t>매매</t>
        </is>
      </c>
      <c r="F371" s="4" t="n">
        <v>105000</v>
      </c>
      <c r="G371" s="4" t="n">
        <v>723</v>
      </c>
      <c r="H371" s="4" t="n">
        <v>219</v>
      </c>
      <c r="I371" s="5" t="n">
        <v>479.5</v>
      </c>
      <c r="J371" s="4" t="n">
        <v>243.5</v>
      </c>
      <c r="K371" s="3" t="inlineStr">
        <is>
          <t>4생활권 접근성  최상의 위치, 대지, 계획관리지역, 현재사무실사용중</t>
        </is>
      </c>
      <c r="L371" s="6">
        <f>HYPERLINK("https://fin.land.naver.com/articles/2645861454", "매물Link")</f>
        <v/>
      </c>
      <c r="M371" s="6">
        <f>HYPERLINK("https://map.naver.com/p/search/세종특별자치시 금남면 부용리 278-3", "지도Link")</f>
        <v/>
      </c>
      <c r="N371" s="6">
        <f>HYPERLINK("http://www.eum.go.kr/web/ar/lu/luLandDet.jsp?pnu=3611034035102780003&amp;isNoScr=script&amp;mode=search", "토지이음")</f>
        <v/>
      </c>
      <c r="O371" s="3" t="inlineStr">
        <is>
          <t>이담</t>
        </is>
      </c>
      <c r="P371" s="3" t="n">
        <v>1</v>
      </c>
      <c r="Q371" s="3" t="n">
        <v>723</v>
      </c>
      <c r="R371" s="3" t="inlineStr">
        <is>
          <t>지정되지않음</t>
        </is>
      </c>
      <c r="S371" s="3" t="inlineStr">
        <is>
          <t>주거기타</t>
        </is>
      </c>
      <c r="T371" s="3" t="inlineStr">
        <is>
          <t>완경사</t>
        </is>
      </c>
      <c r="U371" s="3" t="inlineStr">
        <is>
          <t>사다리형</t>
        </is>
      </c>
      <c r="V371" s="3" t="inlineStr">
        <is>
          <t>세로한면(가)</t>
        </is>
      </c>
    </row>
    <row r="372">
      <c r="A372" s="3" t="inlineStr">
        <is>
          <t>세종특별자치시 금남면 부용리 302-3</t>
        </is>
      </c>
      <c r="B372" s="3" t="inlineStr">
        <is>
          <t>개발제한구역</t>
        </is>
      </c>
      <c r="C372" s="3" t="inlineStr">
        <is>
          <t>답</t>
        </is>
      </c>
      <c r="D372" s="3" t="inlineStr">
        <is>
          <t>답</t>
        </is>
      </c>
      <c r="E372" s="3" t="inlineStr">
        <is>
          <t>매매</t>
        </is>
      </c>
      <c r="F372" s="4" t="n">
        <v>45000</v>
      </c>
      <c r="G372" s="4" t="n">
        <v>1410</v>
      </c>
      <c r="H372" s="4" t="n">
        <v>427</v>
      </c>
      <c r="I372" s="5" t="n">
        <v>105.4</v>
      </c>
      <c r="J372" s="4" t="n">
        <v>41.9</v>
      </c>
      <c r="K372" s="3" t="inlineStr">
        <is>
          <t>공동 캠퍼스 인근 토지. 강변 근처 토지</t>
        </is>
      </c>
      <c r="L372" s="6">
        <f>HYPERLINK("https://fin.land.naver.com/articles/2645326398", "매물Link")</f>
        <v/>
      </c>
      <c r="M372" s="6">
        <f>HYPERLINK("https://map.naver.com/p/search/세종특별자치시 금남면 부용리 302-3", "지도Link")</f>
        <v/>
      </c>
      <c r="N372" s="6">
        <f>HYPERLINK("http://www.eum.go.kr/web/ar/lu/luLandDet.jsp?pnu=3611034035103020003&amp;isNoScr=script&amp;mode=search", "토지이음")</f>
        <v/>
      </c>
      <c r="O372" s="3" t="inlineStr">
        <is>
          <t>이레</t>
        </is>
      </c>
      <c r="P372" s="3" t="n">
        <v>1</v>
      </c>
      <c r="Q372" s="3" t="n">
        <v>668</v>
      </c>
      <c r="R372" s="3" t="inlineStr">
        <is>
          <t>지정되지않음</t>
        </is>
      </c>
      <c r="S372" s="3" t="inlineStr">
        <is>
          <t>답</t>
        </is>
      </c>
      <c r="T372" s="3" t="inlineStr">
        <is>
          <t>평지</t>
        </is>
      </c>
      <c r="U372" s="3" t="inlineStr">
        <is>
          <t>부정형</t>
        </is>
      </c>
      <c r="V372" s="3" t="inlineStr">
        <is>
          <t>세로한면(가)</t>
        </is>
      </c>
    </row>
    <row r="373">
      <c r="A373" s="3" t="inlineStr">
        <is>
          <t>세종특별자치시 금남면 부용리 353</t>
        </is>
      </c>
      <c r="B373" s="3" t="inlineStr">
        <is>
          <t>개발제한구역</t>
        </is>
      </c>
      <c r="C373" s="3" t="inlineStr">
        <is>
          <t>전</t>
        </is>
      </c>
      <c r="D373" s="3" t="inlineStr">
        <is>
          <t>전</t>
        </is>
      </c>
      <c r="E373" s="3" t="inlineStr">
        <is>
          <t>매매</t>
        </is>
      </c>
      <c r="F373" s="4" t="n">
        <v>19200</v>
      </c>
      <c r="G373" s="4" t="n">
        <v>635</v>
      </c>
      <c r="H373" s="4" t="n">
        <v>192</v>
      </c>
      <c r="I373" s="5" t="n">
        <v>100</v>
      </c>
      <c r="J373" s="4" t="n">
        <v>30.7</v>
      </c>
      <c r="K373" s="3" t="inlineStr">
        <is>
          <t>저렴한 토지,투자로 추천,4미터 도로접</t>
        </is>
      </c>
      <c r="L373" s="6">
        <f>HYPERLINK("https://fin.land.naver.com/articles/2648921519", "매물Link")</f>
        <v/>
      </c>
      <c r="M373" s="6">
        <f>HYPERLINK("https://map.naver.com/p/search/세종특별자치시 금남면 부용리 353", "지도Link")</f>
        <v/>
      </c>
      <c r="N373" s="6">
        <f>HYPERLINK("http://www.eum.go.kr/web/ar/lu/luLandDet.jsp?pnu=3611034035103530000&amp;isNoScr=script&amp;mode=search", "토지이음")</f>
        <v/>
      </c>
      <c r="O373" s="3" t="inlineStr">
        <is>
          <t>담뜰</t>
        </is>
      </c>
      <c r="P373" s="3" t="n">
        <v>1</v>
      </c>
      <c r="Q373" s="3" t="n">
        <v>635</v>
      </c>
      <c r="R373" s="3" t="inlineStr">
        <is>
          <t>지정되지않음</t>
        </is>
      </c>
      <c r="S373" s="3" t="inlineStr">
        <is>
          <t>전</t>
        </is>
      </c>
      <c r="T373" s="3" t="inlineStr">
        <is>
          <t>완경사</t>
        </is>
      </c>
      <c r="U373" s="3" t="inlineStr">
        <is>
          <t>부정형</t>
        </is>
      </c>
      <c r="V373" s="3" t="inlineStr">
        <is>
          <t>세로한면(불)</t>
        </is>
      </c>
    </row>
    <row r="374">
      <c r="A374" s="3" t="inlineStr">
        <is>
          <t>세종특별자치시 금남면 부용리 422</t>
        </is>
      </c>
      <c r="B374" s="3" t="inlineStr">
        <is>
          <t>생산관리지역</t>
        </is>
      </c>
      <c r="C374" s="3" t="inlineStr">
        <is>
          <t>답</t>
        </is>
      </c>
      <c r="D374" s="3" t="inlineStr">
        <is>
          <t>답</t>
        </is>
      </c>
      <c r="E374" s="3" t="inlineStr">
        <is>
          <t>매매</t>
        </is>
      </c>
      <c r="F374" s="4" t="n">
        <v>335000</v>
      </c>
      <c r="G374" s="4" t="n">
        <v>4432</v>
      </c>
      <c r="H374" s="4" t="n">
        <v>1341</v>
      </c>
      <c r="I374" s="5" t="n">
        <v>249.8</v>
      </c>
      <c r="J374" s="4" t="n">
        <v>95.2</v>
      </c>
      <c r="K374" s="3" t="inlineStr">
        <is>
          <t>4개필지, 도로에 접함</t>
        </is>
      </c>
      <c r="L374" s="6">
        <f>HYPERLINK("https://fin.land.naver.com/articles/2647676436", "매물Link")</f>
        <v/>
      </c>
      <c r="M374" s="6">
        <f>HYPERLINK("https://map.naver.com/p/search/세종특별자치시 금남면 부용리 422", "지도Link")</f>
        <v/>
      </c>
      <c r="N374" s="6">
        <f>HYPERLINK("http://www.eum.go.kr/web/ar/lu/luLandDet.jsp?pnu=3611034035104220000&amp;isNoScr=script&amp;mode=search", "토지이음")</f>
        <v/>
      </c>
      <c r="O374" s="3" t="inlineStr">
        <is>
          <t>황제</t>
        </is>
      </c>
      <c r="P374" s="3" t="n">
        <v>1</v>
      </c>
      <c r="Q374" s="3" t="n">
        <v>3679</v>
      </c>
      <c r="R374" s="3" t="inlineStr">
        <is>
          <t>지정되지않음</t>
        </is>
      </c>
      <c r="S374" s="3" t="inlineStr">
        <is>
          <t>답</t>
        </is>
      </c>
      <c r="T374" s="3" t="inlineStr">
        <is>
          <t>완경사</t>
        </is>
      </c>
      <c r="U374" s="3" t="inlineStr">
        <is>
          <t>부정형</t>
        </is>
      </c>
      <c r="V374" s="3" t="inlineStr">
        <is>
          <t>맹지</t>
        </is>
      </c>
    </row>
    <row r="375">
      <c r="A375" s="3" t="inlineStr">
        <is>
          <t>세종특별자치시 금남면 부용리 427-6</t>
        </is>
      </c>
      <c r="B375" s="3" t="inlineStr">
        <is>
          <t>보전관리지역</t>
        </is>
      </c>
      <c r="C375" s="3" t="inlineStr">
        <is>
          <t>대</t>
        </is>
      </c>
      <c r="D375" s="3" t="inlineStr">
        <is>
          <t>대</t>
        </is>
      </c>
      <c r="E375" s="3" t="inlineStr">
        <is>
          <t>매매</t>
        </is>
      </c>
      <c r="F375" s="4" t="n">
        <v>100000</v>
      </c>
      <c r="G375" s="4" t="n">
        <v>830</v>
      </c>
      <c r="H375" s="4" t="n">
        <v>251</v>
      </c>
      <c r="I375" s="5" t="n">
        <v>398.4</v>
      </c>
      <c r="J375" s="4" t="n">
        <v>213.2</v>
      </c>
      <c r="K375" s="3" t="inlineStr">
        <is>
          <t>대학교부지 초인접한 2차선 도로가 토지</t>
        </is>
      </c>
      <c r="L375" s="6">
        <f>HYPERLINK("https://fin.land.naver.com/articles/2649461503", "매물Link")</f>
        <v/>
      </c>
      <c r="M375" s="6">
        <f>HYPERLINK("https://map.naver.com/p/search/세종특별자치시 금남면 부용리 427-6", "지도Link")</f>
        <v/>
      </c>
      <c r="N375" s="6">
        <f>HYPERLINK("http://www.eum.go.kr/web/ar/lu/luLandDet.jsp?pnu=3611034035104270006&amp;isNoScr=script&amp;mode=search", "토지이음")</f>
        <v/>
      </c>
      <c r="O375" s="3" t="inlineStr">
        <is>
          <t>이레</t>
        </is>
      </c>
      <c r="P375" s="3" t="n">
        <v>1</v>
      </c>
      <c r="Q375" s="3" t="n">
        <v>830</v>
      </c>
      <c r="R375" s="3" t="inlineStr">
        <is>
          <t>지정되지않음</t>
        </is>
      </c>
      <c r="S375" s="3" t="inlineStr">
        <is>
          <t>주거기타</t>
        </is>
      </c>
      <c r="T375" s="3" t="inlineStr">
        <is>
          <t>평지</t>
        </is>
      </c>
      <c r="U375" s="3" t="inlineStr">
        <is>
          <t>사다리형</t>
        </is>
      </c>
      <c r="V375" s="3" t="inlineStr">
        <is>
          <t>소로한면</t>
        </is>
      </c>
    </row>
    <row r="376">
      <c r="A376" s="3" t="inlineStr">
        <is>
          <t>세종특별자치시 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금강 조망 최적의 위치</t>
        </is>
      </c>
      <c r="L376" s="6">
        <f>HYPERLINK("https://fin.land.naver.com/articles/2650136816", "매물Link")</f>
        <v/>
      </c>
      <c r="M376" s="6">
        <f>HYPERLINK("https://map.naver.com/p/search/세종특별자치시 금남면 부용리 45", "지도Link")</f>
        <v/>
      </c>
      <c r="N376" s="6">
        <f>HYPERLINK("http://www.eum.go.kr/web/ar/lu/luLandDet.jsp?pnu=3611034035100450000&amp;isNoScr=script&amp;mode=search", "토지이음")</f>
        <v/>
      </c>
      <c r="O376" s="3" t="inlineStr">
        <is>
          <t>정민</t>
        </is>
      </c>
      <c r="P376" s="3" t="n">
        <v>2</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세종특별자치시 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Point 수변 카페, 전원주택, 가든 등 신축 가능, 도로접 접근성좋음</t>
        </is>
      </c>
      <c r="L377" s="6">
        <f>HYPERLINK("https://fin.land.naver.com/articles/2647899944", "매물Link")</f>
        <v/>
      </c>
      <c r="M377" s="6">
        <f>HYPERLINK("https://map.naver.com/p/search/세종특별자치시 금남면 부용리 45", "지도Link")</f>
        <v/>
      </c>
      <c r="N377" s="6">
        <f>HYPERLINK("http://www.eum.go.kr/web/ar/lu/luLandDet.jsp?pnu=3611034035100450000&amp;isNoScr=script&amp;mode=search", "토지이음")</f>
        <v/>
      </c>
      <c r="O377" s="3" t="inlineStr">
        <is>
          <t>도마호반</t>
        </is>
      </c>
      <c r="P377" s="3" t="n">
        <v>3</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세종특별자치시 금남면 부용리 45</t>
        </is>
      </c>
      <c r="B378" s="3" t="inlineStr">
        <is>
          <t>생산관리지역</t>
        </is>
      </c>
      <c r="C378" s="3" t="inlineStr">
        <is>
          <t>전</t>
        </is>
      </c>
      <c r="D378" s="3" t="inlineStr">
        <is>
          <t>전</t>
        </is>
      </c>
      <c r="E378" s="3" t="inlineStr">
        <is>
          <t>매매</t>
        </is>
      </c>
      <c r="F378" s="4" t="n">
        <v>115000</v>
      </c>
      <c r="G378" s="4" t="n">
        <v>1218</v>
      </c>
      <c r="H378" s="4" t="n">
        <v>368</v>
      </c>
      <c r="I378" s="5" t="n">
        <v>312.5</v>
      </c>
      <c r="J378" s="4" t="n">
        <v>110</v>
      </c>
      <c r="K378" s="3" t="inlineStr">
        <is>
          <t>경치 좋은 토지</t>
        </is>
      </c>
      <c r="L378" s="6">
        <f>HYPERLINK("https://fin.land.naver.com/articles/2649730403", "매물Link")</f>
        <v/>
      </c>
      <c r="M378" s="6">
        <f>HYPERLINK("https://map.naver.com/p/search/세종특별자치시 금남면 부용리 45", "지도Link")</f>
        <v/>
      </c>
      <c r="N378" s="6">
        <f>HYPERLINK("http://www.eum.go.kr/web/ar/lu/luLandDet.jsp?pnu=3611034035100450000&amp;isNoScr=script&amp;mode=search", "토지이음")</f>
        <v/>
      </c>
      <c r="O378" s="3" t="inlineStr">
        <is>
          <t>세종몽땅</t>
        </is>
      </c>
      <c r="P378" s="3" t="n">
        <v>1</v>
      </c>
      <c r="Q378" s="3" t="n">
        <v>1218</v>
      </c>
      <c r="R378" s="3" t="inlineStr">
        <is>
          <t>지정되지않음</t>
        </is>
      </c>
      <c r="S378" s="3" t="inlineStr">
        <is>
          <t>전</t>
        </is>
      </c>
      <c r="T378" s="3" t="inlineStr">
        <is>
          <t>평지</t>
        </is>
      </c>
      <c r="U378" s="3" t="inlineStr">
        <is>
          <t>부정형</t>
        </is>
      </c>
      <c r="V378" s="3" t="inlineStr">
        <is>
          <t>세로한면(불)</t>
        </is>
      </c>
    </row>
    <row r="379">
      <c r="A379" s="3" t="inlineStr">
        <is>
          <t>세종특별자치시 금남면 부용리 497-1</t>
        </is>
      </c>
      <c r="B379" s="3" t="inlineStr">
        <is>
          <t>생산관리지역</t>
        </is>
      </c>
      <c r="C379" s="3" t="inlineStr">
        <is>
          <t>답</t>
        </is>
      </c>
      <c r="D379" s="3" t="inlineStr">
        <is>
          <t>답</t>
        </is>
      </c>
      <c r="E379" s="3" t="inlineStr">
        <is>
          <t>매매</t>
        </is>
      </c>
      <c r="F379" s="4" t="n">
        <v>19000</v>
      </c>
      <c r="G379" s="4" t="n">
        <v>647</v>
      </c>
      <c r="H379" s="4" t="n">
        <v>196</v>
      </c>
      <c r="I379" s="5" t="n">
        <v>96.90000000000001</v>
      </c>
      <c r="J379" s="4" t="n">
        <v>91.59999999999999</v>
      </c>
      <c r="K379" s="3" t="inlineStr">
        <is>
          <t>조망좋은 부용리 소형토지매매</t>
        </is>
      </c>
      <c r="L379" s="6">
        <f>HYPERLINK("https://fin.land.naver.com/articles/2648546163", "매물Link")</f>
        <v/>
      </c>
      <c r="M379" s="6">
        <f>HYPERLINK("https://map.naver.com/p/search/세종특별자치시 금남면 부용리 497-1", "지도Link")</f>
        <v/>
      </c>
      <c r="N379" s="6">
        <f>HYPERLINK("http://www.eum.go.kr/web/ar/lu/luLandDet.jsp?pnu=3611034035104970001&amp;isNoScr=script&amp;mode=search", "토지이음")</f>
        <v/>
      </c>
      <c r="O379" s="3" t="inlineStr">
        <is>
          <t>에이스</t>
        </is>
      </c>
      <c r="P379" s="3" t="n">
        <v>1</v>
      </c>
      <c r="Q379" s="3" t="n">
        <v>647</v>
      </c>
      <c r="R379" s="3" t="inlineStr">
        <is>
          <t>지정되지않음</t>
        </is>
      </c>
      <c r="S379" s="3" t="inlineStr">
        <is>
          <t>답</t>
        </is>
      </c>
      <c r="T379" s="3" t="inlineStr">
        <is>
          <t>완경사</t>
        </is>
      </c>
      <c r="U379" s="3" t="inlineStr">
        <is>
          <t>부정형</t>
        </is>
      </c>
      <c r="V379" s="3" t="inlineStr">
        <is>
          <t>맹지</t>
        </is>
      </c>
    </row>
    <row r="380">
      <c r="A380" s="3" t="inlineStr">
        <is>
          <t>세종특별자치시 금남면 부용리 507-1</t>
        </is>
      </c>
      <c r="B380" s="3" t="inlineStr">
        <is>
          <t>계획관리지역</t>
        </is>
      </c>
      <c r="C380" s="3" t="inlineStr">
        <is>
          <t>대</t>
        </is>
      </c>
      <c r="D380" s="3" t="inlineStr">
        <is>
          <t>대</t>
        </is>
      </c>
      <c r="E380" s="3" t="inlineStr">
        <is>
          <t>매매</t>
        </is>
      </c>
      <c r="F380" s="4" t="n">
        <v>40000</v>
      </c>
      <c r="G380" s="4" t="n">
        <v>372</v>
      </c>
      <c r="H380" s="4" t="n">
        <v>113</v>
      </c>
      <c r="I380" s="5" t="n">
        <v>354</v>
      </c>
      <c r="J380" s="4" t="n">
        <v>241</v>
      </c>
      <c r="K380" s="3" t="inlineStr">
        <is>
          <t>부용리 마을회관인접,교통좋은 위치,투자추천</t>
        </is>
      </c>
      <c r="L380" s="6">
        <f>HYPERLINK("https://fin.land.naver.com/articles/2645476308", "매물Link")</f>
        <v/>
      </c>
      <c r="M380" s="6">
        <f>HYPERLINK("https://map.naver.com/p/search/세종특별자치시 금남면 부용리 507-1", "지도Link")</f>
        <v/>
      </c>
      <c r="N380" s="6">
        <f>HYPERLINK("http://www.eum.go.kr/web/ar/lu/luLandDet.jsp?pnu=3611034035105070001&amp;isNoScr=script&amp;mode=search", "토지이음")</f>
        <v/>
      </c>
      <c r="O380" s="3" t="inlineStr">
        <is>
          <t>두진</t>
        </is>
      </c>
      <c r="P380" s="3" t="n">
        <v>1</v>
      </c>
      <c r="Q380" s="3" t="n">
        <v>372</v>
      </c>
      <c r="R380" s="3" t="inlineStr">
        <is>
          <t>지정되지않음</t>
        </is>
      </c>
      <c r="S380" s="3" t="inlineStr">
        <is>
          <t>단독</t>
        </is>
      </c>
      <c r="T380" s="3" t="inlineStr">
        <is>
          <t>완경사</t>
        </is>
      </c>
      <c r="U380" s="3" t="inlineStr">
        <is>
          <t>사다리형</t>
        </is>
      </c>
      <c r="V380" s="3" t="inlineStr">
        <is>
          <t>세로한면(가)</t>
        </is>
      </c>
    </row>
    <row r="381">
      <c r="A381" s="3" t="inlineStr">
        <is>
          <t>세종특별자치시 금남면 부용리 513</t>
        </is>
      </c>
      <c r="B381" s="3" t="inlineStr">
        <is>
          <t>계획관리지역</t>
        </is>
      </c>
      <c r="C381" s="3" t="inlineStr">
        <is>
          <t>대</t>
        </is>
      </c>
      <c r="D381" s="3" t="inlineStr">
        <is>
          <t>대</t>
        </is>
      </c>
      <c r="E381" s="3" t="inlineStr">
        <is>
          <t>매매</t>
        </is>
      </c>
      <c r="F381" s="4" t="n">
        <v>68000</v>
      </c>
      <c r="G381" s="4" t="n">
        <v>661</v>
      </c>
      <c r="H381" s="4" t="n">
        <v>200</v>
      </c>
      <c r="I381" s="5" t="n">
        <v>340</v>
      </c>
      <c r="J381" s="4" t="n">
        <v>238.6</v>
      </c>
      <c r="K381" s="3" t="inlineStr">
        <is>
          <t>금남면 부용리 계획관리 대지, 4생활권 및 공동캠퍼스 인근, 자연취락지구</t>
        </is>
      </c>
      <c r="L381" s="6">
        <f>HYPERLINK("https://fin.land.naver.com/articles/2647585337", "매물Link")</f>
        <v/>
      </c>
      <c r="M381" s="6">
        <f>HYPERLINK("https://map.naver.com/p/search/세종특별자치시 금남면 부용리 513", "지도Link")</f>
        <v/>
      </c>
      <c r="N381" s="6">
        <f>HYPERLINK("http://www.eum.go.kr/web/ar/lu/luLandDet.jsp?pnu=3611034035105130000&amp;isNoScr=script&amp;mode=search", "토지이음")</f>
        <v/>
      </c>
      <c r="O381" s="3" t="inlineStr">
        <is>
          <t>스카이</t>
        </is>
      </c>
      <c r="P381" s="3" t="n">
        <v>1</v>
      </c>
      <c r="Q381" s="3" t="n">
        <v>552</v>
      </c>
      <c r="R381" s="3" t="inlineStr">
        <is>
          <t>지정되지않음</t>
        </is>
      </c>
      <c r="S381" s="3" t="inlineStr">
        <is>
          <t>단독</t>
        </is>
      </c>
      <c r="T381" s="3" t="inlineStr">
        <is>
          <t>완경사</t>
        </is>
      </c>
      <c r="U381" s="3" t="inlineStr">
        <is>
          <t>사다리형</t>
        </is>
      </c>
      <c r="V381" s="3" t="inlineStr">
        <is>
          <t>세로한면(가)</t>
        </is>
      </c>
    </row>
    <row r="382">
      <c r="A382" s="3" t="inlineStr">
        <is>
          <t>세종특별자치시 금남면 부용리 518-1</t>
        </is>
      </c>
      <c r="B382" s="3" t="inlineStr">
        <is>
          <t>계획관리지역</t>
        </is>
      </c>
      <c r="C382" s="3" t="inlineStr">
        <is>
          <t>대</t>
        </is>
      </c>
      <c r="D382" s="3" t="inlineStr">
        <is>
          <t>대</t>
        </is>
      </c>
      <c r="E382" s="3" t="inlineStr">
        <is>
          <t>매매</t>
        </is>
      </c>
      <c r="F382" s="4" t="n">
        <v>87600</v>
      </c>
      <c r="G382" s="4" t="n">
        <v>1449</v>
      </c>
      <c r="H382" s="4" t="n">
        <v>438</v>
      </c>
      <c r="I382" s="5" t="n">
        <v>200</v>
      </c>
      <c r="J382" s="4" t="n">
        <v>205.1</v>
      </c>
      <c r="K382" s="3" t="inlineStr">
        <is>
          <t>연접3필지 일괄매매</t>
        </is>
      </c>
      <c r="L382" s="6">
        <f>HYPERLINK("https://fin.land.naver.com/articles/2650031191", "매물Link")</f>
        <v/>
      </c>
      <c r="M382" s="6">
        <f>HYPERLINK("https://map.naver.com/p/search/세종특별자치시 금남면 부용리 518-1", "지도Link")</f>
        <v/>
      </c>
      <c r="N382" s="6">
        <f>HYPERLINK("http://www.eum.go.kr/web/ar/lu/luLandDet.jsp?pnu=3611034035105180001&amp;isNoScr=script&amp;mode=search", "토지이음")</f>
        <v/>
      </c>
      <c r="O382" s="3" t="inlineStr">
        <is>
          <t>새뜸마을</t>
        </is>
      </c>
      <c r="P382" s="3" t="n">
        <v>1</v>
      </c>
      <c r="Q382" s="3" t="n">
        <v>1127</v>
      </c>
      <c r="R382" s="3" t="inlineStr">
        <is>
          <t>지정되지않음</t>
        </is>
      </c>
      <c r="S382" s="3" t="inlineStr">
        <is>
          <t>단독</t>
        </is>
      </c>
      <c r="T382" s="3" t="inlineStr">
        <is>
          <t>완경사</t>
        </is>
      </c>
      <c r="U382" s="3" t="inlineStr">
        <is>
          <t>부정형</t>
        </is>
      </c>
      <c r="V382" s="3" t="inlineStr">
        <is>
          <t>세로한면(불)</t>
        </is>
      </c>
    </row>
    <row r="383">
      <c r="A383" s="3" t="inlineStr">
        <is>
          <t>세종특별자치시 금남면 부용리 524-5</t>
        </is>
      </c>
      <c r="B383" s="3" t="inlineStr">
        <is>
          <t>계획관리지역</t>
        </is>
      </c>
      <c r="C383" s="3" t="inlineStr">
        <is>
          <t>대</t>
        </is>
      </c>
      <c r="D383" s="3" t="inlineStr">
        <is>
          <t>대</t>
        </is>
      </c>
      <c r="E383" s="3" t="inlineStr">
        <is>
          <t>매매</t>
        </is>
      </c>
      <c r="F383" s="4" t="n">
        <v>25900</v>
      </c>
      <c r="G383" s="4" t="n">
        <v>222</v>
      </c>
      <c r="H383" s="4" t="n">
        <v>67</v>
      </c>
      <c r="I383" s="5" t="n">
        <v>386.6</v>
      </c>
      <c r="J383" s="4" t="n">
        <v>223</v>
      </c>
      <c r="K383" s="3" t="inlineStr">
        <is>
          <t>귀한 입지 미래가 창창 합니다  조건은 열성적으로  협의 해 보시게요</t>
        </is>
      </c>
      <c r="L383" s="6">
        <f>HYPERLINK("https://fin.land.naver.com/articles/2648498928", "매물Link")</f>
        <v/>
      </c>
      <c r="M383" s="6">
        <f>HYPERLINK("https://map.naver.com/p/search/세종특별자치시 금남면 부용리 524-5", "지도Link")</f>
        <v/>
      </c>
      <c r="N383" s="6">
        <f>HYPERLINK("http://www.eum.go.kr/web/ar/lu/luLandDet.jsp?pnu=3611034035105240005&amp;isNoScr=script&amp;mode=search", "토지이음")</f>
        <v/>
      </c>
      <c r="O383" s="3" t="inlineStr">
        <is>
          <t>세종골드삼성</t>
        </is>
      </c>
      <c r="P383" s="3" t="n">
        <v>1</v>
      </c>
      <c r="Q383" s="3" t="n">
        <v>222</v>
      </c>
      <c r="R383" s="3" t="inlineStr">
        <is>
          <t>지정되지않음</t>
        </is>
      </c>
      <c r="S383" s="3" t="inlineStr">
        <is>
          <t>단독</t>
        </is>
      </c>
      <c r="T383" s="3" t="inlineStr">
        <is>
          <t>완경사</t>
        </is>
      </c>
      <c r="U383" s="3" t="inlineStr">
        <is>
          <t>부정형</t>
        </is>
      </c>
      <c r="V383" s="3" t="inlineStr">
        <is>
          <t>세로한면(가)</t>
        </is>
      </c>
    </row>
    <row r="384">
      <c r="A384" s="3" t="inlineStr">
        <is>
          <t>세종특별자치시 금남면 부용리 534</t>
        </is>
      </c>
      <c r="B384" s="3" t="inlineStr">
        <is>
          <t>계획관리지역</t>
        </is>
      </c>
      <c r="C384" s="3" t="inlineStr">
        <is>
          <t>대</t>
        </is>
      </c>
      <c r="D384" s="3" t="inlineStr">
        <is>
          <t>대</t>
        </is>
      </c>
      <c r="E384" s="3" t="inlineStr">
        <is>
          <t>매매</t>
        </is>
      </c>
      <c r="F384" s="4" t="n">
        <v>57600</v>
      </c>
      <c r="G384" s="4" t="n">
        <v>424</v>
      </c>
      <c r="H384" s="4" t="n">
        <v>128</v>
      </c>
      <c r="I384" s="5" t="n">
        <v>450</v>
      </c>
      <c r="J384" s="4" t="n">
        <v>159.9</v>
      </c>
      <c r="K384" s="3" t="inlineStr">
        <is>
          <t>입지좋은 도로변토지매매추천</t>
        </is>
      </c>
      <c r="L384" s="6">
        <f>HYPERLINK("https://fin.land.naver.com/articles/2649194626", "매물Link")</f>
        <v/>
      </c>
      <c r="M384" s="6">
        <f>HYPERLINK("https://map.naver.com/p/search/세종특별자치시 금남면 부용리 534", "지도Link")</f>
        <v/>
      </c>
      <c r="N384" s="6">
        <f>HYPERLINK("http://www.eum.go.kr/web/ar/lu/luLandDet.jsp?pnu=3611034035105340000&amp;isNoScr=script&amp;mode=search", "토지이음")</f>
        <v/>
      </c>
      <c r="O384" s="3" t="inlineStr">
        <is>
          <t>세종365</t>
        </is>
      </c>
      <c r="P384" s="3" t="n">
        <v>1</v>
      </c>
      <c r="Q384" s="3" t="n">
        <v>424</v>
      </c>
      <c r="R384" s="3" t="inlineStr">
        <is>
          <t>지정되지않음</t>
        </is>
      </c>
      <c r="S384" s="3" t="inlineStr">
        <is>
          <t>전기타</t>
        </is>
      </c>
      <c r="T384" s="3" t="inlineStr">
        <is>
          <t>완경사</t>
        </is>
      </c>
      <c r="U384" s="3" t="inlineStr">
        <is>
          <t>부정형</t>
        </is>
      </c>
      <c r="V384" s="3" t="inlineStr">
        <is>
          <t>세로한면(가)</t>
        </is>
      </c>
    </row>
    <row r="385">
      <c r="A385" s="3" t="inlineStr">
        <is>
          <t>세종특별자치시 금남면 부용리 535-1</t>
        </is>
      </c>
      <c r="B385" s="3" t="inlineStr">
        <is>
          <t>계획관리지역</t>
        </is>
      </c>
      <c r="C385" s="3" t="inlineStr">
        <is>
          <t>대</t>
        </is>
      </c>
      <c r="D385" s="3" t="inlineStr">
        <is>
          <t>대</t>
        </is>
      </c>
      <c r="E385" s="3" t="inlineStr">
        <is>
          <t>매매</t>
        </is>
      </c>
      <c r="F385" s="4" t="n">
        <v>52000</v>
      </c>
      <c r="G385" s="4" t="n">
        <v>400</v>
      </c>
      <c r="H385" s="4" t="n">
        <v>121</v>
      </c>
      <c r="I385" s="5" t="n">
        <v>429.8</v>
      </c>
      <c r="J385" s="4" t="n">
        <v>225.2</v>
      </c>
      <c r="K385" s="3" t="inlineStr">
        <is>
          <t>대학교 인근 계획관리</t>
        </is>
      </c>
      <c r="L385" s="6">
        <f>HYPERLINK("https://fin.land.naver.com/articles/2649461562", "매물Link")</f>
        <v/>
      </c>
      <c r="M385" s="6">
        <f>HYPERLINK("https://map.naver.com/p/search/세종특별자치시 금남면 부용리 535-1", "지도Link")</f>
        <v/>
      </c>
      <c r="N385" s="6">
        <f>HYPERLINK("http://www.eum.go.kr/web/ar/lu/luLandDet.jsp?pnu=3611034035105350001&amp;isNoScr=script&amp;mode=search", "토지이음")</f>
        <v/>
      </c>
      <c r="O385" s="3" t="inlineStr">
        <is>
          <t>이레</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세종특별자치시 금남면 부용리 535-1</t>
        </is>
      </c>
      <c r="B386" s="3" t="inlineStr">
        <is>
          <t>계획관리지역</t>
        </is>
      </c>
      <c r="C386" s="3" t="inlineStr">
        <is>
          <t>대</t>
        </is>
      </c>
      <c r="D386" s="3" t="inlineStr">
        <is>
          <t>대</t>
        </is>
      </c>
      <c r="E386" s="3" t="inlineStr">
        <is>
          <t>매매</t>
        </is>
      </c>
      <c r="F386" s="4" t="n">
        <v>58000</v>
      </c>
      <c r="G386" s="4" t="n">
        <v>400</v>
      </c>
      <c r="H386" s="4" t="n">
        <v>121</v>
      </c>
      <c r="I386" s="5" t="n">
        <v>479.3</v>
      </c>
      <c r="J386" s="4" t="n">
        <v>225.2</v>
      </c>
      <c r="K386" s="3" t="inlineStr">
        <is>
          <t>세종시 공동캠퍼스 주변 원룸및 전원주택 가능</t>
        </is>
      </c>
      <c r="L386" s="6">
        <f>HYPERLINK("https://fin.land.naver.com/articles/2648239162", "매물Link")</f>
        <v/>
      </c>
      <c r="M386" s="6">
        <f>HYPERLINK("https://map.naver.com/p/search/세종특별자치시 금남면 부용리 535-1", "지도Link")</f>
        <v/>
      </c>
      <c r="N386" s="6">
        <f>HYPERLINK("http://www.eum.go.kr/web/ar/lu/luLandDet.jsp?pnu=3611034035105350001&amp;isNoScr=script&amp;mode=search", "토지이음")</f>
        <v/>
      </c>
      <c r="O386" s="3" t="inlineStr">
        <is>
          <t>세종나라</t>
        </is>
      </c>
      <c r="P386" s="3" t="n">
        <v>1</v>
      </c>
      <c r="Q386" s="3" t="n">
        <v>400</v>
      </c>
      <c r="R386" s="3" t="inlineStr">
        <is>
          <t>지정되지않음</t>
        </is>
      </c>
      <c r="S386" s="3" t="inlineStr">
        <is>
          <t>주거나지</t>
        </is>
      </c>
      <c r="T386" s="3" t="inlineStr">
        <is>
          <t>완경사</t>
        </is>
      </c>
      <c r="U386" s="3" t="inlineStr">
        <is>
          <t>부정형</t>
        </is>
      </c>
      <c r="V386" s="3" t="inlineStr">
        <is>
          <t>세로한면(가)</t>
        </is>
      </c>
    </row>
    <row r="387">
      <c r="A387" s="3" t="inlineStr">
        <is>
          <t>세종특별자치시 금남면 부용리 535-10</t>
        </is>
      </c>
      <c r="B387" s="3" t="inlineStr">
        <is>
          <t>계획관리지역</t>
        </is>
      </c>
      <c r="C387" s="3" t="inlineStr">
        <is>
          <t>대</t>
        </is>
      </c>
      <c r="D387" s="3" t="inlineStr">
        <is>
          <t>대</t>
        </is>
      </c>
      <c r="E387" s="3" t="inlineStr">
        <is>
          <t>매매</t>
        </is>
      </c>
      <c r="F387" s="4" t="n">
        <v>49000</v>
      </c>
      <c r="G387" s="4" t="n">
        <v>397</v>
      </c>
      <c r="H387" s="4" t="n">
        <v>120</v>
      </c>
      <c r="I387" s="5" t="n">
        <v>408.3</v>
      </c>
      <c r="J387" s="4" t="n">
        <v>225.2</v>
      </c>
      <c r="K387" s="3" t="inlineStr">
        <is>
          <t>대학교 부지 인근 계획관리 토지</t>
        </is>
      </c>
      <c r="L387" s="6">
        <f>HYPERLINK("https://fin.land.naver.com/articles/2649462295", "매물Link")</f>
        <v/>
      </c>
      <c r="M387" s="6">
        <f>HYPERLINK("https://map.naver.com/p/search/세종특별자치시 금남면 부용리 535-10", "지도Link")</f>
        <v/>
      </c>
      <c r="N387" s="6">
        <f>HYPERLINK("http://www.eum.go.kr/web/ar/lu/luLandDet.jsp?pnu=3611034035105350010&amp;isNoScr=script&amp;mode=search", "토지이음")</f>
        <v/>
      </c>
      <c r="O387" s="3" t="inlineStr">
        <is>
          <t>이레</t>
        </is>
      </c>
      <c r="P387" s="3" t="n">
        <v>1</v>
      </c>
      <c r="Q387" s="3" t="n">
        <v>1154</v>
      </c>
      <c r="R387" s="3" t="inlineStr">
        <is>
          <t>지정되지않음</t>
        </is>
      </c>
      <c r="S387" s="3" t="inlineStr">
        <is>
          <t>단독</t>
        </is>
      </c>
      <c r="T387" s="3" t="inlineStr">
        <is>
          <t>완경사</t>
        </is>
      </c>
      <c r="U387" s="3" t="inlineStr">
        <is>
          <t>부정형</t>
        </is>
      </c>
      <c r="V387" s="3" t="inlineStr">
        <is>
          <t>세로한면(가)</t>
        </is>
      </c>
    </row>
    <row r="388">
      <c r="A388" s="3" t="inlineStr">
        <is>
          <t>세종특별자치시 금남면 부용리 535-9</t>
        </is>
      </c>
      <c r="B388" s="3" t="inlineStr">
        <is>
          <t>계획관리지역</t>
        </is>
      </c>
      <c r="C388" s="3" t="inlineStr">
        <is>
          <t>전</t>
        </is>
      </c>
      <c r="D388" s="3" t="inlineStr">
        <is>
          <t>대</t>
        </is>
      </c>
      <c r="E388" s="3" t="inlineStr">
        <is>
          <t>매매</t>
        </is>
      </c>
      <c r="F388" s="4" t="n">
        <v>428000</v>
      </c>
      <c r="G388" s="4" t="n">
        <v>3143</v>
      </c>
      <c r="H388" s="4" t="n">
        <v>951</v>
      </c>
      <c r="I388" s="5" t="n">
        <v>450.1</v>
      </c>
      <c r="J388" s="4" t="n">
        <v>180.4</v>
      </c>
      <c r="K388" s="3" t="inlineStr">
        <is>
          <t>nan</t>
        </is>
      </c>
      <c r="L388" s="6">
        <f>HYPERLINK("https://fin.land.naver.com/articles/2649462650", "매물Link")</f>
        <v/>
      </c>
      <c r="M388" s="6">
        <f>HYPERLINK("https://map.naver.com/p/search/세종특별자치시 금남면 부용리 535-9", "지도Link")</f>
        <v/>
      </c>
      <c r="N388" s="6">
        <f>HYPERLINK("http://www.eum.go.kr/web/ar/lu/luLandDet.jsp?pnu=3611034035105350009&amp;isNoScr=script&amp;mode=search", "토지이음")</f>
        <v/>
      </c>
      <c r="O388" s="3" t="inlineStr">
        <is>
          <t>이레</t>
        </is>
      </c>
      <c r="P388" s="3" t="n">
        <v>1</v>
      </c>
      <c r="Q388" s="3" t="n">
        <v>1187</v>
      </c>
      <c r="R388" s="3" t="inlineStr">
        <is>
          <t>지정되지않음</t>
        </is>
      </c>
      <c r="S388" s="3" t="inlineStr">
        <is>
          <t>전기타</t>
        </is>
      </c>
      <c r="T388" s="3" t="inlineStr">
        <is>
          <t>평지</t>
        </is>
      </c>
      <c r="U388" s="3" t="inlineStr">
        <is>
          <t>부정형</t>
        </is>
      </c>
      <c r="V388" s="3" t="inlineStr">
        <is>
          <t>소로한면</t>
        </is>
      </c>
    </row>
    <row r="389">
      <c r="A389" s="3" t="inlineStr">
        <is>
          <t>세종특별자치시 금남면 부용리 612-3</t>
        </is>
      </c>
      <c r="B389" s="3" t="inlineStr">
        <is>
          <t>개발제한구역</t>
        </is>
      </c>
      <c r="C389" s="3" t="inlineStr">
        <is>
          <t>전</t>
        </is>
      </c>
      <c r="D389" s="3" t="inlineStr">
        <is>
          <t>전</t>
        </is>
      </c>
      <c r="E389" s="3" t="inlineStr">
        <is>
          <t>매매</t>
        </is>
      </c>
      <c r="F389" s="4" t="n">
        <v>22000</v>
      </c>
      <c r="G389" s="4" t="n">
        <v>633</v>
      </c>
      <c r="H389" s="4" t="n">
        <v>191</v>
      </c>
      <c r="I389" s="5" t="n">
        <v>115.2</v>
      </c>
      <c r="J389" s="4" t="n">
        <v>48.3</v>
      </c>
      <c r="K389" s="3" t="inlineStr">
        <is>
          <t>자연녹지 전, 농업진흥구역, 개발제한구역, 토지거래허가구역</t>
        </is>
      </c>
      <c r="L389" s="6">
        <f>HYPERLINK("https://fin.land.naver.com/articles/2645605268", "매물Link")</f>
        <v/>
      </c>
      <c r="M389" s="6">
        <f>HYPERLINK("https://map.naver.com/p/search/세종특별자치시 금남면 부용리 612-3", "지도Link")</f>
        <v/>
      </c>
      <c r="N389" s="6">
        <f>HYPERLINK("http://www.eum.go.kr/web/ar/lu/luLandDet.jsp?pnu=3611034035106120003&amp;isNoScr=script&amp;mode=search", "토지이음")</f>
        <v/>
      </c>
      <c r="O389" s="3" t="inlineStr">
        <is>
          <t>미스터홈즈강남지사</t>
        </is>
      </c>
      <c r="P389" s="3" t="n">
        <v>1</v>
      </c>
      <c r="Q389" s="3" t="n">
        <v>633.2</v>
      </c>
      <c r="R389" s="3" t="inlineStr">
        <is>
          <t>지정되지않음</t>
        </is>
      </c>
      <c r="S389" s="3" t="inlineStr">
        <is>
          <t>전</t>
        </is>
      </c>
      <c r="T389" s="3" t="inlineStr">
        <is>
          <t>평지</t>
        </is>
      </c>
      <c r="U389" s="3" t="inlineStr">
        <is>
          <t>세로장방</t>
        </is>
      </c>
      <c r="V389" s="3" t="inlineStr">
        <is>
          <t>세로한면(가)</t>
        </is>
      </c>
    </row>
    <row r="390">
      <c r="A390" s="3" t="inlineStr">
        <is>
          <t>세종특별자치시 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HYPERLINK("https://map.naver.com/p/search/세종특별자치시 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세종특별자치시 금남면 부용리 81</t>
        </is>
      </c>
      <c r="B391" s="3" t="inlineStr">
        <is>
          <t>계획관리지역</t>
        </is>
      </c>
      <c r="C391" s="3" t="inlineStr">
        <is>
          <t>전</t>
        </is>
      </c>
      <c r="D391" s="3" t="inlineStr">
        <is>
          <t>전</t>
        </is>
      </c>
      <c r="E391" s="3" t="inlineStr">
        <is>
          <t>매매</t>
        </is>
      </c>
      <c r="F391" s="4" t="n">
        <v>30000</v>
      </c>
      <c r="G391" s="4" t="n">
        <v>294</v>
      </c>
      <c r="H391" s="4" t="n">
        <v>89</v>
      </c>
      <c r="I391" s="5" t="n">
        <v>337.1</v>
      </c>
      <c r="J391" s="4" t="n">
        <v>179.8</v>
      </c>
      <c r="K391" s="3" t="inlineStr">
        <is>
          <t>대통령지붐실 5분거리 강변 투자용지</t>
        </is>
      </c>
      <c r="L391" s="6">
        <f>HYPERLINK("https://fin.land.naver.com/articles/2648942256", "매물Link")</f>
        <v/>
      </c>
      <c r="M391" s="6">
        <f>HYPERLINK("https://map.naver.com/p/search/세종특별자치시 금남면 부용리 81", "지도Link")</f>
        <v/>
      </c>
      <c r="N391" s="6">
        <f>HYPERLINK("http://www.eum.go.kr/web/ar/lu/luLandDet.jsp?pnu=3611034035100810000&amp;isNoScr=script&amp;mode=search", "토지이음")</f>
        <v/>
      </c>
      <c r="O391" s="3" t="inlineStr">
        <is>
          <t>초원</t>
        </is>
      </c>
      <c r="P391" s="3" t="n">
        <v>1</v>
      </c>
      <c r="Q391" s="3" t="n">
        <v>294</v>
      </c>
      <c r="R391" s="3" t="inlineStr">
        <is>
          <t>지정되지않음</t>
        </is>
      </c>
      <c r="S391" s="3" t="inlineStr">
        <is>
          <t>전창고</t>
        </is>
      </c>
      <c r="T391" s="3" t="inlineStr">
        <is>
          <t>평지</t>
        </is>
      </c>
      <c r="U391" s="3" t="inlineStr">
        <is>
          <t>사다리형</t>
        </is>
      </c>
      <c r="V391" s="3" t="inlineStr">
        <is>
          <t>소로한면</t>
        </is>
      </c>
    </row>
    <row r="392">
      <c r="A392" s="3" t="inlineStr">
        <is>
          <t>세종특별자치시 금남면 부용리 83</t>
        </is>
      </c>
      <c r="B392" s="3" t="inlineStr">
        <is>
          <t>계획관리지역</t>
        </is>
      </c>
      <c r="C392" s="3" t="inlineStr">
        <is>
          <t>전</t>
        </is>
      </c>
      <c r="D392" s="3" t="inlineStr">
        <is>
          <t>전</t>
        </is>
      </c>
      <c r="E392" s="3" t="inlineStr">
        <is>
          <t>매매</t>
        </is>
      </c>
      <c r="F392" s="4" t="n">
        <v>20000</v>
      </c>
      <c r="G392" s="4" t="n">
        <v>331</v>
      </c>
      <c r="H392" s="4" t="n">
        <v>100</v>
      </c>
      <c r="I392" s="5" t="n">
        <v>200</v>
      </c>
      <c r="J392" s="4" t="n">
        <v>136.9</v>
      </c>
      <c r="K392" s="3" t="inlineStr">
        <is>
          <t>세종 금남면 토지, 성장관리계획구역, 금강, 부강역, 세종5생활권</t>
        </is>
      </c>
      <c r="L392" s="6">
        <f>HYPERLINK("https://fin.land.naver.com/articles/2647456978", "매물Link")</f>
        <v/>
      </c>
      <c r="M392" s="6">
        <f>HYPERLINK("https://map.naver.com/p/search/세종특별자치시 금남면 부용리 83", "지도Link")</f>
        <v/>
      </c>
      <c r="N392" s="6">
        <f>HYPERLINK("http://www.eum.go.kr/web/ar/lu/luLandDet.jsp?pnu=3611034035100830000&amp;isNoScr=script&amp;mode=search", "토지이음")</f>
        <v/>
      </c>
      <c r="O392" s="3" t="inlineStr">
        <is>
          <t>나침반</t>
        </is>
      </c>
      <c r="P392" s="3" t="n">
        <v>1</v>
      </c>
      <c r="Q392" s="3" t="n">
        <v>331</v>
      </c>
      <c r="R392" s="3" t="inlineStr">
        <is>
          <t>지정되지않음</t>
        </is>
      </c>
      <c r="S392" s="3" t="inlineStr">
        <is>
          <t>전</t>
        </is>
      </c>
      <c r="T392" s="3" t="inlineStr">
        <is>
          <t>완경사</t>
        </is>
      </c>
      <c r="U392" s="3" t="inlineStr">
        <is>
          <t>사다리형</t>
        </is>
      </c>
      <c r="V392" s="3" t="inlineStr">
        <is>
          <t>세로한면(가)</t>
        </is>
      </c>
    </row>
    <row r="393">
      <c r="A393" s="3" t="inlineStr">
        <is>
          <t>세종특별자치시 금남면 부용리 87-1</t>
        </is>
      </c>
      <c r="B393" s="3" t="inlineStr">
        <is>
          <t>계획관리지역</t>
        </is>
      </c>
      <c r="C393" s="3" t="inlineStr">
        <is>
          <t>대</t>
        </is>
      </c>
      <c r="D393" s="3" t="inlineStr">
        <is>
          <t>전</t>
        </is>
      </c>
      <c r="E393" s="3" t="inlineStr">
        <is>
          <t>매매</t>
        </is>
      </c>
      <c r="F393" s="4" t="n">
        <v>250000</v>
      </c>
      <c r="G393" s="4" t="n">
        <v>324</v>
      </c>
      <c r="H393" s="4" t="n">
        <v>98</v>
      </c>
      <c r="I393" s="5" t="n">
        <v>2551</v>
      </c>
      <c r="J393" s="4" t="n">
        <v>241.6</v>
      </c>
      <c r="K393" s="3" t="inlineStr">
        <is>
          <t>금강면 부강생활 체육공원 마자은편3필지 매매가격조율 가능</t>
        </is>
      </c>
      <c r="L393" s="6">
        <f>HYPERLINK("https://fin.land.naver.com/articles/2645193509", "매물Link")</f>
        <v/>
      </c>
      <c r="M393" s="6">
        <f>HYPERLINK("https://map.naver.com/p/search/세종특별자치시 금남면 부용리 87-1", "지도Link")</f>
        <v/>
      </c>
      <c r="N393" s="6">
        <f>HYPERLINK("http://www.eum.go.kr/web/ar/lu/luLandDet.jsp?pnu=3611034035100870001&amp;isNoScr=script&amp;mode=search", "토지이음")</f>
        <v/>
      </c>
      <c r="O393" s="3" t="inlineStr">
        <is>
          <t>금백</t>
        </is>
      </c>
      <c r="P393" s="3" t="n">
        <v>1</v>
      </c>
      <c r="Q393" s="3" t="n">
        <v>324</v>
      </c>
      <c r="R393" s="3" t="inlineStr">
        <is>
          <t>지정되지않음</t>
        </is>
      </c>
      <c r="S393" s="3" t="inlineStr">
        <is>
          <t>단독</t>
        </is>
      </c>
      <c r="T393" s="3" t="inlineStr">
        <is>
          <t>평지</t>
        </is>
      </c>
      <c r="U393" s="3" t="inlineStr">
        <is>
          <t>부정형</t>
        </is>
      </c>
      <c r="V393" s="3" t="inlineStr">
        <is>
          <t>세로한면(가)</t>
        </is>
      </c>
    </row>
    <row r="394">
      <c r="A394" s="3" t="inlineStr">
        <is>
          <t>세종특별자치시 금남면 부용리 88-1</t>
        </is>
      </c>
      <c r="B394" s="3" t="inlineStr">
        <is>
          <t>계획관리지역</t>
        </is>
      </c>
      <c r="C394" s="3" t="inlineStr">
        <is>
          <t>대</t>
        </is>
      </c>
      <c r="D394" s="3" t="inlineStr">
        <is>
          <t>대</t>
        </is>
      </c>
      <c r="E394" s="3" t="inlineStr">
        <is>
          <t>매매</t>
        </is>
      </c>
      <c r="F394" s="4" t="n">
        <v>33000</v>
      </c>
      <c r="G394" s="4" t="n">
        <v>295</v>
      </c>
      <c r="H394" s="4" t="n">
        <v>89</v>
      </c>
      <c r="I394" s="5" t="n">
        <v>370.8</v>
      </c>
      <c r="J394" s="4" t="n">
        <v>241.6</v>
      </c>
      <c r="K394" s="3" t="inlineStr">
        <is>
          <t>귀한 원주민 토지. 소형평수. 금강벚꽃길을 내집에서 감상하세요</t>
        </is>
      </c>
      <c r="L394" s="6">
        <f>HYPERLINK("https://fin.land.naver.com/articles/2645373863", "매물Link")</f>
        <v/>
      </c>
      <c r="M394" s="6">
        <f>HYPERLINK("https://map.naver.com/p/search/세종특별자치시 금남면 부용리 88-1", "지도Link")</f>
        <v/>
      </c>
      <c r="N394" s="6">
        <f>HYPERLINK("http://www.eum.go.kr/web/ar/lu/luLandDet.jsp?pnu=3611034035100880001&amp;isNoScr=script&amp;mode=search", "토지이음")</f>
        <v/>
      </c>
      <c r="O394" s="3" t="inlineStr">
        <is>
          <t>세종금밭</t>
        </is>
      </c>
      <c r="P394" s="3" t="n">
        <v>1</v>
      </c>
      <c r="Q394" s="3" t="n">
        <v>295</v>
      </c>
      <c r="R394" s="3" t="inlineStr">
        <is>
          <t>지정되지않음</t>
        </is>
      </c>
      <c r="S394" s="3" t="inlineStr">
        <is>
          <t>단독</t>
        </is>
      </c>
      <c r="T394" s="3" t="inlineStr">
        <is>
          <t>평지</t>
        </is>
      </c>
      <c r="U394" s="3" t="inlineStr">
        <is>
          <t>부정형</t>
        </is>
      </c>
      <c r="V394" s="3" t="inlineStr">
        <is>
          <t>세로한면(가)</t>
        </is>
      </c>
    </row>
    <row r="395">
      <c r="A395" s="3" t="inlineStr">
        <is>
          <t>세종특별자치시 금남면 부용리 산21-1</t>
        </is>
      </c>
      <c r="B395" s="3" t="inlineStr">
        <is>
          <t>농림지역</t>
        </is>
      </c>
      <c r="C395" s="3" t="inlineStr">
        <is>
          <t>임야</t>
        </is>
      </c>
      <c r="D395" s="3" t="inlineStr">
        <is>
          <t>임야</t>
        </is>
      </c>
      <c r="E395" s="3" t="inlineStr">
        <is>
          <t>매매</t>
        </is>
      </c>
      <c r="F395" s="4" t="n">
        <v>530000</v>
      </c>
      <c r="G395" s="4" t="n">
        <v>319312</v>
      </c>
      <c r="H395" s="4" t="n">
        <v>96592</v>
      </c>
      <c r="I395" s="5" t="n">
        <v>5.5</v>
      </c>
      <c r="J395" s="4" t="n">
        <v>2.3</v>
      </c>
      <c r="K395" s="3" t="inlineStr">
        <is>
          <t>nan</t>
        </is>
      </c>
      <c r="L395" s="6">
        <f>HYPERLINK("https://fin.land.naver.com/articles/2647427732", "매물Link")</f>
        <v/>
      </c>
      <c r="M395" s="6">
        <f>HYPERLINK("https://map.naver.com/p/search/세종특별자치시 금남면 부용리 산21-1", "지도Link")</f>
        <v/>
      </c>
      <c r="N395" s="6">
        <f>HYPERLINK("http://www.eum.go.kr/web/ar/lu/luLandDet.jsp?pnu=3611034035200210001&amp;isNoScr=script&amp;mode=search", "토지이음")</f>
        <v/>
      </c>
      <c r="O395" s="3" t="inlineStr">
        <is>
          <t>세종</t>
        </is>
      </c>
      <c r="P395" s="3" t="n">
        <v>1</v>
      </c>
      <c r="Q395" s="3" t="n">
        <v>319099</v>
      </c>
      <c r="R395" s="3" t="inlineStr">
        <is>
          <t>생산관리지역</t>
        </is>
      </c>
      <c r="S395" s="3" t="inlineStr">
        <is>
          <t>자연림</t>
        </is>
      </c>
      <c r="T395" s="3" t="inlineStr">
        <is>
          <t>완경사</t>
        </is>
      </c>
      <c r="U395" s="3" t="inlineStr">
        <is>
          <t>부정형</t>
        </is>
      </c>
      <c r="V395" s="3" t="inlineStr">
        <is>
          <t>세로한면(가)</t>
        </is>
      </c>
    </row>
    <row r="396">
      <c r="A396" s="3" t="inlineStr">
        <is>
          <t>세종특별자치시 금남면 부용리 산5-5</t>
        </is>
      </c>
      <c r="B396" s="3" t="inlineStr">
        <is>
          <t>농림지역</t>
        </is>
      </c>
      <c r="C396" s="3" t="inlineStr">
        <is>
          <t>임야</t>
        </is>
      </c>
      <c r="D396" s="3" t="inlineStr">
        <is>
          <t>임야</t>
        </is>
      </c>
      <c r="E396" s="3" t="inlineStr">
        <is>
          <t>매매</t>
        </is>
      </c>
      <c r="F396" s="4" t="n">
        <v>215000</v>
      </c>
      <c r="G396" s="4" t="n">
        <v>62888</v>
      </c>
      <c r="H396" s="4" t="n">
        <v>19024</v>
      </c>
      <c r="I396" s="5" t="n">
        <v>11.3</v>
      </c>
      <c r="J396" s="4" t="n">
        <v>2.3</v>
      </c>
      <c r="K396" s="3" t="inlineStr">
        <is>
          <t>세종시 금남면 부용리 금강변 도로에 접한 임업용 산지 임야</t>
        </is>
      </c>
      <c r="L396" s="6">
        <f>HYPERLINK("https://fin.land.naver.com/articles/2650047633", "매물Link")</f>
        <v/>
      </c>
      <c r="M396" s="6">
        <f>HYPERLINK("https://map.naver.com/p/search/세종특별자치시 금남면 부용리 산5-5", "지도Link")</f>
        <v/>
      </c>
      <c r="N396" s="6">
        <f>HYPERLINK("http://www.eum.go.kr/web/ar/lu/luLandDet.jsp?pnu=3611034035200050005&amp;isNoScr=script&amp;mode=search", "토지이음")</f>
        <v/>
      </c>
      <c r="O396" s="3" t="inlineStr">
        <is>
          <t>하이엔드</t>
        </is>
      </c>
      <c r="P396" s="3" t="n">
        <v>3</v>
      </c>
      <c r="Q396" s="3" t="n">
        <v>62888</v>
      </c>
      <c r="R396" s="3" t="inlineStr">
        <is>
          <t>지정되지않음</t>
        </is>
      </c>
      <c r="S396" s="3" t="inlineStr">
        <is>
          <t>자연림</t>
        </is>
      </c>
      <c r="T396" s="3" t="inlineStr">
        <is>
          <t>급경사</t>
        </is>
      </c>
      <c r="U396" s="3" t="inlineStr">
        <is>
          <t>부정형</t>
        </is>
      </c>
      <c r="V396" s="3" t="inlineStr">
        <is>
          <t>소로한면</t>
        </is>
      </c>
    </row>
    <row r="397">
      <c r="A397" s="3" t="inlineStr">
        <is>
          <t>세종특별자치시 금남면 부용리 산81-1</t>
        </is>
      </c>
      <c r="B397" s="3" t="inlineStr">
        <is>
          <t>개발제한구역</t>
        </is>
      </c>
      <c r="C397" s="3" t="inlineStr">
        <is>
          <t>임야</t>
        </is>
      </c>
      <c r="D397" s="3" t="inlineStr">
        <is>
          <t>임야</t>
        </is>
      </c>
      <c r="E397" s="3" t="inlineStr">
        <is>
          <t>매매</t>
        </is>
      </c>
      <c r="F397" s="4" t="n">
        <v>100000</v>
      </c>
      <c r="G397" s="4" t="n">
        <v>22784</v>
      </c>
      <c r="H397" s="4" t="n">
        <v>6892</v>
      </c>
      <c r="I397" s="5" t="n">
        <v>14.5</v>
      </c>
      <c r="J397" s="4" t="n">
        <v>3.4</v>
      </c>
      <c r="K397" s="3" t="inlineStr">
        <is>
          <t>도시지역,자연녹지,개발제한구역,진입도로 있슴,전망좋음.조율가,4생활권근교</t>
        </is>
      </c>
      <c r="L397" s="6">
        <f>HYPERLINK("https://fin.land.naver.com/articles/2648211418", "매물Link")</f>
        <v/>
      </c>
      <c r="M397" s="6">
        <f>HYPERLINK("https://map.naver.com/p/search/세종특별자치시 금남면 부용리 산81-1", "지도Link")</f>
        <v/>
      </c>
      <c r="N397" s="6">
        <f>HYPERLINK("http://www.eum.go.kr/web/ar/lu/luLandDet.jsp?pnu=3611034035200810001&amp;isNoScr=script&amp;mode=search", "토지이음")</f>
        <v/>
      </c>
      <c r="O397" s="3" t="inlineStr">
        <is>
          <t>어반통</t>
        </is>
      </c>
      <c r="P397" s="3" t="n">
        <v>1</v>
      </c>
      <c r="Q397" s="3" t="n">
        <v>17251</v>
      </c>
      <c r="R397" s="3" t="inlineStr">
        <is>
          <t>지정되지않음</t>
        </is>
      </c>
      <c r="S397" s="3" t="inlineStr">
        <is>
          <t>자연림</t>
        </is>
      </c>
      <c r="T397" s="3" t="inlineStr">
        <is>
          <t>완경사</t>
        </is>
      </c>
      <c r="U397" s="3" t="inlineStr">
        <is>
          <t>부정형</t>
        </is>
      </c>
      <c r="V397" s="3" t="inlineStr">
        <is>
          <t>세로한면(불)</t>
        </is>
      </c>
    </row>
    <row r="398">
      <c r="A398" s="3" t="inlineStr">
        <is>
          <t>세종특별자치시 금남면 부용리 산81-6</t>
        </is>
      </c>
      <c r="B398" s="3" t="inlineStr">
        <is>
          <t>개발제한구역</t>
        </is>
      </c>
      <c r="C398" s="3" t="inlineStr">
        <is>
          <t>임야</t>
        </is>
      </c>
      <c r="D398" s="3" t="inlineStr">
        <is>
          <t>임야</t>
        </is>
      </c>
      <c r="E398" s="3" t="inlineStr">
        <is>
          <t>매매</t>
        </is>
      </c>
      <c r="F398" s="4" t="n">
        <v>25000</v>
      </c>
      <c r="G398" s="4" t="n">
        <v>3882</v>
      </c>
      <c r="H398" s="4" t="n">
        <v>1174</v>
      </c>
      <c r="I398" s="5" t="n">
        <v>21.3</v>
      </c>
      <c r="J398" s="4" t="n">
        <v>3.5</v>
      </c>
      <c r="K398" s="3" t="inlineStr">
        <is>
          <t>공동 캠퍼스 인근 임야</t>
        </is>
      </c>
      <c r="L398" s="6">
        <f>HYPERLINK("https://fin.land.naver.com/articles/2649462186", "매물Link")</f>
        <v/>
      </c>
      <c r="M398" s="6">
        <f>HYPERLINK("https://map.naver.com/p/search/세종특별자치시 금남면 부용리 산81-6", "지도Link")</f>
        <v/>
      </c>
      <c r="N398" s="6">
        <f>HYPERLINK("http://www.eum.go.kr/web/ar/lu/luLandDet.jsp?pnu=3611034035200810006&amp;isNoScr=script&amp;mode=search", "토지이음")</f>
        <v/>
      </c>
      <c r="O398" s="3" t="inlineStr">
        <is>
          <t>이레</t>
        </is>
      </c>
      <c r="P398" s="3" t="n">
        <v>1</v>
      </c>
      <c r="Q398" s="3" t="n">
        <v>3882</v>
      </c>
      <c r="R398" s="3" t="inlineStr">
        <is>
          <t>지정되지않음</t>
        </is>
      </c>
      <c r="S398" s="3" t="inlineStr">
        <is>
          <t>자연림</t>
        </is>
      </c>
      <c r="T398" s="3" t="inlineStr">
        <is>
          <t>완경사</t>
        </is>
      </c>
      <c r="U398" s="3" t="inlineStr">
        <is>
          <t>부정형</t>
        </is>
      </c>
      <c r="V398" s="3" t="inlineStr">
        <is>
          <t>세로한면(불)</t>
        </is>
      </c>
    </row>
    <row r="399">
      <c r="A399" s="3" t="inlineStr">
        <is>
          <t>세종특별자치시 금남면 성강리 109-10</t>
        </is>
      </c>
      <c r="B399" s="3" t="inlineStr">
        <is>
          <t>보전관리지역</t>
        </is>
      </c>
      <c r="C399" s="3" t="inlineStr">
        <is>
          <t>대</t>
        </is>
      </c>
      <c r="D399" s="3" t="inlineStr">
        <is>
          <t>대</t>
        </is>
      </c>
      <c r="E399" s="3" t="inlineStr">
        <is>
          <t>매매</t>
        </is>
      </c>
      <c r="F399" s="4" t="n">
        <v>60000</v>
      </c>
      <c r="G399" s="4" t="n">
        <v>550</v>
      </c>
      <c r="H399" s="4" t="n">
        <v>166</v>
      </c>
      <c r="I399" s="5" t="n">
        <v>361.4</v>
      </c>
      <c r="J399" s="4" t="n">
        <v>62</v>
      </c>
      <c r="K399" s="3" t="inlineStr">
        <is>
          <t>4차선 도로에 인접하고 동학사와 근접해 있는 조망좋은 전원주택지</t>
        </is>
      </c>
      <c r="L399" s="6">
        <f>HYPERLINK("https://fin.land.naver.com/articles/2645165635", "매물Link")</f>
        <v/>
      </c>
      <c r="M399" s="6">
        <f>HYPERLINK("https://map.naver.com/p/search/세종특별자치시 금남면 성강리 109-10", "지도Link")</f>
        <v/>
      </c>
      <c r="N399" s="6">
        <f>HYPERLINK("http://www.eum.go.kr/web/ar/lu/luLandDet.jsp?pnu=3611034042101090010&amp;isNoScr=script&amp;mode=search", "토지이음")</f>
        <v/>
      </c>
      <c r="O399" s="3" t="inlineStr">
        <is>
          <t>가람</t>
        </is>
      </c>
      <c r="P399" s="3" t="n">
        <v>1</v>
      </c>
      <c r="Q399" s="3" t="n">
        <v>550</v>
      </c>
      <c r="R399" s="3" t="inlineStr">
        <is>
          <t>지정되지않음</t>
        </is>
      </c>
      <c r="S399" s="3" t="inlineStr">
        <is>
          <t>주거나지</t>
        </is>
      </c>
      <c r="T399" s="3" t="inlineStr">
        <is>
          <t>완경사</t>
        </is>
      </c>
      <c r="U399" s="3" t="inlineStr">
        <is>
          <t>사다리형</t>
        </is>
      </c>
      <c r="V399" s="3" t="inlineStr">
        <is>
          <t>세로한면(가)</t>
        </is>
      </c>
    </row>
    <row r="400">
      <c r="A400" s="3" t="inlineStr">
        <is>
          <t>세종특별자치시 금남면 성강리 109-40</t>
        </is>
      </c>
      <c r="B400" s="3" t="inlineStr">
        <is>
          <t>보전관리지역</t>
        </is>
      </c>
      <c r="C400" s="3" t="inlineStr">
        <is>
          <t>대</t>
        </is>
      </c>
      <c r="D400" s="3" t="inlineStr">
        <is>
          <t>임야</t>
        </is>
      </c>
      <c r="E400" s="3" t="inlineStr">
        <is>
          <t>매매</t>
        </is>
      </c>
      <c r="F400" s="4" t="n">
        <v>33000</v>
      </c>
      <c r="G400" s="4" t="n">
        <v>703</v>
      </c>
      <c r="H400" s="4" t="n">
        <v>213</v>
      </c>
      <c r="I400" s="5" t="n">
        <v>154.9</v>
      </c>
      <c r="J400" s="4" t="n">
        <v>62</v>
      </c>
      <c r="K400" s="3" t="inlineStr">
        <is>
          <t>세종시 금남면 성강리 전원주택지 비버리힐스 급매 010 3819 3805</t>
        </is>
      </c>
      <c r="L400" s="6">
        <f>HYPERLINK("https://fin.land.naver.com/articles/2650215939", "매물Link")</f>
        <v/>
      </c>
      <c r="M400" s="6">
        <f>HYPERLINK("https://map.naver.com/p/search/세종특별자치시 금남면 성강리 109-40", "지도Link")</f>
        <v/>
      </c>
      <c r="N400" s="6">
        <f>HYPERLINK("http://www.eum.go.kr/web/ar/lu/luLandDet.jsp?pnu=3611034042101090040&amp;isNoScr=script&amp;mode=search", "토지이음")</f>
        <v/>
      </c>
      <c r="O400" s="3" t="inlineStr">
        <is>
          <t>국제</t>
        </is>
      </c>
      <c r="P400" s="3" t="n">
        <v>1</v>
      </c>
      <c r="Q400" s="3" t="n">
        <v>580</v>
      </c>
      <c r="R400" s="3" t="inlineStr">
        <is>
          <t>지정되지않음</t>
        </is>
      </c>
      <c r="S400" s="3" t="inlineStr">
        <is>
          <t>주거나지</t>
        </is>
      </c>
      <c r="T400" s="3" t="inlineStr">
        <is>
          <t>완경사</t>
        </is>
      </c>
      <c r="U400" s="3" t="inlineStr">
        <is>
          <t>사다리형</t>
        </is>
      </c>
      <c r="V400" s="3" t="inlineStr">
        <is>
          <t>세로한면(가)</t>
        </is>
      </c>
    </row>
    <row r="401">
      <c r="A401" s="3" t="inlineStr">
        <is>
          <t>세종특별자치시 금남면 성강리 119</t>
        </is>
      </c>
      <c r="B401" s="3" t="inlineStr">
        <is>
          <t>농림지역</t>
        </is>
      </c>
      <c r="C401" s="3" t="inlineStr">
        <is>
          <t>답</t>
        </is>
      </c>
      <c r="D401" s="3" t="inlineStr">
        <is>
          <t>답</t>
        </is>
      </c>
      <c r="E401" s="3" t="inlineStr">
        <is>
          <t>매매</t>
        </is>
      </c>
      <c r="F401" s="4" t="n">
        <v>100000</v>
      </c>
      <c r="G401" s="4" t="n">
        <v>3326</v>
      </c>
      <c r="H401" s="4" t="n">
        <v>1006</v>
      </c>
      <c r="I401" s="5" t="n">
        <v>99.40000000000001</v>
      </c>
      <c r="J401" s="4" t="n">
        <v>28.9</v>
      </c>
      <c r="K401" s="3" t="inlineStr">
        <is>
          <t>성강길인근토지 도보5분대단지아파트입주예정</t>
        </is>
      </c>
      <c r="L401" s="6">
        <f>HYPERLINK("https://fin.land.naver.com/articles/2646696256", "매물Link")</f>
        <v/>
      </c>
      <c r="M401" s="6">
        <f>HYPERLINK("https://map.naver.com/p/search/세종특별자치시 금남면 성강리 119", "지도Link")</f>
        <v/>
      </c>
      <c r="N401" s="6">
        <f>HYPERLINK("http://www.eum.go.kr/web/ar/lu/luLandDet.jsp?pnu=3611034042101190000&amp;isNoScr=script&amp;mode=search", "토지이음")</f>
        <v/>
      </c>
      <c r="O401" s="3" t="inlineStr">
        <is>
          <t>에이스</t>
        </is>
      </c>
      <c r="P401" s="3" t="n">
        <v>1</v>
      </c>
      <c r="Q401" s="3" t="n">
        <v>3326</v>
      </c>
      <c r="R401" s="3" t="inlineStr">
        <is>
          <t>지정되지않음</t>
        </is>
      </c>
      <c r="S401" s="3" t="inlineStr">
        <is>
          <t>답</t>
        </is>
      </c>
      <c r="T401" s="3" t="inlineStr">
        <is>
          <t>평지</t>
        </is>
      </c>
      <c r="U401" s="3" t="inlineStr">
        <is>
          <t>부정형</t>
        </is>
      </c>
      <c r="V401" s="3" t="inlineStr">
        <is>
          <t>세로한면(가)</t>
        </is>
      </c>
    </row>
    <row r="402">
      <c r="A402" s="3" t="inlineStr">
        <is>
          <t>세종특별자치시 금남면 성강리 170-9</t>
        </is>
      </c>
      <c r="B402" s="3" t="inlineStr">
        <is>
          <t>보전관리지역</t>
        </is>
      </c>
      <c r="C402" s="3" t="inlineStr">
        <is>
          <t>임야</t>
        </is>
      </c>
      <c r="D402" s="3" t="inlineStr">
        <is>
          <t>임야</t>
        </is>
      </c>
      <c r="E402" s="3" t="inlineStr">
        <is>
          <t>매매</t>
        </is>
      </c>
      <c r="F402" s="4" t="n">
        <v>43000</v>
      </c>
      <c r="G402" s="4" t="n">
        <v>710</v>
      </c>
      <c r="H402" s="4" t="n">
        <v>215</v>
      </c>
      <c r="I402" s="5" t="n">
        <v>200</v>
      </c>
      <c r="J402" s="4" t="n">
        <v>45.2</v>
      </c>
      <c r="K402" s="3" t="inlineStr">
        <is>
          <t>공주시 반포면에서 세종시 가는길 주변 전원주택지 입니다</t>
        </is>
      </c>
      <c r="L402" s="6">
        <f>HYPERLINK("https://fin.land.naver.com/articles/2647471398", "매물Link")</f>
        <v/>
      </c>
      <c r="M402" s="6">
        <f>HYPERLINK("https://map.naver.com/p/search/세종특별자치시 금남면 성강리 170-9", "지도Link")</f>
        <v/>
      </c>
      <c r="N402" s="6">
        <f>HYPERLINK("http://www.eum.go.kr/web/ar/lu/luLandDet.jsp?pnu=3611034042101700009&amp;isNoScr=script&amp;mode=search", "토지이음")</f>
        <v/>
      </c>
      <c r="O402" s="3" t="inlineStr">
        <is>
          <t>더행복</t>
        </is>
      </c>
      <c r="P402" s="3" t="n">
        <v>1</v>
      </c>
      <c r="Q402" s="3" t="n">
        <v>710</v>
      </c>
      <c r="R402" s="3" t="inlineStr">
        <is>
          <t>지정되지않음</t>
        </is>
      </c>
      <c r="S402" s="3" t="inlineStr">
        <is>
          <t>전기타</t>
        </is>
      </c>
      <c r="T402" s="3" t="inlineStr">
        <is>
          <t>완경사</t>
        </is>
      </c>
      <c r="U402" s="3" t="inlineStr">
        <is>
          <t>사다리형</t>
        </is>
      </c>
      <c r="V402" s="3" t="inlineStr">
        <is>
          <t>세로한면(가)</t>
        </is>
      </c>
    </row>
    <row r="403">
      <c r="A403" s="3" t="inlineStr">
        <is>
          <t>세종특별자치시 금남면 성강리 234</t>
        </is>
      </c>
      <c r="B403" s="3" t="inlineStr">
        <is>
          <t>농림지역</t>
        </is>
      </c>
      <c r="C403" s="3" t="inlineStr">
        <is>
          <t>답</t>
        </is>
      </c>
      <c r="D403" s="3" t="inlineStr">
        <is>
          <t>답</t>
        </is>
      </c>
      <c r="E403" s="3" t="inlineStr">
        <is>
          <t>매매</t>
        </is>
      </c>
      <c r="F403" s="4" t="n">
        <v>80000</v>
      </c>
      <c r="G403" s="4" t="n">
        <v>3316</v>
      </c>
      <c r="H403" s="4" t="n">
        <v>1003</v>
      </c>
      <c r="I403" s="5" t="n">
        <v>79.8</v>
      </c>
      <c r="J403" s="4" t="n">
        <v>40.3</v>
      </c>
      <c r="K403" s="3" t="inlineStr">
        <is>
          <t>접근성이좋은 도로에접해있는토지남세종IC10분거리근처대단지아파트분양예정</t>
        </is>
      </c>
      <c r="L403" s="6">
        <f>HYPERLINK("https://fin.land.naver.com/articles/2649611970", "매물Link")</f>
        <v/>
      </c>
      <c r="M403" s="6">
        <f>HYPERLINK("https://map.naver.com/p/search/세종특별자치시 금남면 성강리 234", "지도Link")</f>
        <v/>
      </c>
      <c r="N403" s="6">
        <f>HYPERLINK("http://www.eum.go.kr/web/ar/lu/luLandDet.jsp?pnu=3611034042102340000&amp;isNoScr=script&amp;mode=search", "토지이음")</f>
        <v/>
      </c>
      <c r="O403" s="3" t="inlineStr">
        <is>
          <t>성대리치</t>
        </is>
      </c>
      <c r="P403" s="3" t="n">
        <v>1</v>
      </c>
      <c r="Q403" s="3" t="n">
        <v>3316</v>
      </c>
      <c r="R403" s="3" t="inlineStr">
        <is>
          <t>지정되지않음</t>
        </is>
      </c>
      <c r="S403" s="3" t="inlineStr">
        <is>
          <t>답</t>
        </is>
      </c>
      <c r="T403" s="3" t="inlineStr">
        <is>
          <t>평지</t>
        </is>
      </c>
      <c r="U403" s="3" t="inlineStr">
        <is>
          <t>부정형</t>
        </is>
      </c>
      <c r="V403" s="3" t="inlineStr">
        <is>
          <t>세로한면(가)</t>
        </is>
      </c>
    </row>
    <row r="404">
      <c r="A404" s="3" t="inlineStr">
        <is>
          <t>세종특별자치시 금남면 성강리 240</t>
        </is>
      </c>
      <c r="B404" s="3" t="inlineStr">
        <is>
          <t>생산관리지역</t>
        </is>
      </c>
      <c r="C404" s="3" t="inlineStr">
        <is>
          <t>대</t>
        </is>
      </c>
      <c r="D404" s="3" t="inlineStr">
        <is>
          <t>대</t>
        </is>
      </c>
      <c r="E404" s="3" t="inlineStr">
        <is>
          <t>매매</t>
        </is>
      </c>
      <c r="F404" s="4" t="n">
        <v>70000</v>
      </c>
      <c r="G404" s="4" t="n">
        <v>813</v>
      </c>
      <c r="H404" s="4" t="n">
        <v>246</v>
      </c>
      <c r="I404" s="5" t="n">
        <v>284.6</v>
      </c>
      <c r="J404" s="4" t="n">
        <v>71.3</v>
      </c>
      <c r="K404" s="3" t="inlineStr">
        <is>
          <t>사진0  이쁘게 잘꾸며진 정원이있는 전원주택 토지 매매</t>
        </is>
      </c>
      <c r="L404" s="6">
        <f>HYPERLINK("https://fin.land.naver.com/articles/2646741248", "매물Link")</f>
        <v/>
      </c>
      <c r="M404" s="6">
        <f>HYPERLINK("https://map.naver.com/p/search/세종특별자치시 금남면 성강리 240", "지도Link")</f>
        <v/>
      </c>
      <c r="N404" s="6">
        <f>HYPERLINK("http://www.eum.go.kr/web/ar/lu/luLandDet.jsp?pnu=3611034042102400000&amp;isNoScr=script&amp;mode=search", "토지이음")</f>
        <v/>
      </c>
      <c r="O404" s="3" t="inlineStr">
        <is>
          <t>어울림</t>
        </is>
      </c>
      <c r="P404" s="3" t="n">
        <v>1</v>
      </c>
      <c r="Q404" s="3" t="n">
        <v>814</v>
      </c>
      <c r="R404" s="3" t="inlineStr">
        <is>
          <t>지정되지않음</t>
        </is>
      </c>
      <c r="S404" s="3" t="inlineStr">
        <is>
          <t>단독</t>
        </is>
      </c>
      <c r="T404" s="3" t="inlineStr">
        <is>
          <t>평지</t>
        </is>
      </c>
      <c r="U404" s="3" t="inlineStr">
        <is>
          <t>부정형</t>
        </is>
      </c>
      <c r="V404" s="3" t="inlineStr">
        <is>
          <t>세로한면(가)</t>
        </is>
      </c>
    </row>
    <row r="405">
      <c r="A405" s="3" t="inlineStr">
        <is>
          <t>세종특별자치시 금남면 성강리 306</t>
        </is>
      </c>
      <c r="B405" s="3" t="inlineStr">
        <is>
          <t>계획관리지역</t>
        </is>
      </c>
      <c r="C405" s="3" t="inlineStr">
        <is>
          <t>대</t>
        </is>
      </c>
      <c r="D405" s="3" t="inlineStr">
        <is>
          <t>대</t>
        </is>
      </c>
      <c r="E405" s="3" t="inlineStr">
        <is>
          <t>매매</t>
        </is>
      </c>
      <c r="F405" s="4" t="n">
        <v>22000</v>
      </c>
      <c r="G405" s="4" t="n">
        <v>462</v>
      </c>
      <c r="H405" s="4" t="n">
        <v>140</v>
      </c>
      <c r="I405" s="5" t="n">
        <v>157.1</v>
      </c>
      <c r="J405" s="4" t="n">
        <v>78.8</v>
      </c>
      <c r="K405" s="3" t="inlineStr">
        <is>
          <t>시내권 차량10분거리,도로접,조그만 집 지어 조용한 전원생활,텃밭이용가,</t>
        </is>
      </c>
      <c r="L405" s="6">
        <f>HYPERLINK("https://fin.land.naver.com/articles/2646899859", "매물Link")</f>
        <v/>
      </c>
      <c r="M405" s="6">
        <f>HYPERLINK("https://map.naver.com/p/search/세종특별자치시 금남면 성강리 306", "지도Link")</f>
        <v/>
      </c>
      <c r="N405" s="6">
        <f>HYPERLINK("http://www.eum.go.kr/web/ar/lu/luLandDet.jsp?pnu=3611034042103060000&amp;isNoScr=script&amp;mode=search", "토지이음")</f>
        <v/>
      </c>
      <c r="O405" s="3" t="inlineStr">
        <is>
          <t>어반통</t>
        </is>
      </c>
      <c r="P405" s="3" t="n">
        <v>1</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세종특별자치시 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급매.나대지와 전 2필지,도로접,전원주택지로 추천</t>
        </is>
      </c>
      <c r="L406" s="6">
        <f>HYPERLINK("https://fin.land.naver.com/articles/2645457856", "매물Link")</f>
        <v/>
      </c>
      <c r="M406" s="6">
        <f>HYPERLINK("https://map.naver.com/p/search/세종특별자치시 금남면 성강리 306", "지도Link")</f>
        <v/>
      </c>
      <c r="N406" s="6">
        <f>HYPERLINK("http://www.eum.go.kr/web/ar/lu/luLandDet.jsp?pnu=3611034042103060000&amp;isNoScr=script&amp;mode=search", "토지이음")</f>
        <v/>
      </c>
      <c r="O406" s="3" t="inlineStr">
        <is>
          <t>담뜰</t>
        </is>
      </c>
      <c r="P406" s="3" t="n">
        <v>2</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세종특별자치시 금남면 성강리 306</t>
        </is>
      </c>
      <c r="B407" s="3" t="inlineStr">
        <is>
          <t>계획관리지역</t>
        </is>
      </c>
      <c r="C407" s="3" t="inlineStr">
        <is>
          <t>대</t>
        </is>
      </c>
      <c r="D407" s="3" t="inlineStr">
        <is>
          <t>대</t>
        </is>
      </c>
      <c r="E407" s="3" t="inlineStr">
        <is>
          <t>매매</t>
        </is>
      </c>
      <c r="F407" s="4" t="n">
        <v>21000</v>
      </c>
      <c r="G407" s="4" t="n">
        <v>463</v>
      </c>
      <c r="H407" s="4" t="n">
        <v>140</v>
      </c>
      <c r="I407" s="5" t="n">
        <v>150</v>
      </c>
      <c r="J407" s="4" t="n">
        <v>78.8</v>
      </c>
      <c r="K407" s="3" t="inlineStr">
        <is>
          <t>세종시 근접한 조용한 주택지</t>
        </is>
      </c>
      <c r="L407" s="6">
        <f>HYPERLINK("https://fin.land.naver.com/articles/2649898529", "매물Link")</f>
        <v/>
      </c>
      <c r="M407" s="6">
        <f>HYPERLINK("https://map.naver.com/p/search/세종특별자치시 금남면 성강리 306", "지도Link")</f>
        <v/>
      </c>
      <c r="N407" s="6">
        <f>HYPERLINK("http://www.eum.go.kr/web/ar/lu/luLandDet.jsp?pnu=3611034042103060000&amp;isNoScr=script&amp;mode=search", "토지이음")</f>
        <v/>
      </c>
      <c r="O407" s="3" t="inlineStr">
        <is>
          <t>세종나라</t>
        </is>
      </c>
      <c r="P407" s="3" t="n">
        <v>1</v>
      </c>
      <c r="Q407" s="3" t="n">
        <v>281</v>
      </c>
      <c r="R407" s="3" t="inlineStr">
        <is>
          <t>지정되지않음</t>
        </is>
      </c>
      <c r="S407" s="3" t="inlineStr">
        <is>
          <t>단독</t>
        </is>
      </c>
      <c r="T407" s="3" t="inlineStr">
        <is>
          <t>완경사</t>
        </is>
      </c>
      <c r="U407" s="3" t="inlineStr">
        <is>
          <t>부정형</t>
        </is>
      </c>
      <c r="V407" s="3" t="inlineStr">
        <is>
          <t>세로한면(가)</t>
        </is>
      </c>
    </row>
    <row r="408">
      <c r="A408" s="3" t="inlineStr">
        <is>
          <t>세종특별자치시 금남면 성강리 325</t>
        </is>
      </c>
      <c r="B408" s="3" t="inlineStr">
        <is>
          <t>계획관리지역</t>
        </is>
      </c>
      <c r="C408" s="3" t="inlineStr">
        <is>
          <t>전</t>
        </is>
      </c>
      <c r="D408" s="3" t="inlineStr">
        <is>
          <t>대</t>
        </is>
      </c>
      <c r="E408" s="3" t="inlineStr">
        <is>
          <t>매매</t>
        </is>
      </c>
      <c r="F408" s="4" t="n">
        <v>21000</v>
      </c>
      <c r="G408" s="4" t="n">
        <v>463</v>
      </c>
      <c r="H408" s="4" t="n">
        <v>140</v>
      </c>
      <c r="I408" s="5" t="n">
        <v>150</v>
      </c>
      <c r="J408" s="4" t="n">
        <v>43</v>
      </c>
      <c r="K408" s="3" t="inlineStr">
        <is>
          <t>경관과 조망이 좋은 마을 포장도로에 접한 계획관리지역의 대지와 전 입니다</t>
        </is>
      </c>
      <c r="L408" s="6">
        <f>HYPERLINK("https://fin.land.naver.com/articles/2643949437", "매물Link")</f>
        <v/>
      </c>
      <c r="M408" s="6">
        <f>HYPERLINK("https://map.naver.com/p/search/세종특별자치시 금남면 성강리 325", "지도Link")</f>
        <v/>
      </c>
      <c r="N408" s="6">
        <f>HYPERLINK("http://www.eum.go.kr/web/ar/lu/luLandDet.jsp?pnu=3611034042103250000&amp;isNoScr=script&amp;mode=search", "토지이음")</f>
        <v/>
      </c>
      <c r="O408" s="3" t="inlineStr">
        <is>
          <t>스마일세종</t>
        </is>
      </c>
      <c r="P408" s="3" t="n">
        <v>1</v>
      </c>
      <c r="Q408" s="3" t="n">
        <v>182</v>
      </c>
      <c r="R408" s="3" t="inlineStr">
        <is>
          <t>지정되지않음</t>
        </is>
      </c>
      <c r="S408" s="3" t="inlineStr">
        <is>
          <t>전</t>
        </is>
      </c>
      <c r="T408" s="3" t="inlineStr">
        <is>
          <t>완경사</t>
        </is>
      </c>
      <c r="U408" s="3" t="inlineStr">
        <is>
          <t>부정형</t>
        </is>
      </c>
      <c r="V408" s="3" t="inlineStr">
        <is>
          <t>세로한면(가)</t>
        </is>
      </c>
    </row>
    <row r="409">
      <c r="A409" s="3" t="inlineStr">
        <is>
          <t>세종특별자치시 금남면 성강리 349</t>
        </is>
      </c>
      <c r="B409" s="3" t="inlineStr">
        <is>
          <t>생산관리지역</t>
        </is>
      </c>
      <c r="C409" s="3" t="inlineStr">
        <is>
          <t>답</t>
        </is>
      </c>
      <c r="D409" s="3" t="inlineStr">
        <is>
          <t>답</t>
        </is>
      </c>
      <c r="E409" s="3" t="inlineStr">
        <is>
          <t>매매</t>
        </is>
      </c>
      <c r="F409" s="4" t="n">
        <v>8000</v>
      </c>
      <c r="G409" s="4" t="n">
        <v>202</v>
      </c>
      <c r="H409" s="4" t="n">
        <v>61</v>
      </c>
      <c r="I409" s="5" t="n">
        <v>131.1</v>
      </c>
      <c r="J409" s="4" t="n">
        <v>32.6</v>
      </c>
      <c r="K409" s="3" t="inlineStr">
        <is>
          <t>도로 예쁘게 접한 저렴이 토지</t>
        </is>
      </c>
      <c r="L409" s="6">
        <f>HYPERLINK("https://fin.land.naver.com/articles/2646109674", "매물Link")</f>
        <v/>
      </c>
      <c r="M409" s="6">
        <f>HYPERLINK("https://map.naver.com/p/search/세종특별자치시 금남면 성강리 349", "지도Link")</f>
        <v/>
      </c>
      <c r="N409" s="6">
        <f>HYPERLINK("http://www.eum.go.kr/web/ar/lu/luLandDet.jsp?pnu=3611034042103490000&amp;isNoScr=script&amp;mode=search", "토지이음")</f>
        <v/>
      </c>
      <c r="O409" s="3" t="inlineStr">
        <is>
          <t>THE행복</t>
        </is>
      </c>
      <c r="P409" s="3" t="n">
        <v>1</v>
      </c>
      <c r="Q409" s="3" t="n">
        <v>202</v>
      </c>
      <c r="R409" s="3" t="inlineStr">
        <is>
          <t>지정되지않음</t>
        </is>
      </c>
      <c r="S409" s="3" t="inlineStr">
        <is>
          <t>답</t>
        </is>
      </c>
      <c r="T409" s="3" t="inlineStr">
        <is>
          <t>완경사</t>
        </is>
      </c>
      <c r="U409" s="3" t="inlineStr">
        <is>
          <t>부정형</t>
        </is>
      </c>
      <c r="V409" s="3" t="inlineStr">
        <is>
          <t>세로한면(불)</t>
        </is>
      </c>
    </row>
    <row r="410">
      <c r="A410" s="3" t="inlineStr">
        <is>
          <t>세종특별자치시 금남면 성강리 418</t>
        </is>
      </c>
      <c r="B410" s="3" t="inlineStr">
        <is>
          <t>생산관리지역</t>
        </is>
      </c>
      <c r="C410" s="3" t="inlineStr">
        <is>
          <t>답</t>
        </is>
      </c>
      <c r="D410" s="3" t="inlineStr">
        <is>
          <t>답</t>
        </is>
      </c>
      <c r="E410" s="3" t="inlineStr">
        <is>
          <t>매매</t>
        </is>
      </c>
      <c r="F410" s="4" t="n">
        <v>43500</v>
      </c>
      <c r="G410" s="4" t="n">
        <v>1795</v>
      </c>
      <c r="H410" s="4" t="n">
        <v>543</v>
      </c>
      <c r="I410" s="5" t="n">
        <v>80.09999999999999</v>
      </c>
      <c r="J410" s="4" t="n">
        <v>21.4</v>
      </c>
      <c r="K410" s="3" t="inlineStr">
        <is>
          <t>성강리 전원마을 진입도로 변 소하천을 접하고 있는 건축가능 토지</t>
        </is>
      </c>
      <c r="L410" s="6">
        <f>HYPERLINK("https://fin.land.naver.com/articles/2644606994", "매물Link")</f>
        <v/>
      </c>
      <c r="M410" s="6">
        <f>HYPERLINK("https://map.naver.com/p/search/세종특별자치시 금남면 성강리 418", "지도Link")</f>
        <v/>
      </c>
      <c r="N410" s="6">
        <f>HYPERLINK("http://www.eum.go.kr/web/ar/lu/luLandDet.jsp?pnu=3611034042104180000&amp;isNoScr=script&amp;mode=search", "토지이음")</f>
        <v/>
      </c>
      <c r="O410" s="3" t="inlineStr">
        <is>
          <t>하늘채</t>
        </is>
      </c>
      <c r="P410" s="3" t="n">
        <v>1</v>
      </c>
      <c r="Q410" s="3" t="n">
        <v>1795</v>
      </c>
      <c r="R410" s="3" t="inlineStr">
        <is>
          <t>지정되지않음</t>
        </is>
      </c>
      <c r="S410" s="3" t="inlineStr">
        <is>
          <t>전</t>
        </is>
      </c>
      <c r="T410" s="3" t="inlineStr">
        <is>
          <t>완경사</t>
        </is>
      </c>
      <c r="U410" s="3" t="inlineStr">
        <is>
          <t>부정형</t>
        </is>
      </c>
      <c r="V410" s="3" t="inlineStr">
        <is>
          <t>맹지</t>
        </is>
      </c>
    </row>
    <row r="411">
      <c r="A411" s="3" t="inlineStr">
        <is>
          <t>세종특별자치시 금남면 성강리 435</t>
        </is>
      </c>
      <c r="B411" s="3" t="inlineStr">
        <is>
          <t>생산관리지역</t>
        </is>
      </c>
      <c r="C411" s="3" t="inlineStr">
        <is>
          <t>전</t>
        </is>
      </c>
      <c r="D411" s="3" t="inlineStr">
        <is>
          <t>전</t>
        </is>
      </c>
      <c r="E411" s="3" t="inlineStr">
        <is>
          <t>매매</t>
        </is>
      </c>
      <c r="F411" s="4" t="n">
        <v>32300</v>
      </c>
      <c r="G411" s="4" t="n">
        <v>888</v>
      </c>
      <c r="H411" s="4" t="n">
        <v>269</v>
      </c>
      <c r="I411" s="5" t="n">
        <v>120.1</v>
      </c>
      <c r="J411" s="4" t="n">
        <v>25.6</v>
      </c>
      <c r="K411" s="3" t="inlineStr">
        <is>
          <t>전원주택에 텃밭가능 조용하며 경치좋은 땅 입니다</t>
        </is>
      </c>
      <c r="L411" s="6">
        <f>HYPERLINK("https://fin.land.naver.com/articles/2645841840", "매물Link")</f>
        <v/>
      </c>
      <c r="M411" s="6">
        <f>HYPERLINK("https://map.naver.com/p/search/세종특별자치시 금남면 성강리 435", "지도Link")</f>
        <v/>
      </c>
      <c r="N411" s="6">
        <f>HYPERLINK("http://www.eum.go.kr/web/ar/lu/luLandDet.jsp?pnu=3611034042104350000&amp;isNoScr=script&amp;mode=search", "토지이음")</f>
        <v/>
      </c>
      <c r="O411" s="3" t="inlineStr">
        <is>
          <t>대평황금</t>
        </is>
      </c>
      <c r="P411" s="3" t="n">
        <v>1</v>
      </c>
      <c r="Q411" s="3" t="n">
        <v>888</v>
      </c>
      <c r="R411" s="3" t="inlineStr">
        <is>
          <t>지정되지않음</t>
        </is>
      </c>
      <c r="S411" s="3" t="inlineStr">
        <is>
          <t>전</t>
        </is>
      </c>
      <c r="T411" s="3" t="inlineStr">
        <is>
          <t>완경사</t>
        </is>
      </c>
      <c r="U411" s="3" t="inlineStr">
        <is>
          <t>부정형</t>
        </is>
      </c>
      <c r="V411" s="3" t="inlineStr">
        <is>
          <t>세로한면(가)</t>
        </is>
      </c>
    </row>
    <row r="412">
      <c r="A412" s="3" t="inlineStr">
        <is>
          <t>세종특별자치시 금남면 성강리 456</t>
        </is>
      </c>
      <c r="B412" s="3" t="inlineStr">
        <is>
          <t>생산관리지역</t>
        </is>
      </c>
      <c r="C412" s="3" t="inlineStr">
        <is>
          <t>전</t>
        </is>
      </c>
      <c r="D412" s="3" t="inlineStr">
        <is>
          <t>전</t>
        </is>
      </c>
      <c r="E412" s="3" t="inlineStr">
        <is>
          <t>매매</t>
        </is>
      </c>
      <c r="F412" s="4" t="n">
        <v>20000</v>
      </c>
      <c r="G412" s="4" t="n">
        <v>426</v>
      </c>
      <c r="H412" s="4" t="n">
        <v>129</v>
      </c>
      <c r="I412" s="5" t="n">
        <v>155</v>
      </c>
      <c r="J412" s="4" t="n">
        <v>25.6</v>
      </c>
      <c r="K412" s="3" t="inlineStr">
        <is>
          <t>비닐하우스, 조경수식재,  정비잘되어있는 토지입니다.</t>
        </is>
      </c>
      <c r="L412" s="6">
        <f>HYPERLINK("https://fin.land.naver.com/articles/2645364915", "매물Link")</f>
        <v/>
      </c>
      <c r="M412" s="6">
        <f>HYPERLINK("https://map.naver.com/p/search/세종특별자치시 금남면 성강리 456", "지도Link")</f>
        <v/>
      </c>
      <c r="N412" s="6">
        <f>HYPERLINK("http://www.eum.go.kr/web/ar/lu/luLandDet.jsp?pnu=3611034042104560000&amp;isNoScr=script&amp;mode=search", "토지이음")</f>
        <v/>
      </c>
      <c r="O412" s="3" t="inlineStr">
        <is>
          <t>이담</t>
        </is>
      </c>
      <c r="P412" s="3" t="n">
        <v>1</v>
      </c>
      <c r="Q412" s="3" t="n">
        <v>426</v>
      </c>
      <c r="R412" s="3" t="inlineStr">
        <is>
          <t>지정되지않음</t>
        </is>
      </c>
      <c r="S412" s="3" t="inlineStr">
        <is>
          <t>전</t>
        </is>
      </c>
      <c r="T412" s="3" t="inlineStr">
        <is>
          <t>완경사</t>
        </is>
      </c>
      <c r="U412" s="3" t="inlineStr">
        <is>
          <t>부정형</t>
        </is>
      </c>
      <c r="V412" s="3" t="inlineStr">
        <is>
          <t>세로한면(가)</t>
        </is>
      </c>
    </row>
    <row r="413">
      <c r="A413" s="3" t="inlineStr">
        <is>
          <t>세종특별자치시 금남면 성덕리 170</t>
        </is>
      </c>
      <c r="B413" s="3" t="inlineStr">
        <is>
          <t>생산관리지역</t>
        </is>
      </c>
      <c r="C413" s="3" t="inlineStr">
        <is>
          <t>전</t>
        </is>
      </c>
      <c r="D413" s="3" t="inlineStr">
        <is>
          <t>전</t>
        </is>
      </c>
      <c r="E413" s="3" t="inlineStr">
        <is>
          <t>매매</t>
        </is>
      </c>
      <c r="F413" s="4" t="n">
        <v>100800</v>
      </c>
      <c r="G413" s="4" t="n">
        <v>1851</v>
      </c>
      <c r="H413" s="4" t="n">
        <v>560</v>
      </c>
      <c r="I413" s="5" t="n">
        <v>180</v>
      </c>
      <c r="J413" s="4" t="n">
        <v>69.09999999999999</v>
      </c>
      <c r="K413" s="3" t="inlineStr">
        <is>
          <t>세종시 초인접 성덕리 토지, 건축가능, 개발여지 많은 토지</t>
        </is>
      </c>
      <c r="L413" s="6">
        <f>HYPERLINK("https://fin.land.naver.com/articles/2645605783", "매물Link")</f>
        <v/>
      </c>
      <c r="M413" s="6">
        <f>HYPERLINK("https://map.naver.com/p/search/세종특별자치시 금남면 성덕리 170", "지도Link")</f>
        <v/>
      </c>
      <c r="N413" s="6">
        <f>HYPERLINK("http://www.eum.go.kr/web/ar/lu/luLandDet.jsp?pnu=3611034040101700000&amp;isNoScr=script&amp;mode=search", "토지이음")</f>
        <v/>
      </c>
      <c r="O413" s="3" t="inlineStr">
        <is>
          <t>미스터홈즈강남지사</t>
        </is>
      </c>
      <c r="P413" s="3" t="n">
        <v>1</v>
      </c>
      <c r="Q413" s="3" t="n">
        <v>1851</v>
      </c>
      <c r="R413" s="3" t="inlineStr">
        <is>
          <t>지정되지않음</t>
        </is>
      </c>
      <c r="S413" s="3" t="inlineStr">
        <is>
          <t>전</t>
        </is>
      </c>
      <c r="T413" s="3" t="inlineStr">
        <is>
          <t>완경사</t>
        </is>
      </c>
      <c r="U413" s="3" t="inlineStr">
        <is>
          <t>가로장방</t>
        </is>
      </c>
      <c r="V413" s="3" t="inlineStr">
        <is>
          <t>세로각지(가)</t>
        </is>
      </c>
    </row>
    <row r="414">
      <c r="A414" s="3" t="inlineStr">
        <is>
          <t>세종특별자치시 금남면 성덕리 171</t>
        </is>
      </c>
      <c r="B414" s="3" t="inlineStr">
        <is>
          <t>생산관리지역</t>
        </is>
      </c>
      <c r="C414" s="3" t="inlineStr">
        <is>
          <t>전</t>
        </is>
      </c>
      <c r="D414" s="3" t="inlineStr">
        <is>
          <t>전</t>
        </is>
      </c>
      <c r="E414" s="3" t="inlineStr">
        <is>
          <t>매매</t>
        </is>
      </c>
      <c r="F414" s="4" t="n">
        <v>90000</v>
      </c>
      <c r="G414" s="4" t="n">
        <v>1746</v>
      </c>
      <c r="H414" s="4" t="n">
        <v>528</v>
      </c>
      <c r="I414" s="5" t="n">
        <v>170.5</v>
      </c>
      <c r="J414" s="4" t="n">
        <v>75.7</v>
      </c>
      <c r="K414" s="3" t="inlineStr">
        <is>
          <t>세종시 금남면 성덕리 토지</t>
        </is>
      </c>
      <c r="L414" s="6">
        <f>HYPERLINK("https://fin.land.naver.com/articles/2648106741", "매물Link")</f>
        <v/>
      </c>
      <c r="M414" s="6">
        <f>HYPERLINK("https://map.naver.com/p/search/세종특별자치시 금남면 성덕리 171", "지도Link")</f>
        <v/>
      </c>
      <c r="N414" s="6">
        <f>HYPERLINK("http://www.eum.go.kr/web/ar/lu/luLandDet.jsp?pnu=3611034040101710000&amp;isNoScr=script&amp;mode=search", "토지이음")</f>
        <v/>
      </c>
      <c r="O414" s="3" t="inlineStr">
        <is>
          <t>오송이가</t>
        </is>
      </c>
      <c r="P414" s="3" t="n">
        <v>1</v>
      </c>
      <c r="Q414" s="3" t="n">
        <v>509</v>
      </c>
      <c r="R414" s="3" t="inlineStr">
        <is>
          <t>지정되지않음</t>
        </is>
      </c>
      <c r="S414" s="3" t="inlineStr">
        <is>
          <t>답</t>
        </is>
      </c>
      <c r="T414" s="3" t="inlineStr">
        <is>
          <t>완경사</t>
        </is>
      </c>
      <c r="U414" s="3" t="inlineStr">
        <is>
          <t>사다리형</t>
        </is>
      </c>
      <c r="V414" s="3" t="inlineStr">
        <is>
          <t>세로한면(가)</t>
        </is>
      </c>
    </row>
    <row r="415">
      <c r="A415" s="3" t="inlineStr">
        <is>
          <t>세종특별자치시 금남면 성덕리 195</t>
        </is>
      </c>
      <c r="B415" s="3" t="inlineStr">
        <is>
          <t>계획관리지역</t>
        </is>
      </c>
      <c r="C415" s="3" t="inlineStr">
        <is>
          <t>대</t>
        </is>
      </c>
      <c r="D415" s="3" t="inlineStr">
        <is>
          <t>대</t>
        </is>
      </c>
      <c r="E415" s="3" t="inlineStr">
        <is>
          <t>매매</t>
        </is>
      </c>
      <c r="F415" s="4" t="n">
        <v>274000</v>
      </c>
      <c r="G415" s="4" t="n">
        <v>3629</v>
      </c>
      <c r="H415" s="4" t="n">
        <v>1098</v>
      </c>
      <c r="I415" s="5" t="n">
        <v>249.5</v>
      </c>
      <c r="J415" s="4" t="n">
        <v>134.8</v>
      </c>
      <c r="K415" s="3" t="inlineStr">
        <is>
          <t>계획관리지역 대지와답 분할매매가능</t>
        </is>
      </c>
      <c r="L415" s="6">
        <f>HYPERLINK("https://fin.land.naver.com/articles/2644028902", "매물Link")</f>
        <v/>
      </c>
      <c r="M415" s="6">
        <f>HYPERLINK("https://map.naver.com/p/search/세종특별자치시 금남면 성덕리 195", "지도Link")</f>
        <v/>
      </c>
      <c r="N415" s="6">
        <f>HYPERLINK("http://www.eum.go.kr/web/ar/lu/luLandDet.jsp?pnu=3611034040101950000&amp;isNoScr=script&amp;mode=search", "토지이음")</f>
        <v/>
      </c>
      <c r="O415" s="3" t="inlineStr">
        <is>
          <t>열린</t>
        </is>
      </c>
      <c r="P415" s="3" t="n">
        <v>1</v>
      </c>
      <c r="Q415" s="3" t="n">
        <v>470</v>
      </c>
      <c r="R415" s="3" t="inlineStr">
        <is>
          <t>지정되지않음</t>
        </is>
      </c>
      <c r="S415" s="3" t="inlineStr">
        <is>
          <t>단독</t>
        </is>
      </c>
      <c r="T415" s="3" t="inlineStr">
        <is>
          <t>평지</t>
        </is>
      </c>
      <c r="U415" s="3" t="inlineStr">
        <is>
          <t>부정형</t>
        </is>
      </c>
      <c r="V415" s="3" t="inlineStr">
        <is>
          <t>세로한면(가)</t>
        </is>
      </c>
    </row>
    <row r="416">
      <c r="A416" s="3" t="inlineStr">
        <is>
          <t>세종특별자치시 금남면 성덕리 197</t>
        </is>
      </c>
      <c r="B416" s="3" t="inlineStr">
        <is>
          <t>계획관리지역</t>
        </is>
      </c>
      <c r="C416" s="3" t="inlineStr">
        <is>
          <t>답</t>
        </is>
      </c>
      <c r="D416" s="3" t="inlineStr">
        <is>
          <t>대</t>
        </is>
      </c>
      <c r="E416" s="3" t="inlineStr">
        <is>
          <t>매매</t>
        </is>
      </c>
      <c r="F416" s="4" t="n">
        <v>274000</v>
      </c>
      <c r="G416" s="4" t="n">
        <v>3629</v>
      </c>
      <c r="H416" s="4" t="n">
        <v>1098</v>
      </c>
      <c r="I416" s="5" t="n">
        <v>249.5</v>
      </c>
      <c r="J416" s="4" t="n">
        <v>106.7</v>
      </c>
      <c r="K416" s="3" t="inlineStr">
        <is>
          <t>삼면이 도로에접한 남향 토지,전과 대지3필지,분할매매가능,차량진입가능,</t>
        </is>
      </c>
      <c r="L416" s="6">
        <f>HYPERLINK("https://fin.land.naver.com/articles/2644112802", "매물Link")</f>
        <v/>
      </c>
      <c r="M416" s="6">
        <f>HYPERLINK("https://map.naver.com/p/search/세종특별자치시 금남면 성덕리 197", "지도Link")</f>
        <v/>
      </c>
      <c r="N416" s="6">
        <f>HYPERLINK("http://www.eum.go.kr/web/ar/lu/luLandDet.jsp?pnu=3611034040101970000&amp;isNoScr=script&amp;mode=search", "토지이음")</f>
        <v/>
      </c>
      <c r="O416" s="3" t="inlineStr">
        <is>
          <t>담뜰</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세종특별자치시 금남면 성덕리 197</t>
        </is>
      </c>
      <c r="B417" s="3" t="inlineStr">
        <is>
          <t>계획관리지역</t>
        </is>
      </c>
      <c r="C417" s="3" t="inlineStr">
        <is>
          <t>답</t>
        </is>
      </c>
      <c r="D417" s="3" t="inlineStr">
        <is>
          <t>답</t>
        </is>
      </c>
      <c r="E417" s="3" t="inlineStr">
        <is>
          <t>매매</t>
        </is>
      </c>
      <c r="F417" s="4" t="n">
        <v>274000</v>
      </c>
      <c r="G417" s="4" t="n">
        <v>3629</v>
      </c>
      <c r="H417" s="4" t="n">
        <v>1098</v>
      </c>
      <c r="I417" s="5" t="n">
        <v>249.5</v>
      </c>
      <c r="J417" s="4" t="n">
        <v>106.7</v>
      </c>
      <c r="K417" s="3" t="inlineStr">
        <is>
          <t>사진.유.도로.농로접.계획관리지역.대전.30분이내.투자.강력추천</t>
        </is>
      </c>
      <c r="L417" s="6">
        <f>HYPERLINK("https://fin.land.naver.com/articles/2644594128", "매물Link")</f>
        <v/>
      </c>
      <c r="M417" s="6">
        <f>HYPERLINK("https://map.naver.com/p/search/세종특별자치시 금남면 성덕리 197", "지도Link")</f>
        <v/>
      </c>
      <c r="N417" s="6">
        <f>HYPERLINK("http://www.eum.go.kr/web/ar/lu/luLandDet.jsp?pnu=3611034040101970000&amp;isNoScr=script&amp;mode=search", "토지이음")</f>
        <v/>
      </c>
      <c r="O417" s="3" t="inlineStr">
        <is>
          <t>명작</t>
        </is>
      </c>
      <c r="P417" s="3" t="n">
        <v>1</v>
      </c>
      <c r="Q417" s="3" t="n">
        <v>3014</v>
      </c>
      <c r="R417" s="3" t="inlineStr">
        <is>
          <t>지정되지않음</t>
        </is>
      </c>
      <c r="S417" s="3" t="inlineStr">
        <is>
          <t>답</t>
        </is>
      </c>
      <c r="T417" s="3" t="inlineStr">
        <is>
          <t>완경사</t>
        </is>
      </c>
      <c r="U417" s="3" t="inlineStr">
        <is>
          <t>사다리형</t>
        </is>
      </c>
      <c r="V417" s="3" t="inlineStr">
        <is>
          <t>세로한면(가)</t>
        </is>
      </c>
    </row>
    <row r="418">
      <c r="A418" s="3" t="inlineStr">
        <is>
          <t>세종특별자치시 금남면 성덕리 200-2</t>
        </is>
      </c>
      <c r="B418" s="3" t="inlineStr">
        <is>
          <t>보전관리지역</t>
        </is>
      </c>
      <c r="C418" s="3" t="inlineStr">
        <is>
          <t>전</t>
        </is>
      </c>
      <c r="D418" s="3" t="inlineStr">
        <is>
          <t>전</t>
        </is>
      </c>
      <c r="E418" s="3" t="inlineStr">
        <is>
          <t>매매</t>
        </is>
      </c>
      <c r="F418" s="4" t="n">
        <v>100000</v>
      </c>
      <c r="G418" s="4" t="n">
        <v>1339</v>
      </c>
      <c r="H418" s="4" t="n">
        <v>405</v>
      </c>
      <c r="I418" s="5" t="n">
        <v>246.9</v>
      </c>
      <c r="J418" s="4" t="n">
        <v>65</v>
      </c>
      <c r="K418" s="3" t="inlineStr">
        <is>
          <t>nan</t>
        </is>
      </c>
      <c r="L418" s="6">
        <f>HYPERLINK("https://fin.land.naver.com/articles/2645276397", "매물Link")</f>
        <v/>
      </c>
      <c r="M418" s="6">
        <f>HYPERLINK("https://map.naver.com/p/search/세종특별자치시 금남면 성덕리 200-2", "지도Link")</f>
        <v/>
      </c>
      <c r="N418" s="6">
        <f>HYPERLINK("http://www.eum.go.kr/web/ar/lu/luLandDet.jsp?pnu=3611034040102000002&amp;isNoScr=script&amp;mode=search", "토지이음")</f>
        <v/>
      </c>
      <c r="O418" s="3" t="inlineStr">
        <is>
          <t>부엉이</t>
        </is>
      </c>
      <c r="P418" s="3" t="n">
        <v>1</v>
      </c>
      <c r="Q418" s="3" t="n">
        <v>1339</v>
      </c>
      <c r="R418" s="3" t="inlineStr">
        <is>
          <t>지정되지않음</t>
        </is>
      </c>
      <c r="S418" s="3" t="inlineStr">
        <is>
          <t>전</t>
        </is>
      </c>
      <c r="T418" s="3" t="inlineStr">
        <is>
          <t>완경사</t>
        </is>
      </c>
      <c r="U418" s="3" t="inlineStr">
        <is>
          <t>부정형</t>
        </is>
      </c>
      <c r="V418" s="3" t="inlineStr">
        <is>
          <t>세로한면(가)</t>
        </is>
      </c>
    </row>
    <row r="419">
      <c r="A419" s="3" t="inlineStr">
        <is>
          <t>세종특별자치시 금남면 성덕리 205</t>
        </is>
      </c>
      <c r="B419" s="3" t="inlineStr">
        <is>
          <t>보전관리지역</t>
        </is>
      </c>
      <c r="C419" s="3" t="inlineStr">
        <is>
          <t>전</t>
        </is>
      </c>
      <c r="D419" s="3" t="inlineStr">
        <is>
          <t>전</t>
        </is>
      </c>
      <c r="E419" s="3" t="inlineStr">
        <is>
          <t>매매</t>
        </is>
      </c>
      <c r="F419" s="4" t="n">
        <v>52500</v>
      </c>
      <c r="G419" s="4" t="n">
        <v>968</v>
      </c>
      <c r="H419" s="4" t="n">
        <v>293</v>
      </c>
      <c r="I419" s="5" t="n">
        <v>179.2</v>
      </c>
      <c r="J419" s="4" t="n">
        <v>65</v>
      </c>
      <c r="K419" s="3" t="inlineStr">
        <is>
          <t>200p대 분할급매매 세종 신도시 접경지 개발호재지 도로접</t>
        </is>
      </c>
      <c r="L419" s="6">
        <f>HYPERLINK("https://fin.land.naver.com/articles/2646384352", "매물Link")</f>
        <v/>
      </c>
      <c r="M419" s="6">
        <f>HYPERLINK("https://map.naver.com/p/search/세종특별자치시 금남면 성덕리 205", "지도Link")</f>
        <v/>
      </c>
      <c r="N419" s="6">
        <f>HYPERLINK("http://www.eum.go.kr/web/ar/lu/luLandDet.jsp?pnu=3611034040102050000&amp;isNoScr=script&amp;mode=search", "토지이음")</f>
        <v/>
      </c>
      <c r="O419" s="3" t="inlineStr">
        <is>
          <t>세종강남</t>
        </is>
      </c>
      <c r="P419" s="3" t="n">
        <v>1</v>
      </c>
      <c r="Q419" s="3" t="n">
        <v>1936</v>
      </c>
      <c r="R419" s="3" t="inlineStr">
        <is>
          <t>지정되지않음</t>
        </is>
      </c>
      <c r="S419" s="3" t="inlineStr">
        <is>
          <t>전</t>
        </is>
      </c>
      <c r="T419" s="3" t="inlineStr">
        <is>
          <t>완경사</t>
        </is>
      </c>
      <c r="U419" s="3" t="inlineStr">
        <is>
          <t>부정형</t>
        </is>
      </c>
      <c r="V419" s="3" t="inlineStr">
        <is>
          <t>세로한면(가)</t>
        </is>
      </c>
    </row>
    <row r="420">
      <c r="A420" s="3" t="inlineStr">
        <is>
          <t>세종특별자치시 금남면 성덕리 290-1</t>
        </is>
      </c>
      <c r="B420" s="3" t="inlineStr">
        <is>
          <t>보전관리지역</t>
        </is>
      </c>
      <c r="C420" s="3" t="inlineStr">
        <is>
          <t>전</t>
        </is>
      </c>
      <c r="D420" s="3" t="inlineStr">
        <is>
          <t>전</t>
        </is>
      </c>
      <c r="E420" s="3" t="inlineStr">
        <is>
          <t>매매</t>
        </is>
      </c>
      <c r="F420" s="4" t="n">
        <v>100000</v>
      </c>
      <c r="G420" s="4" t="n">
        <v>1091</v>
      </c>
      <c r="H420" s="4" t="n">
        <v>330</v>
      </c>
      <c r="I420" s="5" t="n">
        <v>303</v>
      </c>
      <c r="J420" s="4" t="n">
        <v>69.7</v>
      </c>
      <c r="K420" s="3" t="inlineStr">
        <is>
          <t>대전 세종 접근성 좋은  세종시청 10분이내 활용도 높은 토지</t>
        </is>
      </c>
      <c r="L420" s="6">
        <f>HYPERLINK("https://fin.land.naver.com/articles/2646143507", "매물Link")</f>
        <v/>
      </c>
      <c r="M420" s="6">
        <f>HYPERLINK("https://map.naver.com/p/search/세종특별자치시 금남면 성덕리 290-1", "지도Link")</f>
        <v/>
      </c>
      <c r="N420" s="6">
        <f>HYPERLINK("http://www.eum.go.kr/web/ar/lu/luLandDet.jsp?pnu=3611034040102900001&amp;isNoScr=script&amp;mode=search", "토지이음")</f>
        <v/>
      </c>
      <c r="O420" s="3" t="inlineStr">
        <is>
          <t>새롬삼둥이</t>
        </is>
      </c>
      <c r="P420" s="3" t="n">
        <v>1</v>
      </c>
      <c r="Q420" s="3" t="n">
        <v>1091</v>
      </c>
      <c r="R420" s="3" t="inlineStr">
        <is>
          <t>지정되지않음</t>
        </is>
      </c>
      <c r="S420" s="3" t="inlineStr">
        <is>
          <t>전</t>
        </is>
      </c>
      <c r="T420" s="3" t="inlineStr">
        <is>
          <t>완경사</t>
        </is>
      </c>
      <c r="U420" s="3" t="inlineStr">
        <is>
          <t>부정형</t>
        </is>
      </c>
      <c r="V420" s="3" t="inlineStr">
        <is>
          <t>세로한면(가)</t>
        </is>
      </c>
    </row>
    <row r="421">
      <c r="A421" s="3" t="inlineStr">
        <is>
          <t>세종특별자치시 금남면 성덕리 311-26</t>
        </is>
      </c>
      <c r="B421" s="3" t="inlineStr">
        <is>
          <t>보전관리지역</t>
        </is>
      </c>
      <c r="C421" s="3" t="inlineStr">
        <is>
          <t>임야</t>
        </is>
      </c>
      <c r="D421" s="3" t="inlineStr">
        <is>
          <t>임야</t>
        </is>
      </c>
      <c r="E421" s="3" t="inlineStr">
        <is>
          <t>매매</t>
        </is>
      </c>
      <c r="F421" s="4" t="n">
        <v>31200</v>
      </c>
      <c r="G421" s="4" t="n">
        <v>382</v>
      </c>
      <c r="H421" s="4" t="n">
        <v>116</v>
      </c>
      <c r="I421" s="5" t="n">
        <v>269</v>
      </c>
      <c r="J421" s="4" t="n">
        <v>115</v>
      </c>
      <c r="K421" s="3" t="inlineStr">
        <is>
          <t>세종시 15분이내 전원주택지로 대전 접근성도 좋습니다</t>
        </is>
      </c>
      <c r="L421" s="6">
        <f>HYPERLINK("https://fin.land.naver.com/articles/2645602568", "매물Link")</f>
        <v/>
      </c>
      <c r="M421" s="6">
        <f>HYPERLINK("https://map.naver.com/p/search/세종특별자치시 금남면 성덕리 311-26", "지도Link")</f>
        <v/>
      </c>
      <c r="N421" s="6">
        <f>HYPERLINK("http://www.eum.go.kr/web/ar/lu/luLandDet.jsp?pnu=3611034040103110026&amp;isNoScr=script&amp;mode=search", "토지이음")</f>
        <v/>
      </c>
      <c r="O421" s="3" t="inlineStr">
        <is>
          <t>미스터홈즈강남지사</t>
        </is>
      </c>
      <c r="P421" s="3" t="n">
        <v>1</v>
      </c>
      <c r="Q421" s="3" t="n">
        <v>382</v>
      </c>
      <c r="R421" s="3" t="inlineStr">
        <is>
          <t>지정되지않음</t>
        </is>
      </c>
      <c r="S421" s="3" t="inlineStr">
        <is>
          <t>주거나지</t>
        </is>
      </c>
      <c r="T421" s="3" t="inlineStr">
        <is>
          <t>완경사</t>
        </is>
      </c>
      <c r="U421" s="3" t="inlineStr">
        <is>
          <t>사다리형</t>
        </is>
      </c>
      <c r="V421" s="3" t="inlineStr">
        <is>
          <t>세로한면(가)</t>
        </is>
      </c>
    </row>
    <row r="422">
      <c r="A422" s="3" t="inlineStr">
        <is>
          <t>세종특별자치시 금남면 성덕리 311-27</t>
        </is>
      </c>
      <c r="B422" s="3" t="inlineStr">
        <is>
          <t>보전관리지역</t>
        </is>
      </c>
      <c r="C422" s="3" t="inlineStr">
        <is>
          <t>임야</t>
        </is>
      </c>
      <c r="D422" s="3" t="inlineStr">
        <is>
          <t>임야</t>
        </is>
      </c>
      <c r="E422" s="3" t="inlineStr">
        <is>
          <t>매매</t>
        </is>
      </c>
      <c r="F422" s="4" t="n">
        <v>36700</v>
      </c>
      <c r="G422" s="4" t="n">
        <v>449</v>
      </c>
      <c r="H422" s="4" t="n">
        <v>136</v>
      </c>
      <c r="I422" s="5" t="n">
        <v>269.9</v>
      </c>
      <c r="J422" s="4" t="n">
        <v>115</v>
      </c>
      <c r="K422" s="3" t="inlineStr">
        <is>
          <t>세종 대전 접근성 좋은 전원주택지, 남향이며 나란히 2필지 매수도 가능</t>
        </is>
      </c>
      <c r="L422" s="6">
        <f>HYPERLINK("https://fin.land.naver.com/articles/2645602435", "매물Link")</f>
        <v/>
      </c>
      <c r="M422" s="6">
        <f>HYPERLINK("https://map.naver.com/p/search/세종특별자치시 금남면 성덕리 311-27", "지도Link")</f>
        <v/>
      </c>
      <c r="N422" s="6">
        <f>HYPERLINK("http://www.eum.go.kr/web/ar/lu/luLandDet.jsp?pnu=3611034040103110027&amp;isNoScr=script&amp;mode=search", "토지이음")</f>
        <v/>
      </c>
      <c r="O422" s="3" t="inlineStr">
        <is>
          <t>미스터홈즈강남지사</t>
        </is>
      </c>
      <c r="P422" s="3" t="n">
        <v>1</v>
      </c>
      <c r="Q422" s="3" t="n">
        <v>449</v>
      </c>
      <c r="R422" s="3" t="inlineStr">
        <is>
          <t>지정되지않음</t>
        </is>
      </c>
      <c r="S422" s="3" t="inlineStr">
        <is>
          <t>주거나지</t>
        </is>
      </c>
      <c r="T422" s="3" t="inlineStr">
        <is>
          <t>완경사</t>
        </is>
      </c>
      <c r="U422" s="3" t="inlineStr">
        <is>
          <t>사다리형</t>
        </is>
      </c>
      <c r="V422" s="3" t="inlineStr">
        <is>
          <t>세로한면(가)</t>
        </is>
      </c>
    </row>
    <row r="423">
      <c r="A423" s="3" t="inlineStr">
        <is>
          <t>세종특별자치시 금남면 성덕리 406-1</t>
        </is>
      </c>
      <c r="B423" s="3" t="inlineStr">
        <is>
          <t>농림지역</t>
        </is>
      </c>
      <c r="C423" s="3" t="inlineStr">
        <is>
          <t>답</t>
        </is>
      </c>
      <c r="D423" s="3" t="inlineStr">
        <is>
          <t>답</t>
        </is>
      </c>
      <c r="E423" s="3" t="inlineStr">
        <is>
          <t>매매</t>
        </is>
      </c>
      <c r="F423" s="4" t="n">
        <v>31000</v>
      </c>
      <c r="G423" s="4" t="n">
        <v>1085</v>
      </c>
      <c r="H423" s="4" t="n">
        <v>328</v>
      </c>
      <c r="I423" s="5" t="n">
        <v>94.5</v>
      </c>
      <c r="J423" s="4" t="n">
        <v>48.2</v>
      </c>
      <c r="K423" s="3" t="inlineStr">
        <is>
          <t>마을 인접해 있는 토지로 투자가치 높습니다</t>
        </is>
      </c>
      <c r="L423" s="6">
        <f>HYPERLINK("https://fin.land.naver.com/articles/2649423823", "매물Link")</f>
        <v/>
      </c>
      <c r="M423" s="6">
        <f>HYPERLINK("https://map.naver.com/p/search/세종특별자치시 금남면 성덕리 406-1", "지도Link")</f>
        <v/>
      </c>
      <c r="N423" s="6">
        <f>HYPERLINK("http://www.eum.go.kr/web/ar/lu/luLandDet.jsp?pnu=3611034040104060001&amp;isNoScr=script&amp;mode=search", "토지이음")</f>
        <v/>
      </c>
      <c r="O423" s="3" t="inlineStr">
        <is>
          <t>한마루</t>
        </is>
      </c>
      <c r="P423" s="3" t="n">
        <v>1</v>
      </c>
      <c r="Q423" s="3" t="n">
        <v>1085</v>
      </c>
      <c r="R423" s="3" t="inlineStr">
        <is>
          <t>지정되지않음</t>
        </is>
      </c>
      <c r="S423" s="3" t="inlineStr">
        <is>
          <t>답</t>
        </is>
      </c>
      <c r="T423" s="3" t="inlineStr">
        <is>
          <t>평지</t>
        </is>
      </c>
      <c r="U423" s="3" t="inlineStr">
        <is>
          <t>부정형</t>
        </is>
      </c>
      <c r="V423" s="3" t="inlineStr">
        <is>
          <t>세로각지(가)</t>
        </is>
      </c>
    </row>
    <row r="424">
      <c r="A424" s="3" t="inlineStr">
        <is>
          <t>세종특별자치시 금남면 성덕리 456-3</t>
        </is>
      </c>
      <c r="B424" s="3" t="inlineStr">
        <is>
          <t>계획관리지역</t>
        </is>
      </c>
      <c r="C424" s="3" t="inlineStr">
        <is>
          <t>공장용지</t>
        </is>
      </c>
      <c r="D424" s="3" t="inlineStr">
        <is>
          <t>공장용지</t>
        </is>
      </c>
      <c r="E424" s="3" t="inlineStr">
        <is>
          <t>매매</t>
        </is>
      </c>
      <c r="F424" s="4" t="n">
        <v>3700000</v>
      </c>
      <c r="G424" s="4" t="n">
        <v>34948</v>
      </c>
      <c r="H424" s="4" t="n">
        <v>10572</v>
      </c>
      <c r="I424" s="5" t="n">
        <v>350</v>
      </c>
      <c r="J424" s="4" t="n">
        <v>123.9</v>
      </c>
      <c r="K424" s="3" t="inlineStr">
        <is>
          <t>시행개발지 추천. 금강조망 계획관리, 최고입지</t>
        </is>
      </c>
      <c r="L424" s="6">
        <f>HYPERLINK("https://fin.land.naver.com/articles/2645578837", "매물Link")</f>
        <v/>
      </c>
      <c r="M424" s="6">
        <f>HYPERLINK("https://map.naver.com/p/search/세종특별자치시 금남면 성덕리 456-3", "지도Link")</f>
        <v/>
      </c>
      <c r="N424" s="6">
        <f>HYPERLINK("http://www.eum.go.kr/web/ar/lu/luLandDet.jsp?pnu=3611034040104560003&amp;isNoScr=script&amp;mode=search", "토지이음")</f>
        <v/>
      </c>
      <c r="O424" s="3" t="inlineStr">
        <is>
          <t>미스터홈즈강남지사</t>
        </is>
      </c>
      <c r="P424" s="3" t="n">
        <v>1</v>
      </c>
      <c r="Q424" s="3" t="n">
        <v>5512</v>
      </c>
      <c r="R424" s="3" t="inlineStr">
        <is>
          <t>지정되지않음</t>
        </is>
      </c>
      <c r="S424" s="3" t="inlineStr">
        <is>
          <t>공업용</t>
        </is>
      </c>
      <c r="T424" s="3" t="inlineStr">
        <is>
          <t>평지</t>
        </is>
      </c>
      <c r="U424" s="3" t="inlineStr">
        <is>
          <t>부정형</t>
        </is>
      </c>
      <c r="V424" s="3" t="inlineStr">
        <is>
          <t>세로한면(가)</t>
        </is>
      </c>
    </row>
    <row r="425">
      <c r="A425" s="3" t="inlineStr">
        <is>
          <t>세종특별자치시 금남면 성덕리 465-1</t>
        </is>
      </c>
      <c r="B425" s="3" t="inlineStr">
        <is>
          <t>보전관리지역</t>
        </is>
      </c>
      <c r="C425" s="3" t="inlineStr">
        <is>
          <t>대</t>
        </is>
      </c>
      <c r="D425" s="3" t="inlineStr">
        <is>
          <t>대</t>
        </is>
      </c>
      <c r="E425" s="3" t="inlineStr">
        <is>
          <t>매매</t>
        </is>
      </c>
      <c r="F425" s="4" t="n">
        <v>63000</v>
      </c>
      <c r="G425" s="4" t="n">
        <v>745</v>
      </c>
      <c r="H425" s="4" t="n">
        <v>225</v>
      </c>
      <c r="I425" s="5" t="n">
        <v>280</v>
      </c>
      <c r="J425" s="4" t="n">
        <v>106</v>
      </c>
      <c r="K425" s="3" t="inlineStr">
        <is>
          <t>금남면 성덕리 금강조망뷰 최상전원주택지 투자용 적극추천</t>
        </is>
      </c>
      <c r="L425" s="6">
        <f>HYPERLINK("https://fin.land.naver.com/articles/2647780779", "매물Link")</f>
        <v/>
      </c>
      <c r="M425" s="6">
        <f>HYPERLINK("https://map.naver.com/p/search/세종특별자치시 금남면 성덕리 465-1", "지도Link")</f>
        <v/>
      </c>
      <c r="N425" s="6">
        <f>HYPERLINK("http://www.eum.go.kr/web/ar/lu/luLandDet.jsp?pnu=3611034040104650001&amp;isNoScr=script&amp;mode=search", "토지이음")</f>
        <v/>
      </c>
      <c r="O425" s="3" t="inlineStr">
        <is>
          <t>고운맘</t>
        </is>
      </c>
      <c r="P425" s="3" t="n">
        <v>1</v>
      </c>
      <c r="Q425" s="3" t="n">
        <v>575</v>
      </c>
      <c r="R425" s="3" t="inlineStr">
        <is>
          <t>지정되지않음</t>
        </is>
      </c>
      <c r="S425" s="3" t="inlineStr">
        <is>
          <t>단독</t>
        </is>
      </c>
      <c r="T425" s="3" t="inlineStr">
        <is>
          <t>완경사</t>
        </is>
      </c>
      <c r="U425" s="3" t="inlineStr">
        <is>
          <t>부정형</t>
        </is>
      </c>
      <c r="V425" s="3" t="inlineStr">
        <is>
          <t>세로한면(가)</t>
        </is>
      </c>
    </row>
    <row r="426">
      <c r="A426" s="3" t="inlineStr">
        <is>
          <t>세종특별자치시 금남면 성덕리 465-5</t>
        </is>
      </c>
      <c r="B426" s="3" t="inlineStr">
        <is>
          <t>보전관리지역</t>
        </is>
      </c>
      <c r="C426" s="3" t="inlineStr">
        <is>
          <t>전</t>
        </is>
      </c>
      <c r="D426" s="3" t="inlineStr">
        <is>
          <t>전</t>
        </is>
      </c>
      <c r="E426" s="3" t="inlineStr">
        <is>
          <t>매매</t>
        </is>
      </c>
      <c r="F426" s="4" t="n">
        <v>49000</v>
      </c>
      <c r="G426" s="4" t="n">
        <v>493</v>
      </c>
      <c r="H426" s="4" t="n">
        <v>149</v>
      </c>
      <c r="I426" s="5" t="n">
        <v>328.9</v>
      </c>
      <c r="J426" s="4" t="n">
        <v>65.3</v>
      </c>
      <c r="K426" s="3" t="inlineStr">
        <is>
          <t>가격협의,멀리 금강이 보이는 단독주택지로 추천</t>
        </is>
      </c>
      <c r="L426" s="6">
        <f>HYPERLINK("https://fin.land.naver.com/articles/2646381773", "매물Link")</f>
        <v/>
      </c>
      <c r="M426" s="6">
        <f>HYPERLINK("https://map.naver.com/p/search/세종특별자치시 금남면 성덕리 465-5", "지도Link")</f>
        <v/>
      </c>
      <c r="N426" s="6">
        <f>HYPERLINK("http://www.eum.go.kr/web/ar/lu/luLandDet.jsp?pnu=3611034040104650005&amp;isNoScr=script&amp;mode=search", "토지이음")</f>
        <v/>
      </c>
      <c r="O426" s="3" t="inlineStr">
        <is>
          <t>담뜰</t>
        </is>
      </c>
      <c r="P426" s="3" t="n">
        <v>1</v>
      </c>
      <c r="Q426" s="3" t="n">
        <v>493</v>
      </c>
      <c r="R426" s="3" t="inlineStr">
        <is>
          <t>지정되지않음</t>
        </is>
      </c>
      <c r="S426" s="3" t="inlineStr">
        <is>
          <t>전</t>
        </is>
      </c>
      <c r="T426" s="3" t="inlineStr">
        <is>
          <t>완경사</t>
        </is>
      </c>
      <c r="U426" s="3" t="inlineStr">
        <is>
          <t>부정형</t>
        </is>
      </c>
      <c r="V426" s="3" t="inlineStr">
        <is>
          <t>세로한면(가)</t>
        </is>
      </c>
    </row>
    <row r="427">
      <c r="A427" s="3" t="inlineStr">
        <is>
          <t>세종특별자치시 금남면 성덕리 54</t>
        </is>
      </c>
      <c r="B427" s="3" t="inlineStr">
        <is>
          <t>농림지역</t>
        </is>
      </c>
      <c r="C427" s="3" t="inlineStr">
        <is>
          <t>전</t>
        </is>
      </c>
      <c r="D427" s="3" t="inlineStr">
        <is>
          <t>전</t>
        </is>
      </c>
      <c r="E427" s="3" t="inlineStr">
        <is>
          <t>매매</t>
        </is>
      </c>
      <c r="F427" s="4" t="n">
        <v>104000</v>
      </c>
      <c r="G427" s="4" t="n">
        <v>2026</v>
      </c>
      <c r="H427" s="4" t="n">
        <v>613</v>
      </c>
      <c r="I427" s="5" t="n">
        <v>169.7</v>
      </c>
      <c r="J427" s="4" t="n">
        <v>52.7</v>
      </c>
      <c r="K427" s="3" t="inlineStr">
        <is>
          <t>2차선바로진입 가시성좋음 분할매매가능</t>
        </is>
      </c>
      <c r="L427" s="6">
        <f>HYPERLINK("https://fin.land.naver.com/articles/2647125812", "매물Link")</f>
        <v/>
      </c>
      <c r="M427" s="6">
        <f>HYPERLINK("https://map.naver.com/p/search/세종특별자치시 금남면 성덕리 54", "지도Link")</f>
        <v/>
      </c>
      <c r="N427" s="6">
        <f>HYPERLINK("http://www.eum.go.kr/web/ar/lu/luLandDet.jsp?pnu=3611034040100540000&amp;isNoScr=script&amp;mode=search", "토지이음")</f>
        <v/>
      </c>
      <c r="O427" s="3" t="inlineStr">
        <is>
          <t>세종스타</t>
        </is>
      </c>
      <c r="P427" s="3" t="n">
        <v>2</v>
      </c>
      <c r="Q427" s="3" t="n">
        <v>2026</v>
      </c>
      <c r="R427" s="3" t="inlineStr">
        <is>
          <t>지정되지않음</t>
        </is>
      </c>
      <c r="S427" s="3" t="inlineStr">
        <is>
          <t>전</t>
        </is>
      </c>
      <c r="T427" s="3" t="inlineStr">
        <is>
          <t>평지</t>
        </is>
      </c>
      <c r="U427" s="3" t="inlineStr">
        <is>
          <t>사다리형</t>
        </is>
      </c>
      <c r="V427" s="3" t="inlineStr">
        <is>
          <t>세로한면(가)</t>
        </is>
      </c>
    </row>
    <row r="428">
      <c r="A428" s="3" t="inlineStr">
        <is>
          <t>세종특별자치시 금남면 성덕리 87-4</t>
        </is>
      </c>
      <c r="B428" s="3" t="inlineStr">
        <is>
          <t>농림지역</t>
        </is>
      </c>
      <c r="C428" s="3" t="inlineStr">
        <is>
          <t>답</t>
        </is>
      </c>
      <c r="D428" s="3" t="inlineStr">
        <is>
          <t>답</t>
        </is>
      </c>
      <c r="E428" s="3" t="inlineStr">
        <is>
          <t>매매</t>
        </is>
      </c>
      <c r="F428" s="4" t="n">
        <v>21000</v>
      </c>
      <c r="G428" s="4" t="n">
        <v>395</v>
      </c>
      <c r="H428" s="4" t="n">
        <v>119</v>
      </c>
      <c r="I428" s="5" t="n">
        <v>176.5</v>
      </c>
      <c r="J428" s="4" t="n">
        <v>56</v>
      </c>
      <c r="K428" s="3" t="inlineStr">
        <is>
          <t>지분매각 1인지분</t>
        </is>
      </c>
      <c r="L428" s="6">
        <f>HYPERLINK("https://fin.land.naver.com/articles/2648302789", "매물Link")</f>
        <v/>
      </c>
      <c r="M428" s="6">
        <f>HYPERLINK("https://map.naver.com/p/search/세종특별자치시 금남면 성덕리 87-4", "지도Link")</f>
        <v/>
      </c>
      <c r="N428" s="6">
        <f>HYPERLINK("http://www.eum.go.kr/web/ar/lu/luLandDet.jsp?pnu=3611034040100870004&amp;isNoScr=script&amp;mode=search", "토지이음")</f>
        <v/>
      </c>
      <c r="O428" s="3" t="inlineStr">
        <is>
          <t>일등사무소</t>
        </is>
      </c>
      <c r="P428" s="3" t="n">
        <v>1</v>
      </c>
      <c r="Q428" s="3" t="n">
        <v>2373</v>
      </c>
      <c r="R428" s="3" t="inlineStr">
        <is>
          <t>지정되지않음</t>
        </is>
      </c>
      <c r="S428" s="3" t="inlineStr">
        <is>
          <t>답기타</t>
        </is>
      </c>
      <c r="T428" s="3" t="inlineStr">
        <is>
          <t>평지</t>
        </is>
      </c>
      <c r="U428" s="3" t="inlineStr">
        <is>
          <t>부정형</t>
        </is>
      </c>
      <c r="V428" s="3" t="inlineStr">
        <is>
          <t>소로각지</t>
        </is>
      </c>
    </row>
    <row r="429">
      <c r="A429" s="3" t="inlineStr">
        <is>
          <t>세종특별자치시 금남면 성덕리 99-4</t>
        </is>
      </c>
      <c r="B429" s="3" t="inlineStr">
        <is>
          <t>생산관리지역</t>
        </is>
      </c>
      <c r="C429" s="3" t="inlineStr">
        <is>
          <t>전</t>
        </is>
      </c>
      <c r="D429" s="3" t="inlineStr">
        <is>
          <t>전</t>
        </is>
      </c>
      <c r="E429" s="3" t="inlineStr">
        <is>
          <t>매매</t>
        </is>
      </c>
      <c r="F429" s="4" t="n">
        <v>35000</v>
      </c>
      <c r="G429" s="4" t="n">
        <v>941</v>
      </c>
      <c r="H429" s="4" t="n">
        <v>285</v>
      </c>
      <c r="I429" s="5" t="n">
        <v>122.8</v>
      </c>
      <c r="J429" s="4" t="n">
        <v>63.5</v>
      </c>
      <c r="K429" s="3" t="inlineStr">
        <is>
          <t>o급매o투자용으로 적합 시세대비 저렴</t>
        </is>
      </c>
      <c r="L429" s="6">
        <f>HYPERLINK("https://fin.land.naver.com/articles/2649151898", "매물Link")</f>
        <v/>
      </c>
      <c r="M429" s="6">
        <f>HYPERLINK("https://map.naver.com/p/search/세종특별자치시 금남면 성덕리 99-4", "지도Link")</f>
        <v/>
      </c>
      <c r="N429" s="6">
        <f>HYPERLINK("http://www.eum.go.kr/web/ar/lu/luLandDet.jsp?pnu=3611034040100990004&amp;isNoScr=script&amp;mode=search", "토지이음")</f>
        <v/>
      </c>
      <c r="O429" s="3" t="inlineStr">
        <is>
          <t>가치잇는</t>
        </is>
      </c>
      <c r="P429" s="3" t="n">
        <v>6</v>
      </c>
      <c r="Q429" s="3" t="n">
        <v>941</v>
      </c>
      <c r="R429" s="3" t="inlineStr">
        <is>
          <t>지정되지않음</t>
        </is>
      </c>
      <c r="S429" s="3" t="inlineStr">
        <is>
          <t>전</t>
        </is>
      </c>
      <c r="T429" s="3" t="inlineStr">
        <is>
          <t>완경사</t>
        </is>
      </c>
      <c r="U429" s="3" t="inlineStr">
        <is>
          <t>가로장방</t>
        </is>
      </c>
      <c r="V429" s="3" t="inlineStr">
        <is>
          <t>맹지</t>
        </is>
      </c>
    </row>
    <row r="430">
      <c r="A430" s="3" t="inlineStr">
        <is>
          <t>세종특별자치시 금남면 신촌리 112-10</t>
        </is>
      </c>
      <c r="B430" s="3" t="inlineStr">
        <is>
          <t>제1종일반주거지역</t>
        </is>
      </c>
      <c r="C430" s="3" t="inlineStr">
        <is>
          <t>전</t>
        </is>
      </c>
      <c r="D430" s="3" t="inlineStr">
        <is>
          <t>전</t>
        </is>
      </c>
      <c r="E430" s="3" t="inlineStr">
        <is>
          <t>매매</t>
        </is>
      </c>
      <c r="F430" s="4" t="n">
        <v>63700</v>
      </c>
      <c r="G430" s="4" t="n">
        <v>300</v>
      </c>
      <c r="H430" s="4" t="n">
        <v>91</v>
      </c>
      <c r="I430" s="5" t="n">
        <v>700</v>
      </c>
      <c r="J430" s="4" t="n">
        <v>293.5</v>
      </c>
      <c r="K430" s="3" t="inlineStr">
        <is>
          <t>급.세종시 신촌리 토지</t>
        </is>
      </c>
      <c r="L430" s="6">
        <f>HYPERLINK("https://fin.land.naver.com/articles/2645514406", "매물Link")</f>
        <v/>
      </c>
      <c r="M430" s="6">
        <f>HYPERLINK("https://map.naver.com/p/search/세종특별자치시 금남면 신촌리 112-10", "지도Link")</f>
        <v/>
      </c>
      <c r="N430" s="6">
        <f>HYPERLINK("http://www.eum.go.kr/web/ar/lu/luLandDet.jsp?pnu=3611034038101120010&amp;isNoScr=script&amp;mode=search", "토지이음")</f>
        <v/>
      </c>
      <c r="O430" s="3" t="inlineStr">
        <is>
          <t>강아지풀</t>
        </is>
      </c>
      <c r="P430" s="3" t="n">
        <v>1</v>
      </c>
      <c r="Q430" s="3" t="n">
        <v>300</v>
      </c>
      <c r="R430" s="3" t="inlineStr">
        <is>
          <t>지정되지않음</t>
        </is>
      </c>
      <c r="S430" s="3" t="inlineStr">
        <is>
          <t>주거나지</t>
        </is>
      </c>
      <c r="T430" s="3" t="inlineStr">
        <is>
          <t>평지</t>
        </is>
      </c>
      <c r="U430" s="3" t="inlineStr">
        <is>
          <t>부정형</t>
        </is>
      </c>
      <c r="V430" s="3" t="inlineStr">
        <is>
          <t>세로한면(가)</t>
        </is>
      </c>
    </row>
    <row r="431">
      <c r="A431" s="3" t="inlineStr">
        <is>
          <t>세종특별자치시 금남면 신촌리 126-1</t>
        </is>
      </c>
      <c r="B431" s="3" t="inlineStr">
        <is>
          <t>제1종일반주거지역</t>
        </is>
      </c>
      <c r="C431" s="3" t="inlineStr">
        <is>
          <t>대</t>
        </is>
      </c>
      <c r="D431" s="3" t="inlineStr">
        <is>
          <t>대</t>
        </is>
      </c>
      <c r="E431" s="3" t="inlineStr">
        <is>
          <t>매매</t>
        </is>
      </c>
      <c r="F431" s="4" t="n">
        <v>84000</v>
      </c>
      <c r="G431" s="4" t="n">
        <v>277</v>
      </c>
      <c r="H431" s="4" t="n">
        <v>84</v>
      </c>
      <c r="I431" s="5" t="n">
        <v>1000</v>
      </c>
      <c r="J431" s="4" t="n">
        <v>312.4</v>
      </c>
      <c r="K431" s="3" t="inlineStr">
        <is>
          <t>금남초 라인 귀한 토지. 세종시 생활권 접근성 우수. 귀한 원주민토지</t>
        </is>
      </c>
      <c r="L431" s="6">
        <f>HYPERLINK("https://fin.land.naver.com/articles/2646457876", "매물Link")</f>
        <v/>
      </c>
      <c r="M431" s="6">
        <f>HYPERLINK("https://map.naver.com/p/search/세종특별자치시 금남면 신촌리 126-1", "지도Link")</f>
        <v/>
      </c>
      <c r="N431" s="6">
        <f>HYPERLINK("http://www.eum.go.kr/web/ar/lu/luLandDet.jsp?pnu=3611034038101260001&amp;isNoScr=script&amp;mode=search", "토지이음")</f>
        <v/>
      </c>
      <c r="O431" s="3" t="inlineStr">
        <is>
          <t>세종금밭</t>
        </is>
      </c>
      <c r="P431" s="3" t="n">
        <v>2</v>
      </c>
      <c r="Q431" s="3" t="n">
        <v>257</v>
      </c>
      <c r="R431" s="3" t="inlineStr">
        <is>
          <t>지정되지않음</t>
        </is>
      </c>
      <c r="S431" s="3" t="inlineStr">
        <is>
          <t>단독</t>
        </is>
      </c>
      <c r="T431" s="3" t="inlineStr">
        <is>
          <t>평지</t>
        </is>
      </c>
      <c r="U431" s="3" t="inlineStr">
        <is>
          <t>사다리형</t>
        </is>
      </c>
      <c r="V431" s="3" t="inlineStr">
        <is>
          <t>세로한면(가)</t>
        </is>
      </c>
    </row>
    <row r="432">
      <c r="A432" s="3" t="inlineStr">
        <is>
          <t>세종특별자치시 금남면 신촌리 25</t>
        </is>
      </c>
      <c r="B432" s="3" t="inlineStr">
        <is>
          <t>자연녹지지역</t>
        </is>
      </c>
      <c r="C432" s="3" t="inlineStr">
        <is>
          <t>대</t>
        </is>
      </c>
      <c r="D432" s="3" t="inlineStr">
        <is>
          <t>대</t>
        </is>
      </c>
      <c r="E432" s="3" t="inlineStr">
        <is>
          <t>매매</t>
        </is>
      </c>
      <c r="F432" s="4" t="n">
        <v>60000</v>
      </c>
      <c r="G432" s="4" t="n">
        <v>655</v>
      </c>
      <c r="H432" s="4" t="n">
        <v>198</v>
      </c>
      <c r="I432" s="5" t="n">
        <v>303</v>
      </c>
      <c r="J432" s="4" t="n">
        <v>149.4</v>
      </c>
      <c r="K432" s="3" t="inlineStr">
        <is>
          <t>세종시청접근용이 전원주택부지로 적합합니다</t>
        </is>
      </c>
      <c r="L432" s="6">
        <f>HYPERLINK("https://fin.land.naver.com/articles/2647315633", "매물Link")</f>
        <v/>
      </c>
      <c r="M432" s="6">
        <f>HYPERLINK("https://map.naver.com/p/search/세종특별자치시 금남면 신촌리 25", "지도Link")</f>
        <v/>
      </c>
      <c r="N432" s="6">
        <f>HYPERLINK("http://www.eum.go.kr/web/ar/lu/luLandDet.jsp?pnu=3611034038100250000&amp;isNoScr=script&amp;mode=search", "토지이음")</f>
        <v/>
      </c>
      <c r="O432" s="3" t="inlineStr">
        <is>
          <t>명성</t>
        </is>
      </c>
      <c r="P432" s="3" t="n">
        <v>1</v>
      </c>
      <c r="Q432" s="3" t="n">
        <v>655</v>
      </c>
      <c r="R432" s="3" t="inlineStr">
        <is>
          <t>지정되지않음</t>
        </is>
      </c>
      <c r="S432" s="3" t="inlineStr">
        <is>
          <t>주거나지</t>
        </is>
      </c>
      <c r="T432" s="3" t="inlineStr">
        <is>
          <t>완경사</t>
        </is>
      </c>
      <c r="U432" s="3" t="inlineStr">
        <is>
          <t>사다리형</t>
        </is>
      </c>
      <c r="V432" s="3" t="inlineStr">
        <is>
          <t>세로한면(가)</t>
        </is>
      </c>
    </row>
    <row r="433">
      <c r="A433" s="3" t="inlineStr">
        <is>
          <t>세종특별자치시 금남면 신촌리 27</t>
        </is>
      </c>
      <c r="B433" s="3" t="inlineStr">
        <is>
          <t>자연녹지지역</t>
        </is>
      </c>
      <c r="C433" s="3" t="inlineStr">
        <is>
          <t>대</t>
        </is>
      </c>
      <c r="D433" s="3" t="inlineStr">
        <is>
          <t>대</t>
        </is>
      </c>
      <c r="E433" s="3" t="inlineStr">
        <is>
          <t>매매</t>
        </is>
      </c>
      <c r="F433" s="4" t="n">
        <v>59000</v>
      </c>
      <c r="G433" s="4" t="n">
        <v>851</v>
      </c>
      <c r="H433" s="4" t="n">
        <v>257</v>
      </c>
      <c r="I433" s="5" t="n">
        <v>229.6</v>
      </c>
      <c r="J433" s="4" t="n">
        <v>144.9</v>
      </c>
      <c r="K433" s="3" t="inlineStr">
        <is>
          <t>3,4생활권 바로 인근 용포리 시장  도보가능한 집터입니다.급매</t>
        </is>
      </c>
      <c r="L433" s="6">
        <f>HYPERLINK("https://fin.land.naver.com/articles/2647836878", "매물Link")</f>
        <v/>
      </c>
      <c r="M433" s="6">
        <f>HYPERLINK("https://map.naver.com/p/search/세종특별자치시 금남면 신촌리 27", "지도Link")</f>
        <v/>
      </c>
      <c r="N433" s="6">
        <f>HYPERLINK("http://www.eum.go.kr/web/ar/lu/luLandDet.jsp?pnu=3611034038100270000&amp;isNoScr=script&amp;mode=search", "토지이음")</f>
        <v/>
      </c>
      <c r="O433" s="3" t="inlineStr">
        <is>
          <t>대박</t>
        </is>
      </c>
      <c r="P433" s="3" t="n">
        <v>1</v>
      </c>
      <c r="Q433" s="3" t="n">
        <v>803</v>
      </c>
      <c r="R433" s="3" t="inlineStr">
        <is>
          <t>지정되지않음</t>
        </is>
      </c>
      <c r="S433" s="3" t="inlineStr">
        <is>
          <t>단독</t>
        </is>
      </c>
      <c r="T433" s="3" t="inlineStr">
        <is>
          <t>완경사</t>
        </is>
      </c>
      <c r="U433" s="3" t="inlineStr">
        <is>
          <t>부정형</t>
        </is>
      </c>
      <c r="V433" s="3" t="inlineStr">
        <is>
          <t>세로한면(가)</t>
        </is>
      </c>
    </row>
    <row r="434">
      <c r="A434" s="3" t="inlineStr">
        <is>
          <t>세종특별자치시 금남면 신촌리 54</t>
        </is>
      </c>
      <c r="B434" s="3" t="inlineStr">
        <is>
          <t>개발제한구역</t>
        </is>
      </c>
      <c r="C434" s="3" t="inlineStr">
        <is>
          <t>전</t>
        </is>
      </c>
      <c r="D434" s="3" t="inlineStr">
        <is>
          <t>전</t>
        </is>
      </c>
      <c r="E434" s="3" t="inlineStr">
        <is>
          <t>매매</t>
        </is>
      </c>
      <c r="F434" s="4" t="n">
        <v>83000</v>
      </c>
      <c r="G434" s="4" t="n">
        <v>3451</v>
      </c>
      <c r="H434" s="4" t="n">
        <v>1044</v>
      </c>
      <c r="I434" s="5" t="n">
        <v>79.5</v>
      </c>
      <c r="J434" s="4" t="n">
        <v>27.4</v>
      </c>
      <c r="K434" s="3" t="inlineStr">
        <is>
          <t>세종시 3생활권 근접토지도로접함, 협의조정가능</t>
        </is>
      </c>
      <c r="L434" s="6">
        <f>HYPERLINK("https://fin.land.naver.com/articles/2644730042", "매물Link")</f>
        <v/>
      </c>
      <c r="M434" s="6">
        <f>HYPERLINK("https://map.naver.com/p/search/세종특별자치시 금남면 신촌리 54", "지도Link")</f>
        <v/>
      </c>
      <c r="N434" s="6">
        <f>HYPERLINK("http://www.eum.go.kr/web/ar/lu/luLandDet.jsp?pnu=3611034038100540000&amp;isNoScr=script&amp;mode=search", "토지이음")</f>
        <v/>
      </c>
      <c r="O434" s="3" t="inlineStr">
        <is>
          <t>세종나라</t>
        </is>
      </c>
      <c r="P434" s="3" t="n">
        <v>1</v>
      </c>
      <c r="Q434" s="3" t="n">
        <v>1170</v>
      </c>
      <c r="R434" s="3" t="inlineStr">
        <is>
          <t>지정되지않음</t>
        </is>
      </c>
      <c r="S434" s="3" t="inlineStr">
        <is>
          <t>전</t>
        </is>
      </c>
      <c r="T434" s="3" t="inlineStr">
        <is>
          <t>급경사</t>
        </is>
      </c>
      <c r="U434" s="3" t="inlineStr">
        <is>
          <t>부정형</t>
        </is>
      </c>
      <c r="V434" s="3" t="inlineStr">
        <is>
          <t>세로한면(가)</t>
        </is>
      </c>
    </row>
    <row r="435">
      <c r="A435" s="3" t="inlineStr">
        <is>
          <t>세종특별자치시 금남면 신촌리 84</t>
        </is>
      </c>
      <c r="B435" s="3" t="inlineStr">
        <is>
          <t>제1종일반주거지역</t>
        </is>
      </c>
      <c r="C435" s="3" t="inlineStr">
        <is>
          <t>전</t>
        </is>
      </c>
      <c r="D435" s="3" t="inlineStr">
        <is>
          <t>전</t>
        </is>
      </c>
      <c r="E435" s="3" t="inlineStr">
        <is>
          <t>매매</t>
        </is>
      </c>
      <c r="F435" s="4" t="n">
        <v>170000</v>
      </c>
      <c r="G435" s="4" t="n">
        <v>1446</v>
      </c>
      <c r="H435" s="4" t="n">
        <v>437</v>
      </c>
      <c r="I435" s="5" t="n">
        <v>389</v>
      </c>
      <c r="J435" s="4" t="n">
        <v>166.6</v>
      </c>
      <c r="K435" s="3" t="inlineStr">
        <is>
          <t>nan</t>
        </is>
      </c>
      <c r="L435" s="6">
        <f>HYPERLINK("https://fin.land.naver.com/articles/2644904328", "매물Link")</f>
        <v/>
      </c>
      <c r="M435" s="6">
        <f>HYPERLINK("https://map.naver.com/p/search/세종특별자치시 금남면 신촌리 84", "지도Link")</f>
        <v/>
      </c>
      <c r="N435" s="6">
        <f>HYPERLINK("http://www.eum.go.kr/web/ar/lu/luLandDet.jsp?pnu=3611034038100840000&amp;isNoScr=script&amp;mode=search", "토지이음")</f>
        <v/>
      </c>
      <c r="O435" s="3" t="inlineStr">
        <is>
          <t>KB</t>
        </is>
      </c>
      <c r="P435" s="3" t="n">
        <v>1</v>
      </c>
      <c r="Q435" s="3" t="n">
        <v>417</v>
      </c>
      <c r="R435" s="3" t="inlineStr">
        <is>
          <t>지정되지않음</t>
        </is>
      </c>
      <c r="S435" s="3" t="inlineStr">
        <is>
          <t>전</t>
        </is>
      </c>
      <c r="T435" s="3" t="inlineStr">
        <is>
          <t>완경사</t>
        </is>
      </c>
      <c r="U435" s="3" t="inlineStr">
        <is>
          <t>부정형</t>
        </is>
      </c>
      <c r="V435" s="3" t="inlineStr">
        <is>
          <t>세로한면(가)</t>
        </is>
      </c>
    </row>
    <row r="436">
      <c r="A436" s="3" t="inlineStr">
        <is>
          <t>세종특별자치시 금남면 신촌리 94-1</t>
        </is>
      </c>
      <c r="B436" s="3" t="inlineStr">
        <is>
          <t>제1종일반주거지역</t>
        </is>
      </c>
      <c r="C436" s="3" t="inlineStr">
        <is>
          <t>대</t>
        </is>
      </c>
      <c r="D436" s="3" t="inlineStr">
        <is>
          <t>대</t>
        </is>
      </c>
      <c r="E436" s="3" t="inlineStr">
        <is>
          <t>매매</t>
        </is>
      </c>
      <c r="F436" s="4" t="n">
        <v>800000</v>
      </c>
      <c r="G436" s="4" t="n">
        <v>1545</v>
      </c>
      <c r="H436" s="4" t="n">
        <v>467</v>
      </c>
      <c r="I436" s="5" t="n">
        <v>1713.1</v>
      </c>
      <c r="J436" s="4" t="n">
        <v>504.8</v>
      </c>
      <c r="K436" s="3" t="inlineStr">
        <is>
          <t>세종시 인접 대형 카페. 식당자리</t>
        </is>
      </c>
      <c r="L436" s="6">
        <f>HYPERLINK("https://fin.land.naver.com/articles/2645465200", "매물Link")</f>
        <v/>
      </c>
      <c r="M436" s="6">
        <f>HYPERLINK("https://map.naver.com/p/search/세종특별자치시 금남면 신촌리 94-1", "지도Link")</f>
        <v/>
      </c>
      <c r="N436" s="6">
        <f>HYPERLINK("http://www.eum.go.kr/web/ar/lu/luLandDet.jsp?pnu=3611034038100940001&amp;isNoScr=script&amp;mode=search", "토지이음")</f>
        <v/>
      </c>
      <c r="O436" s="3" t="inlineStr">
        <is>
          <t>강아지풀</t>
        </is>
      </c>
      <c r="P436" s="3" t="n">
        <v>1</v>
      </c>
      <c r="Q436" s="3" t="n">
        <v>1545</v>
      </c>
      <c r="R436" s="3" t="inlineStr">
        <is>
          <t>지정되지않음</t>
        </is>
      </c>
      <c r="S436" s="3" t="inlineStr">
        <is>
          <t>단독</t>
        </is>
      </c>
      <c r="T436" s="3" t="inlineStr">
        <is>
          <t>평지</t>
        </is>
      </c>
      <c r="U436" s="3" t="inlineStr">
        <is>
          <t>부정형</t>
        </is>
      </c>
      <c r="V436" s="3" t="inlineStr">
        <is>
          <t>소로한면</t>
        </is>
      </c>
    </row>
    <row r="437">
      <c r="A437" s="3" t="inlineStr">
        <is>
          <t>세종특별자치시 금남면 신촌리 97</t>
        </is>
      </c>
      <c r="B437" s="3" t="inlineStr">
        <is>
          <t>제1종일반주거지역</t>
        </is>
      </c>
      <c r="C437" s="3" t="inlineStr">
        <is>
          <t>대</t>
        </is>
      </c>
      <c r="D437" s="3" t="inlineStr">
        <is>
          <t>대</t>
        </is>
      </c>
      <c r="E437" s="3" t="inlineStr">
        <is>
          <t>매매</t>
        </is>
      </c>
      <c r="F437" s="4" t="n">
        <v>487000</v>
      </c>
      <c r="G437" s="4" t="n">
        <v>1343</v>
      </c>
      <c r="H437" s="4" t="n">
        <v>406</v>
      </c>
      <c r="I437" s="5" t="n">
        <v>1199.5</v>
      </c>
      <c r="J437" s="4" t="n">
        <v>472.7</v>
      </c>
      <c r="K437" s="3" t="inlineStr">
        <is>
          <t>현 세종복칼국수 대지 매매</t>
        </is>
      </c>
      <c r="L437" s="6">
        <f>HYPERLINK("https://fin.land.naver.com/articles/2645465392", "매물Link")</f>
        <v/>
      </c>
      <c r="M437" s="6">
        <f>HYPERLINK("https://map.naver.com/p/search/세종특별자치시 금남면 신촌리 97", "지도Link")</f>
        <v/>
      </c>
      <c r="N437" s="6">
        <f>HYPERLINK("http://www.eum.go.kr/web/ar/lu/luLandDet.jsp?pnu=3611034038100970000&amp;isNoScr=script&amp;mode=search", "토지이음")</f>
        <v/>
      </c>
      <c r="O437" s="3" t="inlineStr">
        <is>
          <t>강아지풀</t>
        </is>
      </c>
      <c r="P437" s="3" t="n">
        <v>1</v>
      </c>
      <c r="Q437" s="3" t="n">
        <v>736</v>
      </c>
      <c r="R437" s="3" t="inlineStr">
        <is>
          <t>지정되지않음</t>
        </is>
      </c>
      <c r="S437" s="3" t="inlineStr">
        <is>
          <t>주거기타</t>
        </is>
      </c>
      <c r="T437" s="3" t="inlineStr">
        <is>
          <t>평지</t>
        </is>
      </c>
      <c r="U437" s="3" t="inlineStr">
        <is>
          <t>사다리형</t>
        </is>
      </c>
      <c r="V437" s="3" t="inlineStr">
        <is>
          <t>세로각지(가)</t>
        </is>
      </c>
    </row>
    <row r="438">
      <c r="A438" s="3" t="inlineStr">
        <is>
          <t>세종특별자치시 금남면 신촌리 산14-4</t>
        </is>
      </c>
      <c r="B438" s="3" t="inlineStr">
        <is>
          <t>개발제한구역</t>
        </is>
      </c>
      <c r="C438" s="3" t="inlineStr">
        <is>
          <t>임야</t>
        </is>
      </c>
      <c r="D438" s="3" t="inlineStr">
        <is>
          <t>임야</t>
        </is>
      </c>
      <c r="E438" s="3" t="inlineStr">
        <is>
          <t>매매</t>
        </is>
      </c>
      <c r="F438" s="4" t="n">
        <v>78000</v>
      </c>
      <c r="G438" s="4" t="n">
        <v>25983</v>
      </c>
      <c r="H438" s="4" t="n">
        <v>7860</v>
      </c>
      <c r="I438" s="5" t="n">
        <v>9.9</v>
      </c>
      <c r="J438" s="4" t="n">
        <v>3.2</v>
      </c>
      <c r="K438" s="3" t="inlineStr">
        <is>
          <t>세종시 3생활권 근접 투자물건</t>
        </is>
      </c>
      <c r="L438" s="6">
        <f>HYPERLINK("https://fin.land.naver.com/articles/2645198051", "매물Link")</f>
        <v/>
      </c>
      <c r="M438" s="6">
        <f>HYPERLINK("https://map.naver.com/p/search/세종특별자치시 금남면 신촌리 산14-4", "지도Link")</f>
        <v/>
      </c>
      <c r="N438" s="6">
        <f>HYPERLINK("http://www.eum.go.kr/web/ar/lu/luLandDet.jsp?pnu=3611034038200140004&amp;isNoScr=script&amp;mode=search", "토지이음")</f>
        <v/>
      </c>
      <c r="O438" s="3" t="inlineStr">
        <is>
          <t>세종나라</t>
        </is>
      </c>
      <c r="P438" s="3" t="n">
        <v>1</v>
      </c>
      <c r="Q438" s="3" t="n">
        <v>25983</v>
      </c>
      <c r="R438" s="3" t="inlineStr">
        <is>
          <t>지정되지않음</t>
        </is>
      </c>
      <c r="S438" s="3" t="inlineStr">
        <is>
          <t>자연림</t>
        </is>
      </c>
      <c r="T438" s="3" t="inlineStr">
        <is>
          <t>급경사</t>
        </is>
      </c>
      <c r="U438" s="3" t="inlineStr">
        <is>
          <t>부정형</t>
        </is>
      </c>
      <c r="V438" s="3" t="inlineStr">
        <is>
          <t>세로한면(가)</t>
        </is>
      </c>
    </row>
    <row r="439">
      <c r="A439" s="3" t="inlineStr">
        <is>
          <t>세종특별자치시 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HYPERLINK("https://map.naver.com/p/search/세종특별자치시 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세종특별자치시 금남면 영곡리 106-1</t>
        </is>
      </c>
      <c r="B440" s="3" t="inlineStr">
        <is>
          <t>보전관리지역</t>
        </is>
      </c>
      <c r="C440" s="3" t="inlineStr">
        <is>
          <t>대</t>
        </is>
      </c>
      <c r="D440" s="3" t="inlineStr">
        <is>
          <t>대</t>
        </is>
      </c>
      <c r="E440" s="3" t="inlineStr">
        <is>
          <t>매매</t>
        </is>
      </c>
      <c r="F440" s="4" t="n">
        <v>35000</v>
      </c>
      <c r="G440" s="4" t="n">
        <v>613</v>
      </c>
      <c r="H440" s="4" t="n">
        <v>185</v>
      </c>
      <c r="I440" s="5" t="n">
        <v>189.2</v>
      </c>
      <c r="J440" s="4" t="n">
        <v>99.09999999999999</v>
      </c>
      <c r="K440" s="3" t="inlineStr">
        <is>
          <t>도로 접한 각지 토지</t>
        </is>
      </c>
      <c r="L440" s="6">
        <f>HYPERLINK("https://fin.land.naver.com/articles/2645299657", "매물Link")</f>
        <v/>
      </c>
      <c r="M440" s="6">
        <f>HYPERLINK("https://map.naver.com/p/search/세종특별자치시 금남면 영곡리 106-1", "지도Link")</f>
        <v/>
      </c>
      <c r="N440" s="6">
        <f>HYPERLINK("http://www.eum.go.kr/web/ar/lu/luLandDet.jsp?pnu=3611034041101060001&amp;isNoScr=script&amp;mode=search", "토지이음")</f>
        <v/>
      </c>
      <c r="O440" s="3" t="inlineStr">
        <is>
          <t>해들일번지</t>
        </is>
      </c>
      <c r="P440" s="3" t="n">
        <v>1</v>
      </c>
      <c r="Q440" s="3" t="n">
        <v>613</v>
      </c>
      <c r="R440" s="3" t="inlineStr">
        <is>
          <t>지정되지않음</t>
        </is>
      </c>
      <c r="S440" s="3" t="inlineStr">
        <is>
          <t>단독</t>
        </is>
      </c>
      <c r="T440" s="3" t="inlineStr">
        <is>
          <t>완경사</t>
        </is>
      </c>
      <c r="U440" s="3" t="inlineStr">
        <is>
          <t>사다리형</t>
        </is>
      </c>
      <c r="V440" s="3" t="inlineStr">
        <is>
          <t>세로한면(가)</t>
        </is>
      </c>
    </row>
    <row r="441">
      <c r="A441" s="3" t="inlineStr">
        <is>
          <t>세종특별자치시 금남면 영곡리 115-1</t>
        </is>
      </c>
      <c r="B441" s="3" t="inlineStr">
        <is>
          <t>계획관리지역</t>
        </is>
      </c>
      <c r="C441" s="3" t="inlineStr">
        <is>
          <t>과수원</t>
        </is>
      </c>
      <c r="D441" s="3" t="inlineStr">
        <is>
          <t>과수원</t>
        </is>
      </c>
      <c r="E441" s="3" t="inlineStr">
        <is>
          <t>매매</t>
        </is>
      </c>
      <c r="F441" s="4" t="n">
        <v>50000</v>
      </c>
      <c r="G441" s="4" t="n">
        <v>1117</v>
      </c>
      <c r="H441" s="4" t="n">
        <v>338</v>
      </c>
      <c r="I441" s="5" t="n">
        <v>147.9</v>
      </c>
      <c r="J441" s="4" t="n">
        <v>82</v>
      </c>
      <c r="K441" s="3" t="inlineStr">
        <is>
          <t>창고지, 하우스 경작지의 저렴한 매물</t>
        </is>
      </c>
      <c r="L441" s="6">
        <f>HYPERLINK("https://fin.land.naver.com/articles/2644524409", "매물Link")</f>
        <v/>
      </c>
      <c r="M441" s="6">
        <f>HYPERLINK("https://map.naver.com/p/search/세종특별자치시 금남면 영곡리 115-1", "지도Link")</f>
        <v/>
      </c>
      <c r="N441" s="6">
        <f>HYPERLINK("http://www.eum.go.kr/web/ar/lu/luLandDet.jsp?pnu=3611034041101150001&amp;isNoScr=script&amp;mode=search", "토지이음")</f>
        <v/>
      </c>
      <c r="O441" s="3" t="inlineStr">
        <is>
          <t>용궁</t>
        </is>
      </c>
      <c r="P441" s="3" t="n">
        <v>1</v>
      </c>
      <c r="Q441" s="3" t="n">
        <v>1117</v>
      </c>
      <c r="R441" s="3" t="inlineStr">
        <is>
          <t>지정되지않음</t>
        </is>
      </c>
      <c r="S441" s="3" t="inlineStr">
        <is>
          <t>과수원</t>
        </is>
      </c>
      <c r="T441" s="3" t="inlineStr">
        <is>
          <t>평지</t>
        </is>
      </c>
      <c r="U441" s="3" t="inlineStr">
        <is>
          <t>세로장방</t>
        </is>
      </c>
      <c r="V441" s="3" t="inlineStr">
        <is>
          <t>세로한면(가)</t>
        </is>
      </c>
    </row>
    <row r="442">
      <c r="A442" s="3" t="inlineStr">
        <is>
          <t>세종특별자치시 금남면 영곡리 134</t>
        </is>
      </c>
      <c r="B442" s="3" t="inlineStr">
        <is>
          <t>계획관리지역</t>
        </is>
      </c>
      <c r="C442" s="3" t="inlineStr">
        <is>
          <t>전</t>
        </is>
      </c>
      <c r="D442" s="3" t="inlineStr">
        <is>
          <t>전</t>
        </is>
      </c>
      <c r="E442" s="3" t="inlineStr">
        <is>
          <t>매매</t>
        </is>
      </c>
      <c r="F442" s="4" t="n">
        <v>36000</v>
      </c>
      <c r="G442" s="4" t="n">
        <v>744</v>
      </c>
      <c r="H442" s="4" t="n">
        <v>225</v>
      </c>
      <c r="I442" s="5" t="n">
        <v>160</v>
      </c>
      <c r="J442" s="4" t="n">
        <v>75.2</v>
      </c>
      <c r="K442" s="3" t="inlineStr">
        <is>
          <t>도로접,관리지역.</t>
        </is>
      </c>
      <c r="L442" s="6">
        <f>HYPERLINK("https://fin.land.naver.com/articles/2646219689", "매물Link")</f>
        <v/>
      </c>
      <c r="M442" s="6">
        <f>HYPERLINK("https://map.naver.com/p/search/세종특별자치시 금남면 영곡리 134", "지도Link")</f>
        <v/>
      </c>
      <c r="N442" s="6">
        <f>HYPERLINK("http://www.eum.go.kr/web/ar/lu/luLandDet.jsp?pnu=3611034041101340000&amp;isNoScr=script&amp;mode=search", "토지이음")</f>
        <v/>
      </c>
      <c r="O442" s="3" t="inlineStr">
        <is>
          <t>세미</t>
        </is>
      </c>
      <c r="P442" s="3" t="n">
        <v>1</v>
      </c>
      <c r="Q442" s="3" t="n">
        <v>744</v>
      </c>
      <c r="R442" s="3" t="inlineStr">
        <is>
          <t>지정되지않음</t>
        </is>
      </c>
      <c r="S442" s="3" t="inlineStr">
        <is>
          <t>전</t>
        </is>
      </c>
      <c r="T442" s="3" t="inlineStr">
        <is>
          <t>완경사</t>
        </is>
      </c>
      <c r="U442" s="3" t="inlineStr">
        <is>
          <t>부정형</t>
        </is>
      </c>
      <c r="V442" s="3" t="inlineStr">
        <is>
          <t>세로한면(가)</t>
        </is>
      </c>
    </row>
    <row r="443">
      <c r="A443" s="3" t="inlineStr">
        <is>
          <t>세종특별자치시 금남면 영곡리 14-3</t>
        </is>
      </c>
      <c r="B443" s="3" t="inlineStr">
        <is>
          <t>계획관리지역</t>
        </is>
      </c>
      <c r="C443" s="3" t="inlineStr">
        <is>
          <t>전</t>
        </is>
      </c>
      <c r="D443" s="3" t="inlineStr">
        <is>
          <t>대</t>
        </is>
      </c>
      <c r="E443" s="3" t="inlineStr">
        <is>
          <t>매매</t>
        </is>
      </c>
      <c r="F443" s="4" t="n">
        <v>980000</v>
      </c>
      <c r="G443" s="4" t="n">
        <v>8114</v>
      </c>
      <c r="H443" s="4" t="n">
        <v>2454</v>
      </c>
      <c r="I443" s="5" t="n">
        <v>399.3</v>
      </c>
      <c r="J443" s="4" t="n">
        <v>118.4</v>
      </c>
      <c r="K443" s="3" t="inlineStr">
        <is>
          <t>세종 도심 접근성 좋은 음식점 건물 포함 대형 상업부지</t>
        </is>
      </c>
      <c r="L443" s="6">
        <f>HYPERLINK("https://fin.land.naver.com/articles/2648849529", "매물Link")</f>
        <v/>
      </c>
      <c r="M443" s="6">
        <f>HYPERLINK("https://map.naver.com/p/search/세종특별자치시 금남면 영곡리 14-3", "지도Link")</f>
        <v/>
      </c>
      <c r="N443" s="6">
        <f>HYPERLINK("http://www.eum.go.kr/web/ar/lu/luLandDet.jsp?pnu=3611034041100140003&amp;isNoScr=script&amp;mode=search", "토지이음")</f>
        <v/>
      </c>
      <c r="O443" s="3" t="inlineStr">
        <is>
          <t>세종소담황금</t>
        </is>
      </c>
      <c r="P443" s="3" t="n">
        <v>1</v>
      </c>
      <c r="Q443" s="3" t="n">
        <v>1452</v>
      </c>
      <c r="R443" s="3" t="inlineStr">
        <is>
          <t>지정되지않음</t>
        </is>
      </c>
      <c r="S443" s="3" t="inlineStr">
        <is>
          <t>과수원</t>
        </is>
      </c>
      <c r="T443" s="3" t="inlineStr">
        <is>
          <t>완경사</t>
        </is>
      </c>
      <c r="U443" s="3" t="inlineStr">
        <is>
          <t>부정형</t>
        </is>
      </c>
      <c r="V443" s="3" t="inlineStr">
        <is>
          <t>소로한면</t>
        </is>
      </c>
    </row>
    <row r="444">
      <c r="A444" s="3" t="inlineStr">
        <is>
          <t>세종특별자치시 금남면 영곡리 220-6</t>
        </is>
      </c>
      <c r="B444" s="3" t="inlineStr">
        <is>
          <t>계획관리지역</t>
        </is>
      </c>
      <c r="C444" s="3" t="inlineStr">
        <is>
          <t>답</t>
        </is>
      </c>
      <c r="D444" s="3" t="inlineStr">
        <is>
          <t>답</t>
        </is>
      </c>
      <c r="E444" s="3" t="inlineStr">
        <is>
          <t>매매</t>
        </is>
      </c>
      <c r="F444" s="4" t="n">
        <v>74000</v>
      </c>
      <c r="G444" s="4" t="n">
        <v>1435</v>
      </c>
      <c r="H444" s="4" t="n">
        <v>434</v>
      </c>
      <c r="I444" s="5" t="n">
        <v>170.5</v>
      </c>
      <c r="J444" s="4" t="n">
        <v>80.59999999999999</v>
      </c>
      <c r="K444" s="3" t="inlineStr">
        <is>
          <t>2종근생 제조업소추천, 건폐율 50, 용적률 125,도로 폭 4m</t>
        </is>
      </c>
      <c r="L444" s="6">
        <f>HYPERLINK("https://fin.land.naver.com/articles/2648145711", "매물Link")</f>
        <v/>
      </c>
      <c r="M444" s="6">
        <f>HYPERLINK("https://map.naver.com/p/search/세종특별자치시 금남면 영곡리 220-6", "지도Link")</f>
        <v/>
      </c>
      <c r="N444" s="6">
        <f>HYPERLINK("http://www.eum.go.kr/web/ar/lu/luLandDet.jsp?pnu=3611034041102200006&amp;isNoScr=script&amp;mode=search", "토지이음")</f>
        <v/>
      </c>
      <c r="O444" s="3" t="inlineStr">
        <is>
          <t>태성</t>
        </is>
      </c>
      <c r="P444" s="3" t="n">
        <v>2</v>
      </c>
      <c r="Q444" s="3" t="n">
        <v>1435</v>
      </c>
      <c r="R444" s="3" t="inlineStr">
        <is>
          <t>지정되지않음</t>
        </is>
      </c>
      <c r="S444" s="3" t="inlineStr">
        <is>
          <t>답</t>
        </is>
      </c>
      <c r="T444" s="3" t="inlineStr">
        <is>
          <t>평지</t>
        </is>
      </c>
      <c r="U444" s="3" t="inlineStr">
        <is>
          <t>부정형</t>
        </is>
      </c>
      <c r="V444" s="3" t="inlineStr">
        <is>
          <t>세로한면(가)</t>
        </is>
      </c>
    </row>
    <row r="445">
      <c r="A445" s="3" t="inlineStr">
        <is>
          <t>세종특별자치시 금남면 영곡리 250-7</t>
        </is>
      </c>
      <c r="B445" s="3" t="inlineStr">
        <is>
          <t>생산관리지역</t>
        </is>
      </c>
      <c r="C445" s="3" t="inlineStr">
        <is>
          <t>임야</t>
        </is>
      </c>
      <c r="D445" s="3" t="inlineStr">
        <is>
          <t>임야</t>
        </is>
      </c>
      <c r="E445" s="3" t="inlineStr">
        <is>
          <t>매매</t>
        </is>
      </c>
      <c r="F445" s="4" t="n">
        <v>30000</v>
      </c>
      <c r="G445" s="4" t="n">
        <v>423</v>
      </c>
      <c r="H445" s="4" t="n">
        <v>128</v>
      </c>
      <c r="I445" s="5" t="n">
        <v>234.4</v>
      </c>
      <c r="J445" s="4" t="n">
        <v>16.9</v>
      </c>
      <c r="K445" s="3" t="inlineStr">
        <is>
          <t>가격협의가능,2차선도로접,단독주택지.근생용지로 추천,</t>
        </is>
      </c>
      <c r="L445" s="6">
        <f>HYPERLINK("https://fin.land.naver.com/articles/2647510981", "매물Link")</f>
        <v/>
      </c>
      <c r="M445" s="6">
        <f>HYPERLINK("https://map.naver.com/p/search/세종특별자치시 금남면 영곡리 250-7", "지도Link")</f>
        <v/>
      </c>
      <c r="N445" s="6">
        <f>HYPERLINK("http://www.eum.go.kr/web/ar/lu/luLandDet.jsp?pnu=3611034041102500007&amp;isNoScr=script&amp;mode=search", "토지이음")</f>
        <v/>
      </c>
      <c r="O445" s="3" t="inlineStr">
        <is>
          <t>담뜰</t>
        </is>
      </c>
      <c r="P445" s="3" t="n">
        <v>2</v>
      </c>
      <c r="Q445" s="3" t="n">
        <v>423</v>
      </c>
      <c r="R445" s="3" t="inlineStr">
        <is>
          <t>지정되지않음</t>
        </is>
      </c>
      <c r="S445" s="3" t="inlineStr">
        <is>
          <t>자연림</t>
        </is>
      </c>
      <c r="T445" s="3" t="inlineStr">
        <is>
          <t>완경사</t>
        </is>
      </c>
      <c r="U445" s="3" t="inlineStr">
        <is>
          <t>부정형</t>
        </is>
      </c>
      <c r="V445" s="3" t="inlineStr">
        <is>
          <t>소로한면</t>
        </is>
      </c>
    </row>
    <row r="446">
      <c r="A446" s="3" t="inlineStr">
        <is>
          <t>세종특별자치시 금남면 영곡리 284</t>
        </is>
      </c>
      <c r="B446" s="3" t="inlineStr">
        <is>
          <t>계획관리지역</t>
        </is>
      </c>
      <c r="C446" s="3" t="inlineStr">
        <is>
          <t>대</t>
        </is>
      </c>
      <c r="D446" s="3" t="inlineStr">
        <is>
          <t>대</t>
        </is>
      </c>
      <c r="E446" s="3" t="inlineStr">
        <is>
          <t>매매</t>
        </is>
      </c>
      <c r="F446" s="4" t="n">
        <v>57000</v>
      </c>
      <c r="G446" s="4" t="n">
        <v>201</v>
      </c>
      <c r="H446" s="4" t="n">
        <v>61</v>
      </c>
      <c r="I446" s="5" t="n">
        <v>934.4</v>
      </c>
      <c r="J446" s="4" t="n">
        <v>135.7</v>
      </c>
      <c r="K446" s="3" t="inlineStr">
        <is>
          <t>금남면 근생건축이 가능한 저렴한 대지및 임야</t>
        </is>
      </c>
      <c r="L446" s="6">
        <f>HYPERLINK("https://fin.land.naver.com/articles/2646293091", "매물Link")</f>
        <v/>
      </c>
      <c r="M446" s="6">
        <f>HYPERLINK("https://map.naver.com/p/search/세종특별자치시 금남면 영곡리 284", "지도Link")</f>
        <v/>
      </c>
      <c r="N446" s="6">
        <f>HYPERLINK("http://www.eum.go.kr/web/ar/lu/luLandDet.jsp?pnu=3611034041102840000&amp;isNoScr=script&amp;mode=search", "토지이음")</f>
        <v/>
      </c>
      <c r="O446" s="3" t="inlineStr">
        <is>
          <t>황소플러스</t>
        </is>
      </c>
      <c r="P446" s="3" t="n">
        <v>1</v>
      </c>
      <c r="Q446" s="3" t="n">
        <v>201</v>
      </c>
      <c r="R446" s="3" t="inlineStr">
        <is>
          <t>지정되지않음</t>
        </is>
      </c>
      <c r="S446" s="3" t="inlineStr">
        <is>
          <t>주거나지</t>
        </is>
      </c>
      <c r="T446" s="3" t="inlineStr">
        <is>
          <t>완경사</t>
        </is>
      </c>
      <c r="U446" s="3" t="inlineStr">
        <is>
          <t>부정형</t>
        </is>
      </c>
      <c r="V446" s="3" t="inlineStr">
        <is>
          <t>세로한면(가)</t>
        </is>
      </c>
    </row>
    <row r="447">
      <c r="A447" s="3" t="inlineStr">
        <is>
          <t>세종특별자치시 금남면 영곡리 297</t>
        </is>
      </c>
      <c r="B447" s="3" t="inlineStr">
        <is>
          <t>생산관리지역</t>
        </is>
      </c>
      <c r="C447" s="3" t="inlineStr">
        <is>
          <t>전</t>
        </is>
      </c>
      <c r="D447" s="3" t="inlineStr">
        <is>
          <t>전</t>
        </is>
      </c>
      <c r="E447" s="3" t="inlineStr">
        <is>
          <t>매매</t>
        </is>
      </c>
      <c r="F447" s="4" t="n">
        <v>36890</v>
      </c>
      <c r="G447" s="4" t="n">
        <v>1435</v>
      </c>
      <c r="H447" s="4" t="n">
        <v>434</v>
      </c>
      <c r="I447" s="5" t="n">
        <v>85</v>
      </c>
      <c r="J447" s="4" t="n">
        <v>63.9</v>
      </c>
      <c r="K447" s="3" t="inlineStr">
        <is>
          <t>세종시 저렴한 농지 매매, 가격조절가능.</t>
        </is>
      </c>
      <c r="L447" s="6">
        <f>HYPERLINK("https://fin.land.naver.com/articles/2644909369", "매물Link")</f>
        <v/>
      </c>
      <c r="M447" s="6">
        <f>HYPERLINK("https://map.naver.com/p/search/세종특별자치시 금남면 영곡리 297", "지도Link")</f>
        <v/>
      </c>
      <c r="N447" s="6">
        <f>HYPERLINK("http://www.eum.go.kr/web/ar/lu/luLandDet.jsp?pnu=3611034041102970000&amp;isNoScr=script&amp;mode=search", "토지이음")</f>
        <v/>
      </c>
      <c r="O447" s="3" t="inlineStr">
        <is>
          <t>세종다올</t>
        </is>
      </c>
      <c r="P447" s="3" t="n">
        <v>1</v>
      </c>
      <c r="Q447" s="3" t="n">
        <v>1435</v>
      </c>
      <c r="R447" s="3" t="inlineStr">
        <is>
          <t>지정되지않음</t>
        </is>
      </c>
      <c r="S447" s="3" t="inlineStr">
        <is>
          <t>전</t>
        </is>
      </c>
      <c r="T447" s="3" t="inlineStr">
        <is>
          <t>완경사</t>
        </is>
      </c>
      <c r="U447" s="3" t="inlineStr">
        <is>
          <t>부정형</t>
        </is>
      </c>
      <c r="V447" s="3" t="inlineStr">
        <is>
          <t>맹지</t>
        </is>
      </c>
    </row>
    <row r="448">
      <c r="A448" s="3" t="inlineStr">
        <is>
          <t>세종특별자치시 금남면 영곡리 313</t>
        </is>
      </c>
      <c r="B448" s="3" t="inlineStr">
        <is>
          <t>생산관리지역</t>
        </is>
      </c>
      <c r="C448" s="3" t="inlineStr">
        <is>
          <t>전</t>
        </is>
      </c>
      <c r="D448" s="3" t="inlineStr">
        <is>
          <t>전</t>
        </is>
      </c>
      <c r="E448" s="3" t="inlineStr">
        <is>
          <t>매매</t>
        </is>
      </c>
      <c r="F448" s="4" t="n">
        <v>72000</v>
      </c>
      <c r="G448" s="4" t="n">
        <v>1320</v>
      </c>
      <c r="H448" s="4" t="n">
        <v>399</v>
      </c>
      <c r="I448" s="5" t="n">
        <v>180.5</v>
      </c>
      <c r="J448" s="4" t="n">
        <v>71.3</v>
      </c>
      <c r="K448" s="3" t="inlineStr">
        <is>
          <t>도심인접 가치높은 답</t>
        </is>
      </c>
      <c r="L448" s="6">
        <f>HYPERLINK("https://fin.land.naver.com/articles/2650155713", "매물Link")</f>
        <v/>
      </c>
      <c r="M448" s="6">
        <f>HYPERLINK("https://map.naver.com/p/search/세종특별자치시 금남면 영곡리 313", "지도Link")</f>
        <v/>
      </c>
      <c r="N448" s="6">
        <f>HYPERLINK("http://www.eum.go.kr/web/ar/lu/luLandDet.jsp?pnu=3611034041103130000&amp;isNoScr=script&amp;mode=search", "토지이음")</f>
        <v/>
      </c>
      <c r="O448" s="3" t="inlineStr">
        <is>
          <t>황소플러스</t>
        </is>
      </c>
      <c r="P448" s="3" t="n">
        <v>2</v>
      </c>
      <c r="Q448" s="3" t="n">
        <v>3570</v>
      </c>
      <c r="R448" s="3" t="inlineStr">
        <is>
          <t>지정되지않음</t>
        </is>
      </c>
      <c r="S448" s="3" t="inlineStr">
        <is>
          <t>전</t>
        </is>
      </c>
      <c r="T448" s="3" t="inlineStr">
        <is>
          <t>완경사</t>
        </is>
      </c>
      <c r="U448" s="3" t="inlineStr">
        <is>
          <t>부정형</t>
        </is>
      </c>
      <c r="V448" s="3" t="inlineStr">
        <is>
          <t>세로한면(가)</t>
        </is>
      </c>
    </row>
    <row r="449">
      <c r="A449" s="3" t="inlineStr">
        <is>
          <t>세종특별자치시 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도심인접 저렴한 주택용지</t>
        </is>
      </c>
      <c r="L449" s="6">
        <f>HYPERLINK("https://fin.land.naver.com/articles/2647420030", "매물Link")</f>
        <v/>
      </c>
      <c r="M449" s="6">
        <f>HYPERLINK("https://map.naver.com/p/search/세종특별자치시 금남면 영곡리 388-2", "지도Link")</f>
        <v/>
      </c>
      <c r="N449" s="6">
        <f>HYPERLINK("http://www.eum.go.kr/web/ar/lu/luLandDet.jsp?pnu=3611034041103880002&amp;isNoScr=script&amp;mode=search", "토지이음")</f>
        <v/>
      </c>
      <c r="O449" s="3" t="inlineStr">
        <is>
          <t>황소플러스</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세종특별자치시 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지목 대,컨테이너2대 있음</t>
        </is>
      </c>
      <c r="L450" s="6">
        <f>HYPERLINK("https://fin.land.naver.com/articles/2649967155", "매물Link")</f>
        <v/>
      </c>
      <c r="M450" s="6">
        <f>HYPERLINK("https://map.naver.com/p/search/세종특별자치시 금남면 영곡리 388-2", "지도Link")</f>
        <v/>
      </c>
      <c r="N450" s="6">
        <f>HYPERLINK("http://www.eum.go.kr/web/ar/lu/luLandDet.jsp?pnu=3611034041103880002&amp;isNoScr=script&amp;mode=search", "토지이음")</f>
        <v/>
      </c>
      <c r="O450" s="3" t="inlineStr">
        <is>
          <t>다산</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세종특별자치시 금남면 영곡리 388-2</t>
        </is>
      </c>
      <c r="B451" s="3" t="inlineStr">
        <is>
          <t>계획관리지역</t>
        </is>
      </c>
      <c r="C451" s="3" t="inlineStr">
        <is>
          <t>대</t>
        </is>
      </c>
      <c r="D451" s="3" t="inlineStr">
        <is>
          <t>대</t>
        </is>
      </c>
      <c r="E451" s="3" t="inlineStr">
        <is>
          <t>매매</t>
        </is>
      </c>
      <c r="F451" s="4" t="n">
        <v>36000</v>
      </c>
      <c r="G451" s="4" t="n">
        <v>358</v>
      </c>
      <c r="H451" s="4" t="n">
        <v>108</v>
      </c>
      <c r="I451" s="5" t="n">
        <v>333.3</v>
      </c>
      <c r="J451" s="4" t="n">
        <v>144.3</v>
      </c>
      <c r="K451" s="3" t="inlineStr">
        <is>
          <t>수도, 전기 시설 되어 있음, 작은 가설건축물</t>
        </is>
      </c>
      <c r="L451" s="6">
        <f>HYPERLINK("https://fin.land.naver.com/articles/2646205584", "매물Link")</f>
        <v/>
      </c>
      <c r="M451" s="6">
        <f>HYPERLINK("https://map.naver.com/p/search/세종특별자치시 금남면 영곡리 388-2", "지도Link")</f>
        <v/>
      </c>
      <c r="N451" s="6">
        <f>HYPERLINK("http://www.eum.go.kr/web/ar/lu/luLandDet.jsp?pnu=3611034041103880002&amp;isNoScr=script&amp;mode=search", "토지이음")</f>
        <v/>
      </c>
      <c r="O451" s="3" t="inlineStr">
        <is>
          <t>해들일번지</t>
        </is>
      </c>
      <c r="P451" s="3" t="n">
        <v>1</v>
      </c>
      <c r="Q451" s="3" t="n">
        <v>358</v>
      </c>
      <c r="R451" s="3" t="inlineStr">
        <is>
          <t>지정되지않음</t>
        </is>
      </c>
      <c r="S451" s="3" t="inlineStr">
        <is>
          <t>단독</t>
        </is>
      </c>
      <c r="T451" s="3" t="inlineStr">
        <is>
          <t>완경사</t>
        </is>
      </c>
      <c r="U451" s="3" t="inlineStr">
        <is>
          <t>사다리형</t>
        </is>
      </c>
      <c r="V451" s="3" t="inlineStr">
        <is>
          <t>세로한면(가)</t>
        </is>
      </c>
    </row>
    <row r="452">
      <c r="A452" s="3" t="inlineStr">
        <is>
          <t>세종특별자치시 금남면 영곡리 404-1</t>
        </is>
      </c>
      <c r="B452" s="3" t="inlineStr">
        <is>
          <t>보전관리지역</t>
        </is>
      </c>
      <c r="C452" s="3" t="inlineStr">
        <is>
          <t>답</t>
        </is>
      </c>
      <c r="D452" s="3" t="inlineStr">
        <is>
          <t>답</t>
        </is>
      </c>
      <c r="E452" s="3" t="inlineStr">
        <is>
          <t>매매</t>
        </is>
      </c>
      <c r="F452" s="4" t="n">
        <v>180000</v>
      </c>
      <c r="G452" s="4" t="n">
        <v>4077</v>
      </c>
      <c r="H452" s="4" t="n">
        <v>1233</v>
      </c>
      <c r="I452" s="5" t="n">
        <v>146</v>
      </c>
      <c r="J452" s="4" t="n">
        <v>55.8</v>
      </c>
      <c r="K452" s="3" t="inlineStr">
        <is>
          <t>미래 투자 가지 가성비 좋음</t>
        </is>
      </c>
      <c r="L452" s="6">
        <f>HYPERLINK("https://fin.land.naver.com/articles/2646376115", "매물Link")</f>
        <v/>
      </c>
      <c r="M452" s="6">
        <f>HYPERLINK("https://map.naver.com/p/search/세종특별자치시 금남면 영곡리 404-1", "지도Link")</f>
        <v/>
      </c>
      <c r="N452" s="6">
        <f>HYPERLINK("http://www.eum.go.kr/web/ar/lu/luLandDet.jsp?pnu=3611034041104040001&amp;isNoScr=script&amp;mode=search", "토지이음")</f>
        <v/>
      </c>
      <c r="O452" s="3" t="inlineStr">
        <is>
          <t>광교테라스힐</t>
        </is>
      </c>
      <c r="P452" s="3" t="n">
        <v>1</v>
      </c>
      <c r="Q452" s="3" t="n">
        <v>4077</v>
      </c>
      <c r="R452" s="3" t="inlineStr">
        <is>
          <t>지정되지않음</t>
        </is>
      </c>
      <c r="S452" s="3" t="inlineStr">
        <is>
          <t>답</t>
        </is>
      </c>
      <c r="T452" s="3" t="inlineStr">
        <is>
          <t>완경사</t>
        </is>
      </c>
      <c r="U452" s="3" t="inlineStr">
        <is>
          <t>부정형</t>
        </is>
      </c>
      <c r="V452" s="3" t="inlineStr">
        <is>
          <t>맹지</t>
        </is>
      </c>
    </row>
    <row r="453">
      <c r="A453" s="3" t="inlineStr">
        <is>
          <t>세종특별자치시 금남면 영곡리 560-3</t>
        </is>
      </c>
      <c r="B453" s="3" t="inlineStr">
        <is>
          <t>보전관리지역</t>
        </is>
      </c>
      <c r="C453" s="3" t="inlineStr">
        <is>
          <t>대</t>
        </is>
      </c>
      <c r="D453" s="3" t="inlineStr">
        <is>
          <t>대</t>
        </is>
      </c>
      <c r="E453" s="3" t="inlineStr">
        <is>
          <t>매매</t>
        </is>
      </c>
      <c r="F453" s="4" t="n">
        <v>19000</v>
      </c>
      <c r="G453" s="4" t="n">
        <v>772</v>
      </c>
      <c r="H453" s="4" t="n">
        <v>234</v>
      </c>
      <c r="I453" s="5" t="n">
        <v>81.2</v>
      </c>
      <c r="J453" s="4" t="n">
        <v>47.8</v>
      </c>
      <c r="K453" s="3" t="inlineStr">
        <is>
          <t>영곡리 소형상가건물 있는 임야매매</t>
        </is>
      </c>
      <c r="L453" s="6">
        <f>HYPERLINK("https://fin.land.naver.com/articles/2648546388", "매물Link")</f>
        <v/>
      </c>
      <c r="M453" s="6">
        <f>HYPERLINK("https://map.naver.com/p/search/세종특별자치시 금남면 영곡리 560-3", "지도Link")</f>
        <v/>
      </c>
      <c r="N453" s="6">
        <f>HYPERLINK("http://www.eum.go.kr/web/ar/lu/luLandDet.jsp?pnu=3611034041105600003&amp;isNoScr=script&amp;mode=search", "토지이음")</f>
        <v/>
      </c>
      <c r="O453" s="3" t="inlineStr">
        <is>
          <t>에이스</t>
        </is>
      </c>
      <c r="P453" s="3" t="n">
        <v>1</v>
      </c>
      <c r="Q453" s="3" t="n">
        <v>250</v>
      </c>
      <c r="R453" s="3" t="inlineStr">
        <is>
          <t>지정되지않음</t>
        </is>
      </c>
      <c r="S453" s="3" t="inlineStr">
        <is>
          <t>전기타</t>
        </is>
      </c>
      <c r="T453" s="3" t="inlineStr">
        <is>
          <t>급경사</t>
        </is>
      </c>
      <c r="U453" s="3" t="inlineStr">
        <is>
          <t>사다리형</t>
        </is>
      </c>
      <c r="V453" s="3" t="inlineStr">
        <is>
          <t>맹지</t>
        </is>
      </c>
    </row>
    <row r="454">
      <c r="A454" s="3" t="inlineStr">
        <is>
          <t>세종특별자치시 금남면 영곡리 578</t>
        </is>
      </c>
      <c r="B454" s="3" t="inlineStr">
        <is>
          <t>계획관리지역</t>
        </is>
      </c>
      <c r="C454" s="3" t="inlineStr">
        <is>
          <t>대</t>
        </is>
      </c>
      <c r="D454" s="3" t="inlineStr">
        <is>
          <t>대</t>
        </is>
      </c>
      <c r="E454" s="3" t="inlineStr">
        <is>
          <t>매매</t>
        </is>
      </c>
      <c r="F454" s="4" t="n">
        <v>79000</v>
      </c>
      <c r="G454" s="4" t="n">
        <v>744</v>
      </c>
      <c r="H454" s="4" t="n">
        <v>225</v>
      </c>
      <c r="I454" s="5" t="n">
        <v>351.1</v>
      </c>
      <c r="J454" s="4" t="n">
        <v>128</v>
      </c>
      <c r="K454" s="3" t="inlineStr">
        <is>
          <t>영곡리 자연취락지구 대지</t>
        </is>
      </c>
      <c r="L454" s="6">
        <f>HYPERLINK("https://fin.land.naver.com/articles/2648843457", "매물Link")</f>
        <v/>
      </c>
      <c r="M454" s="6">
        <f>HYPERLINK("https://map.naver.com/p/search/세종특별자치시 금남면 영곡리 578", "지도Link")</f>
        <v/>
      </c>
      <c r="N454" s="6">
        <f>HYPERLINK("http://www.eum.go.kr/web/ar/lu/luLandDet.jsp?pnu=3611034041105780000&amp;isNoScr=script&amp;mode=search", "토지이음")</f>
        <v/>
      </c>
      <c r="O454" s="3" t="inlineStr">
        <is>
          <t>세종천지</t>
        </is>
      </c>
      <c r="P454" s="3" t="n">
        <v>1</v>
      </c>
      <c r="Q454" s="3" t="n">
        <v>744</v>
      </c>
      <c r="R454" s="3" t="inlineStr">
        <is>
          <t>지정되지않음</t>
        </is>
      </c>
      <c r="S454" s="3" t="inlineStr">
        <is>
          <t>주거나지</t>
        </is>
      </c>
      <c r="T454" s="3" t="inlineStr">
        <is>
          <t>평지</t>
        </is>
      </c>
      <c r="U454" s="3" t="inlineStr">
        <is>
          <t>부정형</t>
        </is>
      </c>
      <c r="V454" s="3" t="inlineStr">
        <is>
          <t>세로각지(가)</t>
        </is>
      </c>
    </row>
    <row r="455">
      <c r="A455" s="3" t="inlineStr">
        <is>
          <t>세종특별자치시 금남면 영곡리 587</t>
        </is>
      </c>
      <c r="B455" s="3" t="inlineStr">
        <is>
          <t>계획관리지역</t>
        </is>
      </c>
      <c r="C455" s="3" t="inlineStr">
        <is>
          <t>대</t>
        </is>
      </c>
      <c r="D455" s="3" t="inlineStr">
        <is>
          <t>대</t>
        </is>
      </c>
      <c r="E455" s="3" t="inlineStr">
        <is>
          <t>매매</t>
        </is>
      </c>
      <c r="F455" s="4" t="n">
        <v>55500</v>
      </c>
      <c r="G455" s="4" t="n">
        <v>490</v>
      </c>
      <c r="H455" s="4" t="n">
        <v>148</v>
      </c>
      <c r="I455" s="5" t="n">
        <v>375</v>
      </c>
      <c r="J455" s="4" t="n">
        <v>125.7</v>
      </c>
      <c r="K455" s="3" t="inlineStr">
        <is>
          <t>급매,바로 옆 추가포함,집터</t>
        </is>
      </c>
      <c r="L455" s="6">
        <f>HYPERLINK("https://fin.land.naver.com/articles/2649966250", "매물Link")</f>
        <v/>
      </c>
      <c r="M455" s="6">
        <f>HYPERLINK("https://map.naver.com/p/search/세종특별자치시 금남면 영곡리 587", "지도Link")</f>
        <v/>
      </c>
      <c r="N455" s="6">
        <f>HYPERLINK("http://www.eum.go.kr/web/ar/lu/luLandDet.jsp?pnu=3611034041105870000&amp;isNoScr=script&amp;mode=search", "토지이음")</f>
        <v/>
      </c>
      <c r="O455" s="3" t="inlineStr">
        <is>
          <t>다산</t>
        </is>
      </c>
      <c r="P455" s="3" t="n">
        <v>1</v>
      </c>
      <c r="Q455" s="3" t="n">
        <v>490</v>
      </c>
      <c r="R455" s="3" t="inlineStr">
        <is>
          <t>지정되지않음</t>
        </is>
      </c>
      <c r="S455" s="3" t="inlineStr">
        <is>
          <t>단독</t>
        </is>
      </c>
      <c r="T455" s="3" t="inlineStr">
        <is>
          <t>평지</t>
        </is>
      </c>
      <c r="U455" s="3" t="inlineStr">
        <is>
          <t>부정형</t>
        </is>
      </c>
      <c r="V455" s="3" t="inlineStr">
        <is>
          <t>세로한면(가)</t>
        </is>
      </c>
    </row>
    <row r="456">
      <c r="A456" s="3" t="inlineStr">
        <is>
          <t>세종특별자치시 금남면 영곡리 83-9</t>
        </is>
      </c>
      <c r="B456" s="3" t="inlineStr">
        <is>
          <t>보전관리지역</t>
        </is>
      </c>
      <c r="C456" s="3" t="inlineStr">
        <is>
          <t>대</t>
        </is>
      </c>
      <c r="D456" s="3" t="inlineStr">
        <is>
          <t>대</t>
        </is>
      </c>
      <c r="E456" s="3" t="inlineStr">
        <is>
          <t>매매</t>
        </is>
      </c>
      <c r="F456" s="4" t="n">
        <v>72600</v>
      </c>
      <c r="G456" s="4" t="n">
        <v>821</v>
      </c>
      <c r="H456" s="4" t="n">
        <v>248</v>
      </c>
      <c r="I456" s="5" t="n">
        <v>292.7</v>
      </c>
      <c r="J456" s="4" t="n">
        <v>100</v>
      </c>
      <c r="K456" s="3" t="inlineStr">
        <is>
          <t>행복도시 초근접,2종근린생활시설 신축건물1동 있는 매물</t>
        </is>
      </c>
      <c r="L456" s="6">
        <f>HYPERLINK("https://fin.land.naver.com/articles/2647764426", "매물Link")</f>
        <v/>
      </c>
      <c r="M456" s="6">
        <f>HYPERLINK("https://map.naver.com/p/search/세종특별자치시 금남면 영곡리 83-9", "지도Link")</f>
        <v/>
      </c>
      <c r="N456" s="6">
        <f>HYPERLINK("http://www.eum.go.kr/web/ar/lu/luLandDet.jsp?pnu=3611034041100830009&amp;isNoScr=script&amp;mode=search", "토지이음")</f>
        <v/>
      </c>
      <c r="O456" s="3" t="inlineStr">
        <is>
          <t>지호주식회사</t>
        </is>
      </c>
      <c r="P456" s="3" t="n">
        <v>1</v>
      </c>
      <c r="Q456" s="3" t="n">
        <v>761</v>
      </c>
      <c r="R456" s="3" t="inlineStr">
        <is>
          <t>지정되지않음</t>
        </is>
      </c>
      <c r="S456" s="3" t="inlineStr">
        <is>
          <t>주거나지</t>
        </is>
      </c>
      <c r="T456" s="3" t="inlineStr">
        <is>
          <t>완경사</t>
        </is>
      </c>
      <c r="U456" s="3" t="inlineStr">
        <is>
          <t>정방형</t>
        </is>
      </c>
      <c r="V456" s="3" t="inlineStr">
        <is>
          <t>세로한면(가)</t>
        </is>
      </c>
    </row>
    <row r="457">
      <c r="A457" s="3" t="inlineStr">
        <is>
          <t>세종특별자치시 금남면 영곡리 산10-5</t>
        </is>
      </c>
      <c r="B457" s="3" t="inlineStr">
        <is>
          <t>농림지역</t>
        </is>
      </c>
      <c r="C457" s="3" t="inlineStr">
        <is>
          <t>임야</t>
        </is>
      </c>
      <c r="D457" s="3" t="inlineStr">
        <is>
          <t>임야</t>
        </is>
      </c>
      <c r="E457" s="3" t="inlineStr">
        <is>
          <t>매매</t>
        </is>
      </c>
      <c r="F457" s="4" t="n">
        <v>240000</v>
      </c>
      <c r="G457" s="4" t="n">
        <v>79473</v>
      </c>
      <c r="H457" s="4" t="n">
        <v>24041</v>
      </c>
      <c r="I457" s="5" t="n">
        <v>10</v>
      </c>
      <c r="J457" s="4" t="n">
        <v>2.2</v>
      </c>
      <c r="K457" s="3" t="inlineStr">
        <is>
          <t>매매가 조율가능</t>
        </is>
      </c>
      <c r="L457" s="6">
        <f>HYPERLINK("https://fin.land.naver.com/articles/2647426125", "매물Link")</f>
        <v/>
      </c>
      <c r="M457" s="6">
        <f>HYPERLINK("https://map.naver.com/p/search/세종특별자치시 금남면 영곡리 산10-5", "지도Link")</f>
        <v/>
      </c>
      <c r="N457" s="6">
        <f>HYPERLINK("http://www.eum.go.kr/web/ar/lu/luLandDet.jsp?pnu=3611034041200100005&amp;isNoScr=script&amp;mode=search", "토지이음")</f>
        <v/>
      </c>
      <c r="O457" s="3" t="inlineStr">
        <is>
          <t>해들마루</t>
        </is>
      </c>
      <c r="P457" s="3" t="n">
        <v>1</v>
      </c>
      <c r="Q457" s="3" t="n">
        <v>79473</v>
      </c>
      <c r="R457" s="3" t="inlineStr">
        <is>
          <t>보전관리지역</t>
        </is>
      </c>
      <c r="S457" s="3" t="inlineStr">
        <is>
          <t>자연림</t>
        </is>
      </c>
      <c r="T457" s="3" t="inlineStr">
        <is>
          <t>급경사</t>
        </is>
      </c>
      <c r="U457" s="3" t="inlineStr">
        <is>
          <t>부정형</t>
        </is>
      </c>
      <c r="V457" s="3" t="inlineStr">
        <is>
          <t>세로한면(불)</t>
        </is>
      </c>
    </row>
    <row r="458">
      <c r="A458" s="3" t="inlineStr">
        <is>
          <t>세종특별자치시 금남면 영대리 180-12</t>
        </is>
      </c>
      <c r="B458" s="3" t="inlineStr">
        <is>
          <t>개발제한구역</t>
        </is>
      </c>
      <c r="C458" s="3" t="inlineStr">
        <is>
          <t>임야</t>
        </is>
      </c>
      <c r="D458" s="3" t="inlineStr">
        <is>
          <t>임야</t>
        </is>
      </c>
      <c r="E458" s="3" t="inlineStr">
        <is>
          <t>매매</t>
        </is>
      </c>
      <c r="F458" s="4" t="n">
        <v>30000</v>
      </c>
      <c r="G458" s="4" t="n">
        <v>6611</v>
      </c>
      <c r="H458" s="4" t="n">
        <v>2000</v>
      </c>
      <c r="I458" s="5" t="n">
        <v>15</v>
      </c>
      <c r="J458" s="4" t="n">
        <v>3.6</v>
      </c>
      <c r="K458" s="3" t="inlineStr">
        <is>
          <t>nan</t>
        </is>
      </c>
      <c r="L458" s="6">
        <f>HYPERLINK("https://fin.land.naver.com/articles/2647840597", "매물Link")</f>
        <v/>
      </c>
      <c r="M458" s="6">
        <f>HYPERLINK("https://map.naver.com/p/search/세종특별자치시 금남면 영대리 180-12", "지도Link")</f>
        <v/>
      </c>
      <c r="N458" s="6">
        <f>HYPERLINK("http://www.eum.go.kr/web/ar/lu/luLandDet.jsp?pnu=3611034031101800012&amp;isNoScr=script&amp;mode=search", "토지이음")</f>
        <v/>
      </c>
      <c r="O458" s="3" t="inlineStr">
        <is>
          <t>대박</t>
        </is>
      </c>
      <c r="P458" s="3" t="n">
        <v>1</v>
      </c>
      <c r="Q458" s="3" t="n">
        <v>6611</v>
      </c>
      <c r="R458" s="3" t="inlineStr">
        <is>
          <t>지정되지않음</t>
        </is>
      </c>
      <c r="S458" s="3" t="inlineStr">
        <is>
          <t>자연림</t>
        </is>
      </c>
      <c r="T458" s="3" t="inlineStr">
        <is>
          <t>완경사</t>
        </is>
      </c>
      <c r="U458" s="3" t="inlineStr">
        <is>
          <t>부정형</t>
        </is>
      </c>
      <c r="V458" s="3" t="inlineStr">
        <is>
          <t>맹지</t>
        </is>
      </c>
    </row>
    <row r="459">
      <c r="A459" s="3" t="inlineStr">
        <is>
          <t>세종특별자치시 금남면 영대리 188</t>
        </is>
      </c>
      <c r="B459" s="3" t="inlineStr">
        <is>
          <t>개발제한구역</t>
        </is>
      </c>
      <c r="C459" s="3" t="inlineStr">
        <is>
          <t>전</t>
        </is>
      </c>
      <c r="D459" s="3" t="inlineStr">
        <is>
          <t>전</t>
        </is>
      </c>
      <c r="E459" s="3" t="inlineStr">
        <is>
          <t>매매</t>
        </is>
      </c>
      <c r="F459" s="4" t="n">
        <v>65000</v>
      </c>
      <c r="G459" s="4" t="n">
        <v>2472</v>
      </c>
      <c r="H459" s="4" t="n">
        <v>748</v>
      </c>
      <c r="I459" s="5" t="n">
        <v>86.90000000000001</v>
      </c>
      <c r="J459" s="4" t="n">
        <v>49.1</v>
      </c>
      <c r="K459" s="3" t="inlineStr">
        <is>
          <t>2차선 연결된 땅 급매입니다.</t>
        </is>
      </c>
      <c r="L459" s="6">
        <f>HYPERLINK("https://fin.land.naver.com/articles/2647840215", "매물Link")</f>
        <v/>
      </c>
      <c r="M459" s="6">
        <f>HYPERLINK("https://map.naver.com/p/search/세종특별자치시 금남면 영대리 188", "지도Link")</f>
        <v/>
      </c>
      <c r="N459" s="6">
        <f>HYPERLINK("http://www.eum.go.kr/web/ar/lu/luLandDet.jsp?pnu=3611034031101880000&amp;isNoScr=script&amp;mode=search", "토지이음")</f>
        <v/>
      </c>
      <c r="O459" s="3" t="inlineStr">
        <is>
          <t>대박</t>
        </is>
      </c>
      <c r="P459" s="3" t="n">
        <v>2</v>
      </c>
      <c r="Q459" s="3" t="n">
        <v>2472</v>
      </c>
      <c r="R459" s="3" t="inlineStr">
        <is>
          <t>지정되지않음</t>
        </is>
      </c>
      <c r="S459" s="3" t="inlineStr">
        <is>
          <t>전</t>
        </is>
      </c>
      <c r="T459" s="3" t="inlineStr">
        <is>
          <t>평지</t>
        </is>
      </c>
      <c r="U459" s="3" t="inlineStr">
        <is>
          <t>부정형</t>
        </is>
      </c>
      <c r="V459" s="3" t="inlineStr">
        <is>
          <t>소로한면</t>
        </is>
      </c>
    </row>
    <row r="460">
      <c r="A460" s="3" t="inlineStr">
        <is>
          <t>세종특별자치시 금남면 영대리 247</t>
        </is>
      </c>
      <c r="B460" s="3" t="inlineStr">
        <is>
          <t>개발제한구역</t>
        </is>
      </c>
      <c r="C460" s="3" t="inlineStr">
        <is>
          <t>대</t>
        </is>
      </c>
      <c r="D460" s="3" t="inlineStr">
        <is>
          <t>대</t>
        </is>
      </c>
      <c r="E460" s="3" t="inlineStr">
        <is>
          <t>매매</t>
        </is>
      </c>
      <c r="F460" s="4" t="n">
        <v>112500</v>
      </c>
      <c r="G460" s="4" t="n">
        <v>1511</v>
      </c>
      <c r="H460" s="4" t="n">
        <v>457</v>
      </c>
      <c r="I460" s="5" t="n">
        <v>246.2</v>
      </c>
      <c r="J460" s="4" t="n">
        <v>95</v>
      </c>
      <c r="K460" s="3" t="inlineStr">
        <is>
          <t>영대리 전원생활이나 창고로 사용하기 좋은 땅</t>
        </is>
      </c>
      <c r="L460" s="6">
        <f>HYPERLINK("https://fin.land.naver.com/articles/2644581833", "매물Link")</f>
        <v/>
      </c>
      <c r="M460" s="6">
        <f>HYPERLINK("https://map.naver.com/p/search/세종특별자치시 금남면 영대리 247", "지도Link")</f>
        <v/>
      </c>
      <c r="N460" s="6">
        <f>HYPERLINK("http://www.eum.go.kr/web/ar/lu/luLandDet.jsp?pnu=3611034031102470000&amp;isNoScr=script&amp;mode=search", "토지이음")</f>
        <v/>
      </c>
      <c r="O460" s="3" t="inlineStr">
        <is>
          <t>옥수</t>
        </is>
      </c>
      <c r="P460" s="3" t="n">
        <v>1</v>
      </c>
      <c r="Q460" s="3" t="n">
        <v>1511</v>
      </c>
      <c r="R460" s="3" t="inlineStr">
        <is>
          <t>지정되지않음</t>
        </is>
      </c>
      <c r="S460" s="3" t="inlineStr">
        <is>
          <t>단독</t>
        </is>
      </c>
      <c r="T460" s="3" t="inlineStr">
        <is>
          <t>평지</t>
        </is>
      </c>
      <c r="U460" s="3" t="inlineStr">
        <is>
          <t>부정형</t>
        </is>
      </c>
      <c r="V460" s="3" t="inlineStr">
        <is>
          <t>세로한면(가)</t>
        </is>
      </c>
    </row>
    <row r="461">
      <c r="A461" s="3" t="inlineStr">
        <is>
          <t>세종특별자치시 금남면 영대리 296</t>
        </is>
      </c>
      <c r="B461" s="3" t="inlineStr">
        <is>
          <t>개발제한구역</t>
        </is>
      </c>
      <c r="C461" s="3" t="inlineStr">
        <is>
          <t>전</t>
        </is>
      </c>
      <c r="D461" s="3" t="inlineStr">
        <is>
          <t>전</t>
        </is>
      </c>
      <c r="E461" s="3" t="inlineStr">
        <is>
          <t>매매</t>
        </is>
      </c>
      <c r="F461" s="4" t="n">
        <v>47500</v>
      </c>
      <c r="G461" s="4" t="n">
        <v>1650</v>
      </c>
      <c r="H461" s="4" t="n">
        <v>499</v>
      </c>
      <c r="I461" s="5" t="n">
        <v>95.2</v>
      </c>
      <c r="J461" s="4" t="n">
        <v>35.3</v>
      </c>
      <c r="K461" s="3" t="inlineStr">
        <is>
          <t>1종 주거지역에 접한 토지, 소로3류에 접함</t>
        </is>
      </c>
      <c r="L461" s="6">
        <f>HYPERLINK("https://fin.land.naver.com/articles/2644082120", "매물Link")</f>
        <v/>
      </c>
      <c r="M461" s="6">
        <f>HYPERLINK("https://map.naver.com/p/search/세종특별자치시 금남면 영대리 296", "지도Link")</f>
        <v/>
      </c>
      <c r="N461" s="6">
        <f>HYPERLINK("http://www.eum.go.kr/web/ar/lu/luLandDet.jsp?pnu=3611034031102960000&amp;isNoScr=script&amp;mode=search", "토지이음")</f>
        <v/>
      </c>
      <c r="O461" s="3" t="inlineStr">
        <is>
          <t>세종어울림</t>
        </is>
      </c>
      <c r="P461" s="3" t="n">
        <v>1</v>
      </c>
      <c r="Q461" s="3" t="n">
        <v>1650</v>
      </c>
      <c r="R461" s="3" t="inlineStr">
        <is>
          <t>제1종일반주거지역</t>
        </is>
      </c>
      <c r="S461" s="3" t="inlineStr">
        <is>
          <t>전</t>
        </is>
      </c>
      <c r="T461" s="3" t="inlineStr">
        <is>
          <t>평지</t>
        </is>
      </c>
      <c r="U461" s="3" t="inlineStr">
        <is>
          <t>부정형</t>
        </is>
      </c>
      <c r="V461" s="3" t="inlineStr">
        <is>
          <t>세로한면(가)</t>
        </is>
      </c>
    </row>
    <row r="462">
      <c r="A462" s="3" t="inlineStr">
        <is>
          <t>세종특별자치시 금남면 영대리 315</t>
        </is>
      </c>
      <c r="B462" s="3" t="inlineStr">
        <is>
          <t>개발제한구역</t>
        </is>
      </c>
      <c r="C462" s="3" t="inlineStr">
        <is>
          <t>답</t>
        </is>
      </c>
      <c r="D462" s="3" t="inlineStr">
        <is>
          <t>답</t>
        </is>
      </c>
      <c r="E462" s="3" t="inlineStr">
        <is>
          <t>매매</t>
        </is>
      </c>
      <c r="F462" s="4" t="n">
        <v>60000</v>
      </c>
      <c r="G462" s="4" t="n">
        <v>1996</v>
      </c>
      <c r="H462" s="4" t="n">
        <v>604</v>
      </c>
      <c r="I462" s="5" t="n">
        <v>99.3</v>
      </c>
      <c r="J462" s="4" t="n">
        <v>34.6</v>
      </c>
      <c r="K462" s="3" t="inlineStr">
        <is>
          <t>금남면 영대리에 있는 개발제한구역의 토지로서 향후 지가상승이 기대되는 곳</t>
        </is>
      </c>
      <c r="L462" s="6">
        <f>HYPERLINK("https://fin.land.naver.com/articles/2647701162", "매물Link")</f>
        <v/>
      </c>
      <c r="M462" s="6">
        <f>HYPERLINK("https://map.naver.com/p/search/세종특별자치시 금남면 영대리 315", "지도Link")</f>
        <v/>
      </c>
      <c r="N462" s="6">
        <f>HYPERLINK("http://www.eum.go.kr/web/ar/lu/luLandDet.jsp?pnu=3611034031103150000&amp;isNoScr=script&amp;mode=search", "토지이음")</f>
        <v/>
      </c>
      <c r="O462" s="3" t="inlineStr">
        <is>
          <t>스마일세종</t>
        </is>
      </c>
      <c r="P462" s="3" t="n">
        <v>1</v>
      </c>
      <c r="Q462" s="3" t="n">
        <v>1996</v>
      </c>
      <c r="R462" s="3" t="inlineStr">
        <is>
          <t>지정되지않음</t>
        </is>
      </c>
      <c r="S462" s="3" t="inlineStr">
        <is>
          <t>답</t>
        </is>
      </c>
      <c r="T462" s="3" t="inlineStr">
        <is>
          <t>평지</t>
        </is>
      </c>
      <c r="U462" s="3" t="inlineStr">
        <is>
          <t>부정형</t>
        </is>
      </c>
      <c r="V462" s="3" t="inlineStr">
        <is>
          <t>세로한면(가)</t>
        </is>
      </c>
    </row>
    <row r="463">
      <c r="A463" s="3" t="inlineStr">
        <is>
          <t>세종특별자치시 금남면 영대리 368</t>
        </is>
      </c>
      <c r="B463" s="3" t="inlineStr">
        <is>
          <t>자연녹지지역</t>
        </is>
      </c>
      <c r="C463" s="3" t="inlineStr">
        <is>
          <t>대</t>
        </is>
      </c>
      <c r="D463" s="3" t="inlineStr">
        <is>
          <t>대</t>
        </is>
      </c>
      <c r="E463" s="3" t="inlineStr">
        <is>
          <t>매매</t>
        </is>
      </c>
      <c r="F463" s="4" t="n">
        <v>67000</v>
      </c>
      <c r="G463" s="4" t="n">
        <v>641</v>
      </c>
      <c r="H463" s="4" t="n">
        <v>194</v>
      </c>
      <c r="I463" s="5" t="n">
        <v>345.4</v>
      </c>
      <c r="J463" s="4" t="n">
        <v>115.7</v>
      </c>
      <c r="K463" s="3" t="inlineStr">
        <is>
          <t>O더끌림O 개발 호재 인근 토지 매매, 투자 가치 높은 매물</t>
        </is>
      </c>
      <c r="L463" s="6">
        <f>HYPERLINK("https://fin.land.naver.com/articles/2648074530", "매물Link")</f>
        <v/>
      </c>
      <c r="M463" s="6">
        <f>HYPERLINK("https://map.naver.com/p/search/세종특별자치시 금남면 영대리 368", "지도Link")</f>
        <v/>
      </c>
      <c r="N463" s="6">
        <f>HYPERLINK("http://www.eum.go.kr/web/ar/lu/luLandDet.jsp?pnu=3611034031103680000&amp;isNoScr=script&amp;mode=search", "토지이음")</f>
        <v/>
      </c>
      <c r="O463" s="3" t="inlineStr">
        <is>
          <t>더끌림</t>
        </is>
      </c>
      <c r="P463" s="3" t="n">
        <v>1</v>
      </c>
      <c r="Q463" s="3" t="n">
        <v>641</v>
      </c>
      <c r="R463" s="3" t="inlineStr">
        <is>
          <t>지정되지않음</t>
        </is>
      </c>
      <c r="S463" s="3" t="inlineStr">
        <is>
          <t>단독</t>
        </is>
      </c>
      <c r="T463" s="3" t="inlineStr">
        <is>
          <t>평지</t>
        </is>
      </c>
      <c r="U463" s="3" t="inlineStr">
        <is>
          <t>부정형</t>
        </is>
      </c>
      <c r="V463" s="3" t="inlineStr">
        <is>
          <t>세로한면(가)</t>
        </is>
      </c>
    </row>
    <row r="464">
      <c r="A464" s="3" t="inlineStr">
        <is>
          <t>세종특별자치시 금남면 영대리 373</t>
        </is>
      </c>
      <c r="B464" s="3" t="inlineStr">
        <is>
          <t>자연녹지지역</t>
        </is>
      </c>
      <c r="C464" s="3" t="inlineStr">
        <is>
          <t>답</t>
        </is>
      </c>
      <c r="D464" s="3" t="inlineStr">
        <is>
          <t>답</t>
        </is>
      </c>
      <c r="E464" s="3" t="inlineStr">
        <is>
          <t>매매</t>
        </is>
      </c>
      <c r="F464" s="4" t="n">
        <v>32400</v>
      </c>
      <c r="G464" s="4" t="n">
        <v>714</v>
      </c>
      <c r="H464" s="4" t="n">
        <v>216</v>
      </c>
      <c r="I464" s="5" t="n">
        <v>150</v>
      </c>
      <c r="J464" s="4" t="n">
        <v>86.3</v>
      </c>
      <c r="K464" s="3" t="inlineStr">
        <is>
          <t>세종시 도시지역 내 취락지구 토지 매매.가격조정 협의</t>
        </is>
      </c>
      <c r="L464" s="6">
        <f>HYPERLINK("https://fin.land.naver.com/articles/2645317225", "매물Link")</f>
        <v/>
      </c>
      <c r="M464" s="6">
        <f>HYPERLINK("https://map.naver.com/p/search/세종특별자치시 금남면 영대리 373", "지도Link")</f>
        <v/>
      </c>
      <c r="N464" s="6">
        <f>HYPERLINK("http://www.eum.go.kr/web/ar/lu/luLandDet.jsp?pnu=3611034031103730000&amp;isNoScr=script&amp;mode=search", "토지이음")</f>
        <v/>
      </c>
      <c r="O464" s="3" t="inlineStr">
        <is>
          <t>유성대박</t>
        </is>
      </c>
      <c r="P464" s="3" t="n">
        <v>1</v>
      </c>
      <c r="Q464" s="3" t="n">
        <v>714</v>
      </c>
      <c r="R464" s="3" t="inlineStr">
        <is>
          <t>지정되지않음</t>
        </is>
      </c>
      <c r="S464" s="3" t="inlineStr">
        <is>
          <t>답</t>
        </is>
      </c>
      <c r="T464" s="3" t="inlineStr">
        <is>
          <t>평지</t>
        </is>
      </c>
      <c r="U464" s="3" t="inlineStr">
        <is>
          <t>부정형</t>
        </is>
      </c>
      <c r="V464" s="3" t="inlineStr">
        <is>
          <t>세로한면(가)</t>
        </is>
      </c>
    </row>
    <row r="465">
      <c r="A465" s="3" t="inlineStr">
        <is>
          <t>세종특별자치시 금남면 영대리 406</t>
        </is>
      </c>
      <c r="B465" s="3" t="inlineStr">
        <is>
          <t>개발제한구역</t>
        </is>
      </c>
      <c r="C465" s="3" t="inlineStr">
        <is>
          <t>답</t>
        </is>
      </c>
      <c r="D465" s="3" t="inlineStr">
        <is>
          <t>답</t>
        </is>
      </c>
      <c r="E465" s="3" t="inlineStr">
        <is>
          <t>매매</t>
        </is>
      </c>
      <c r="F465" s="4" t="n">
        <v>30510</v>
      </c>
      <c r="G465" s="4" t="n">
        <v>3362</v>
      </c>
      <c r="H465" s="4" t="n">
        <v>1017</v>
      </c>
      <c r="I465" s="5" t="n">
        <v>30</v>
      </c>
      <c r="J465" s="4" t="n">
        <v>21.8</v>
      </c>
      <c r="K465" s="3" t="inlineStr">
        <is>
          <t>세종시 사놓으면 돈 되는 땅. 맹지아님,가격조정 협의</t>
        </is>
      </c>
      <c r="L465" s="6">
        <f>HYPERLINK("https://fin.land.naver.com/articles/2645318008", "매물Link")</f>
        <v/>
      </c>
      <c r="M465" s="6">
        <f>HYPERLINK("https://map.naver.com/p/search/세종특별자치시 금남면 영대리 406", "지도Link")</f>
        <v/>
      </c>
      <c r="N465" s="6">
        <f>HYPERLINK("http://www.eum.go.kr/web/ar/lu/luLandDet.jsp?pnu=3611034031104060000&amp;isNoScr=script&amp;mode=search", "토지이음")</f>
        <v/>
      </c>
      <c r="O465" s="3" t="inlineStr">
        <is>
          <t>유성대박</t>
        </is>
      </c>
      <c r="P465" s="3" t="n">
        <v>1</v>
      </c>
      <c r="Q465" s="3" t="n">
        <v>3362</v>
      </c>
      <c r="R465" s="3" t="inlineStr">
        <is>
          <t>지정되지않음</t>
        </is>
      </c>
      <c r="S465" s="3" t="inlineStr">
        <is>
          <t>답</t>
        </is>
      </c>
      <c r="T465" s="3" t="inlineStr">
        <is>
          <t>완경사</t>
        </is>
      </c>
      <c r="U465" s="3" t="inlineStr">
        <is>
          <t>부정형</t>
        </is>
      </c>
      <c r="V465" s="3" t="inlineStr">
        <is>
          <t>맹지</t>
        </is>
      </c>
    </row>
    <row r="466">
      <c r="A466" s="3" t="inlineStr">
        <is>
          <t>세종특별자치시 금남면 영대리 436</t>
        </is>
      </c>
      <c r="B466" s="3" t="inlineStr">
        <is>
          <t>개발제한구역</t>
        </is>
      </c>
      <c r="C466" s="3" t="inlineStr">
        <is>
          <t>답</t>
        </is>
      </c>
      <c r="D466" s="3" t="inlineStr">
        <is>
          <t>답</t>
        </is>
      </c>
      <c r="E466" s="3" t="inlineStr">
        <is>
          <t>매매</t>
        </is>
      </c>
      <c r="F466" s="4" t="n">
        <v>13500</v>
      </c>
      <c r="G466" s="4" t="n">
        <v>1488</v>
      </c>
      <c r="H466" s="4" t="n">
        <v>450</v>
      </c>
      <c r="I466" s="5" t="n">
        <v>30</v>
      </c>
      <c r="J466" s="4" t="n">
        <v>15.3</v>
      </c>
      <c r="K466" s="3" t="inlineStr">
        <is>
          <t>OK  자연녹지, 개발제한구역. 현황도로있음</t>
        </is>
      </c>
      <c r="L466" s="6">
        <f>HYPERLINK("https://fin.land.naver.com/articles/2645602237", "매물Link")</f>
        <v/>
      </c>
      <c r="M466" s="6">
        <f>HYPERLINK("https://map.naver.com/p/search/세종특별자치시 금남면 영대리 436", "지도Link")</f>
        <v/>
      </c>
      <c r="N466" s="6">
        <f>HYPERLINK("http://www.eum.go.kr/web/ar/lu/luLandDet.jsp?pnu=3611034031104360000&amp;isNoScr=script&amp;mode=search", "토지이음")</f>
        <v/>
      </c>
      <c r="O466" s="3" t="inlineStr">
        <is>
          <t>OK</t>
        </is>
      </c>
      <c r="P466" s="3" t="n">
        <v>1</v>
      </c>
      <c r="Q466" s="3" t="n">
        <v>1488</v>
      </c>
      <c r="R466" s="3" t="inlineStr">
        <is>
          <t>지정되지않음</t>
        </is>
      </c>
      <c r="S466" s="3" t="inlineStr">
        <is>
          <t>답</t>
        </is>
      </c>
      <c r="T466" s="3" t="inlineStr">
        <is>
          <t>급경사</t>
        </is>
      </c>
      <c r="U466" s="3" t="inlineStr">
        <is>
          <t>부정형</t>
        </is>
      </c>
      <c r="V466" s="3" t="inlineStr">
        <is>
          <t>세로한면(가)</t>
        </is>
      </c>
    </row>
    <row r="467">
      <c r="A467" s="3" t="inlineStr">
        <is>
          <t>세종특별자치시 금남면 영대리 456-6</t>
        </is>
      </c>
      <c r="B467" s="3" t="inlineStr">
        <is>
          <t>개발제한구역</t>
        </is>
      </c>
      <c r="C467" s="3" t="inlineStr">
        <is>
          <t>전</t>
        </is>
      </c>
      <c r="D467" s="3" t="inlineStr">
        <is>
          <t>전</t>
        </is>
      </c>
      <c r="E467" s="3" t="inlineStr">
        <is>
          <t>매매</t>
        </is>
      </c>
      <c r="F467" s="4" t="n">
        <v>14000</v>
      </c>
      <c r="G467" s="4" t="n">
        <v>1235</v>
      </c>
      <c r="H467" s="4" t="n">
        <v>374</v>
      </c>
      <c r="I467" s="5" t="n">
        <v>37.4</v>
      </c>
      <c r="J467" s="4" t="n">
        <v>28</v>
      </c>
      <c r="K467" s="3" t="inlineStr">
        <is>
          <t>세계로 대토추천급매 도로접 집단취락지구 전입니다.</t>
        </is>
      </c>
      <c r="L467" s="6">
        <f>HYPERLINK("https://fin.land.naver.com/articles/2648123554", "매물Link")</f>
        <v/>
      </c>
      <c r="M467" s="6">
        <f>HYPERLINK("https://map.naver.com/p/search/세종특별자치시 금남면 영대리 456-6", "지도Link")</f>
        <v/>
      </c>
      <c r="N467" s="6">
        <f>HYPERLINK("http://www.eum.go.kr/web/ar/lu/luLandDet.jsp?pnu=3611034031104560006&amp;isNoScr=script&amp;mode=search", "토지이음")</f>
        <v/>
      </c>
      <c r="O467" s="3" t="inlineStr">
        <is>
          <t>세계로</t>
        </is>
      </c>
      <c r="P467" s="3" t="n">
        <v>1</v>
      </c>
      <c r="Q467" s="3" t="n">
        <v>1235</v>
      </c>
      <c r="R467" s="3" t="inlineStr">
        <is>
          <t>지정되지않음</t>
        </is>
      </c>
      <c r="S467" s="3" t="inlineStr">
        <is>
          <t>전</t>
        </is>
      </c>
      <c r="T467" s="3" t="inlineStr">
        <is>
          <t>완경사</t>
        </is>
      </c>
      <c r="U467" s="3" t="inlineStr">
        <is>
          <t>부정형</t>
        </is>
      </c>
      <c r="V467" s="3" t="inlineStr">
        <is>
          <t>세로한면(가)</t>
        </is>
      </c>
    </row>
    <row r="468">
      <c r="A468" s="3" t="inlineStr">
        <is>
          <t>세종특별자치시 금남면 영대리 508</t>
        </is>
      </c>
      <c r="B468" s="3" t="inlineStr">
        <is>
          <t>개발제한구역</t>
        </is>
      </c>
      <c r="C468" s="3" t="inlineStr">
        <is>
          <t>답</t>
        </is>
      </c>
      <c r="D468" s="3" t="inlineStr">
        <is>
          <t>답</t>
        </is>
      </c>
      <c r="E468" s="3" t="inlineStr">
        <is>
          <t>매매</t>
        </is>
      </c>
      <c r="F468" s="4" t="n">
        <v>23800</v>
      </c>
      <c r="G468" s="4" t="n">
        <v>787</v>
      </c>
      <c r="H468" s="4" t="n">
        <v>238</v>
      </c>
      <c r="I468" s="5" t="n">
        <v>100</v>
      </c>
      <c r="J468" s="4" t="n">
        <v>39.9</v>
      </c>
      <c r="K468" s="3" t="inlineStr">
        <is>
          <t>땅모양 예쁘고 2면도로 접한토지,대토나투자용으로 추천</t>
        </is>
      </c>
      <c r="L468" s="6">
        <f>HYPERLINK("https://fin.land.naver.com/articles/2645753258", "매물Link")</f>
        <v/>
      </c>
      <c r="M468" s="6">
        <f>HYPERLINK("https://map.naver.com/p/search/세종특별자치시 금남면 영대리 508", "지도Link")</f>
        <v/>
      </c>
      <c r="N468" s="6">
        <f>HYPERLINK("http://www.eum.go.kr/web/ar/lu/luLandDet.jsp?pnu=3611034031105080000&amp;isNoScr=script&amp;mode=search", "토지이음")</f>
        <v/>
      </c>
      <c r="O468" s="3" t="inlineStr">
        <is>
          <t>타이밍</t>
        </is>
      </c>
      <c r="P468" s="3" t="n">
        <v>1</v>
      </c>
      <c r="Q468" s="3" t="n">
        <v>787</v>
      </c>
      <c r="R468" s="3" t="inlineStr">
        <is>
          <t>지정되지않음</t>
        </is>
      </c>
      <c r="S468" s="3" t="inlineStr">
        <is>
          <t>답</t>
        </is>
      </c>
      <c r="T468" s="3" t="inlineStr">
        <is>
          <t>완경사</t>
        </is>
      </c>
      <c r="U468" s="3" t="inlineStr">
        <is>
          <t>부정형</t>
        </is>
      </c>
      <c r="V468" s="3" t="inlineStr">
        <is>
          <t>세로한면(가)</t>
        </is>
      </c>
    </row>
    <row r="469">
      <c r="A469" s="3" t="inlineStr">
        <is>
          <t>세종특별자치시 금남면 영대리 529</t>
        </is>
      </c>
      <c r="B469" s="3" t="inlineStr">
        <is>
          <t>개발제한구역</t>
        </is>
      </c>
      <c r="C469" s="3" t="inlineStr">
        <is>
          <t>답</t>
        </is>
      </c>
      <c r="D469" s="3" t="inlineStr">
        <is>
          <t>답</t>
        </is>
      </c>
      <c r="E469" s="3" t="inlineStr">
        <is>
          <t>매매</t>
        </is>
      </c>
      <c r="F469" s="4" t="n">
        <v>30000</v>
      </c>
      <c r="G469" s="4" t="n">
        <v>1653</v>
      </c>
      <c r="H469" s="4" t="n">
        <v>500</v>
      </c>
      <c r="I469" s="5" t="n">
        <v>60</v>
      </c>
      <c r="J469" s="4" t="n">
        <v>47.6</v>
      </c>
      <c r="K469" s="3" t="inlineStr">
        <is>
          <t>nan</t>
        </is>
      </c>
      <c r="L469" s="6">
        <f>HYPERLINK("https://fin.land.naver.com/articles/2645317292", "매물Link")</f>
        <v/>
      </c>
      <c r="M469" s="6">
        <f>HYPERLINK("https://map.naver.com/p/search/세종특별자치시 금남면 영대리 529", "지도Link")</f>
        <v/>
      </c>
      <c r="N469" s="6">
        <f>HYPERLINK("http://www.eum.go.kr/web/ar/lu/luLandDet.jsp?pnu=3611034031105290000&amp;isNoScr=script&amp;mode=search", "토지이음")</f>
        <v/>
      </c>
      <c r="O469" s="3" t="inlineStr">
        <is>
          <t>유성대박</t>
        </is>
      </c>
      <c r="P469" s="3" t="n">
        <v>1</v>
      </c>
      <c r="Q469" s="3" t="n">
        <v>1653</v>
      </c>
      <c r="R469" s="3" t="inlineStr">
        <is>
          <t>지정되지않음</t>
        </is>
      </c>
      <c r="S469" s="3" t="inlineStr">
        <is>
          <t>답</t>
        </is>
      </c>
      <c r="T469" s="3" t="inlineStr">
        <is>
          <t>평지</t>
        </is>
      </c>
      <c r="U469" s="3" t="inlineStr">
        <is>
          <t>부정형</t>
        </is>
      </c>
      <c r="V469" s="3" t="inlineStr">
        <is>
          <t>세로한면(가)</t>
        </is>
      </c>
    </row>
    <row r="470">
      <c r="A470" s="3" t="inlineStr">
        <is>
          <t>세종특별자치시 금남면 영대리 61-3</t>
        </is>
      </c>
      <c r="B470" s="3" t="inlineStr">
        <is>
          <t>개발제한구역</t>
        </is>
      </c>
      <c r="C470" s="3" t="inlineStr">
        <is>
          <t>답</t>
        </is>
      </c>
      <c r="D470" s="3" t="inlineStr">
        <is>
          <t>답</t>
        </is>
      </c>
      <c r="E470" s="3" t="inlineStr">
        <is>
          <t>매매</t>
        </is>
      </c>
      <c r="F470" s="4" t="n">
        <v>26000</v>
      </c>
      <c r="G470" s="4" t="n">
        <v>1230</v>
      </c>
      <c r="H470" s="4" t="n">
        <v>372</v>
      </c>
      <c r="I470" s="5" t="n">
        <v>69.90000000000001</v>
      </c>
      <c r="J470" s="4" t="n">
        <v>31.9</v>
      </c>
      <c r="K470" s="3" t="inlineStr">
        <is>
          <t>3생활권초입 미래가치 좋은 접근성 및 관리 용이</t>
        </is>
      </c>
      <c r="L470" s="6">
        <f>HYPERLINK("https://fin.land.naver.com/articles/2644081557", "매물Link")</f>
        <v/>
      </c>
      <c r="M470" s="6">
        <f>HYPERLINK("https://map.naver.com/p/search/세종특별자치시 금남면 영대리 61-3", "지도Link")</f>
        <v/>
      </c>
      <c r="N470" s="6">
        <f>HYPERLINK("http://www.eum.go.kr/web/ar/lu/luLandDet.jsp?pnu=3611034031100610003&amp;isNoScr=script&amp;mode=search", "토지이음")</f>
        <v/>
      </c>
      <c r="O470" s="3" t="inlineStr">
        <is>
          <t>세종어울림</t>
        </is>
      </c>
      <c r="P470" s="3" t="n">
        <v>1</v>
      </c>
      <c r="Q470" s="3" t="n">
        <v>1230</v>
      </c>
      <c r="R470" s="3" t="inlineStr">
        <is>
          <t>지정되지않음</t>
        </is>
      </c>
      <c r="S470" s="3" t="inlineStr">
        <is>
          <t>답</t>
        </is>
      </c>
      <c r="T470" s="3" t="inlineStr">
        <is>
          <t>평지</t>
        </is>
      </c>
      <c r="U470" s="3" t="inlineStr">
        <is>
          <t>사다리형</t>
        </is>
      </c>
      <c r="V470" s="3" t="inlineStr">
        <is>
          <t>맹지</t>
        </is>
      </c>
    </row>
    <row r="471">
      <c r="A471" s="3" t="inlineStr">
        <is>
          <t>세종특별자치시 금남면 영대리 61-4</t>
        </is>
      </c>
      <c r="B471" s="3" t="inlineStr">
        <is>
          <t>개발제한구역</t>
        </is>
      </c>
      <c r="C471" s="3" t="inlineStr">
        <is>
          <t>답</t>
        </is>
      </c>
      <c r="D471" s="3" t="inlineStr">
        <is>
          <t>답</t>
        </is>
      </c>
      <c r="E471" s="3" t="inlineStr">
        <is>
          <t>매매</t>
        </is>
      </c>
      <c r="F471" s="4" t="n">
        <v>32000</v>
      </c>
      <c r="G471" s="4" t="n">
        <v>1321</v>
      </c>
      <c r="H471" s="4" t="n">
        <v>400</v>
      </c>
      <c r="I471" s="5" t="n">
        <v>80</v>
      </c>
      <c r="J471" s="4" t="n">
        <v>31.9</v>
      </c>
      <c r="K471" s="3" t="inlineStr">
        <is>
          <t>도로여건 좋은 탁 트인 답</t>
        </is>
      </c>
      <c r="L471" s="6">
        <f>HYPERLINK("https://fin.land.naver.com/articles/2647849505", "매물Link")</f>
        <v/>
      </c>
      <c r="M471" s="6">
        <f>HYPERLINK("https://map.naver.com/p/search/세종특별자치시 금남면 영대리 61-4", "지도Link")</f>
        <v/>
      </c>
      <c r="N471" s="6">
        <f>HYPERLINK("http://www.eum.go.kr/web/ar/lu/luLandDet.jsp?pnu=3611034031100610004&amp;isNoScr=script&amp;mode=search", "토지이음")</f>
        <v/>
      </c>
      <c r="O471" s="3" t="inlineStr">
        <is>
          <t>대박</t>
        </is>
      </c>
      <c r="P471" s="3" t="n">
        <v>1</v>
      </c>
      <c r="Q471" s="3" t="n">
        <v>1321</v>
      </c>
      <c r="R471" s="3" t="inlineStr">
        <is>
          <t>지정되지않음</t>
        </is>
      </c>
      <c r="S471" s="3" t="inlineStr">
        <is>
          <t>답</t>
        </is>
      </c>
      <c r="T471" s="3" t="inlineStr">
        <is>
          <t>평지</t>
        </is>
      </c>
      <c r="U471" s="3" t="inlineStr">
        <is>
          <t>세로장방</t>
        </is>
      </c>
      <c r="V471" s="3" t="inlineStr">
        <is>
          <t>맹지</t>
        </is>
      </c>
    </row>
    <row r="472">
      <c r="A472" s="3" t="inlineStr">
        <is>
          <t>세종특별자치시 금남면 영대리 619</t>
        </is>
      </c>
      <c r="B472" s="3" t="inlineStr">
        <is>
          <t>개발제한구역</t>
        </is>
      </c>
      <c r="C472" s="3" t="inlineStr">
        <is>
          <t>답</t>
        </is>
      </c>
      <c r="D472" s="3" t="inlineStr">
        <is>
          <t>답</t>
        </is>
      </c>
      <c r="E472" s="3" t="inlineStr">
        <is>
          <t>매매</t>
        </is>
      </c>
      <c r="F472" s="4" t="n">
        <v>100000</v>
      </c>
      <c r="G472" s="4" t="n">
        <v>4996</v>
      </c>
      <c r="H472" s="4" t="n">
        <v>1511</v>
      </c>
      <c r="I472" s="5" t="n">
        <v>66.2</v>
      </c>
      <c r="J472" s="4" t="n">
        <v>31</v>
      </c>
      <c r="K472" s="3" t="inlineStr">
        <is>
          <t>영대리 자연취락지구 개발제한구역의 경사도 완만하고 아늑한 투자용 토지</t>
        </is>
      </c>
      <c r="L472" s="6">
        <f>HYPERLINK("https://fin.land.naver.com/articles/2647743985", "매물Link")</f>
        <v/>
      </c>
      <c r="M472" s="6">
        <f>HYPERLINK("https://map.naver.com/p/search/세종특별자치시 금남면 영대리 619", "지도Link")</f>
        <v/>
      </c>
      <c r="N472" s="6">
        <f>HYPERLINK("http://www.eum.go.kr/web/ar/lu/luLandDet.jsp?pnu=3611034031106190000&amp;isNoScr=script&amp;mode=search", "토지이음")</f>
        <v/>
      </c>
      <c r="O472" s="3" t="inlineStr">
        <is>
          <t>스마일세종</t>
        </is>
      </c>
      <c r="P472" s="3" t="n">
        <v>1</v>
      </c>
      <c r="Q472" s="3" t="n">
        <v>1683</v>
      </c>
      <c r="R472" s="3" t="inlineStr">
        <is>
          <t>자연녹지지역</t>
        </is>
      </c>
      <c r="S472" s="3" t="inlineStr">
        <is>
          <t>답</t>
        </is>
      </c>
      <c r="T472" s="3" t="inlineStr">
        <is>
          <t>완경사</t>
        </is>
      </c>
      <c r="U472" s="3" t="inlineStr">
        <is>
          <t>부정형</t>
        </is>
      </c>
      <c r="V472" s="3" t="inlineStr">
        <is>
          <t>세로한면(불)</t>
        </is>
      </c>
    </row>
    <row r="473">
      <c r="A473" s="3" t="inlineStr">
        <is>
          <t>세종특별자치시 금남면 영대리 62-3</t>
        </is>
      </c>
      <c r="B473" s="3" t="inlineStr">
        <is>
          <t>개발제한구역</t>
        </is>
      </c>
      <c r="C473" s="3" t="inlineStr">
        <is>
          <t>답</t>
        </is>
      </c>
      <c r="D473" s="3" t="inlineStr">
        <is>
          <t>답</t>
        </is>
      </c>
      <c r="E473" s="3" t="inlineStr">
        <is>
          <t>매매</t>
        </is>
      </c>
      <c r="F473" s="4" t="n">
        <v>54000</v>
      </c>
      <c r="G473" s="4" t="n">
        <v>2975</v>
      </c>
      <c r="H473" s="4" t="n">
        <v>900</v>
      </c>
      <c r="I473" s="5" t="n">
        <v>60</v>
      </c>
      <c r="J473" s="4" t="n">
        <v>38.5</v>
      </c>
      <c r="K473" s="3" t="inlineStr">
        <is>
          <t>3생활권초입위치, 미래가치 좋은 곳, 접근성 및관리용이</t>
        </is>
      </c>
      <c r="L473" s="6">
        <f>HYPERLINK("https://fin.land.naver.com/articles/2644080157", "매물Link")</f>
        <v/>
      </c>
      <c r="M473" s="6">
        <f>HYPERLINK("https://map.naver.com/p/search/세종특별자치시 금남면 영대리 62-3", "지도Link")</f>
        <v/>
      </c>
      <c r="N473" s="6">
        <f>HYPERLINK("http://www.eum.go.kr/web/ar/lu/luLandDet.jsp?pnu=3611034031100620003&amp;isNoScr=script&amp;mode=search", "토지이음")</f>
        <v/>
      </c>
      <c r="O473" s="3" t="inlineStr">
        <is>
          <t>세종어울림</t>
        </is>
      </c>
      <c r="P473" s="3" t="n">
        <v>1</v>
      </c>
      <c r="Q473" s="3" t="n">
        <v>2975</v>
      </c>
      <c r="R473" s="3" t="inlineStr">
        <is>
          <t>지정되지않음</t>
        </is>
      </c>
      <c r="S473" s="3" t="inlineStr">
        <is>
          <t>답</t>
        </is>
      </c>
      <c r="T473" s="3" t="inlineStr">
        <is>
          <t>평지</t>
        </is>
      </c>
      <c r="U473" s="3" t="inlineStr">
        <is>
          <t>세로장방</t>
        </is>
      </c>
      <c r="V473" s="3" t="inlineStr">
        <is>
          <t>세로한면(가)</t>
        </is>
      </c>
    </row>
    <row r="474">
      <c r="A474" s="3" t="inlineStr">
        <is>
          <t>세종특별자치시 금남면 영대리 620</t>
        </is>
      </c>
      <c r="B474" s="3" t="inlineStr">
        <is>
          <t>자연녹지지역</t>
        </is>
      </c>
      <c r="C474" s="3" t="inlineStr">
        <is>
          <t>대</t>
        </is>
      </c>
      <c r="D474" s="3" t="inlineStr">
        <is>
          <t>대</t>
        </is>
      </c>
      <c r="E474" s="3" t="inlineStr">
        <is>
          <t>매매</t>
        </is>
      </c>
      <c r="F474" s="4" t="n">
        <v>60000</v>
      </c>
      <c r="G474" s="4" t="n">
        <v>1160</v>
      </c>
      <c r="H474" s="4" t="n">
        <v>351</v>
      </c>
      <c r="I474" s="5" t="n">
        <v>170.9</v>
      </c>
      <c r="J474" s="4" t="n">
        <v>108</v>
      </c>
      <c r="K474" s="3" t="inlineStr">
        <is>
          <t>영대리 도시지역 자연취락지구의 주변시세보다 저렴한 대지입니다</t>
        </is>
      </c>
      <c r="L474" s="6">
        <f>HYPERLINK("https://fin.land.naver.com/articles/2647280278", "매물Link")</f>
        <v/>
      </c>
      <c r="M474" s="6">
        <f>HYPERLINK("https://map.naver.com/p/search/세종특별자치시 금남면 영대리 620", "지도Link")</f>
        <v/>
      </c>
      <c r="N474" s="6">
        <f>HYPERLINK("http://www.eum.go.kr/web/ar/lu/luLandDet.jsp?pnu=3611034031106200000&amp;isNoScr=script&amp;mode=search", "토지이음")</f>
        <v/>
      </c>
      <c r="O474" s="3" t="inlineStr">
        <is>
          <t>스마일세종</t>
        </is>
      </c>
      <c r="P474" s="3" t="n">
        <v>1</v>
      </c>
      <c r="Q474" s="3" t="n">
        <v>1160</v>
      </c>
      <c r="R474" s="3" t="inlineStr">
        <is>
          <t>지정되지않음</t>
        </is>
      </c>
      <c r="S474" s="3" t="inlineStr">
        <is>
          <t>단독</t>
        </is>
      </c>
      <c r="T474" s="3" t="inlineStr">
        <is>
          <t>완경사</t>
        </is>
      </c>
      <c r="U474" s="3" t="inlineStr">
        <is>
          <t>부정형</t>
        </is>
      </c>
      <c r="V474" s="3" t="inlineStr">
        <is>
          <t>세로한면(불)</t>
        </is>
      </c>
    </row>
    <row r="475">
      <c r="A475" s="3" t="inlineStr">
        <is>
          <t>세종특별자치시 금남면 영대리 643</t>
        </is>
      </c>
      <c r="B475" s="3" t="inlineStr">
        <is>
          <t>개발제한구역</t>
        </is>
      </c>
      <c r="C475" s="3" t="inlineStr">
        <is>
          <t>전</t>
        </is>
      </c>
      <c r="D475" s="3" t="inlineStr">
        <is>
          <t>전</t>
        </is>
      </c>
      <c r="E475" s="3" t="inlineStr">
        <is>
          <t>매매</t>
        </is>
      </c>
      <c r="F475" s="4" t="n">
        <v>22000</v>
      </c>
      <c r="G475" s="4" t="n">
        <v>1012</v>
      </c>
      <c r="H475" s="4" t="n">
        <v>306</v>
      </c>
      <c r="I475" s="5" t="n">
        <v>71.90000000000001</v>
      </c>
      <c r="J475" s="4" t="n">
        <v>24.4</v>
      </c>
      <c r="K475" s="3" t="inlineStr">
        <is>
          <t>주말농장 귀농 또는 투자 가능한 저렴한 토지</t>
        </is>
      </c>
      <c r="L475" s="6">
        <f>HYPERLINK("https://fin.land.naver.com/articles/2648545145", "매물Link")</f>
        <v/>
      </c>
      <c r="M475" s="6">
        <f>HYPERLINK("https://map.naver.com/p/search/세종특별자치시 금남면 영대리 643", "지도Link")</f>
        <v/>
      </c>
      <c r="N475" s="6">
        <f>HYPERLINK("http://www.eum.go.kr/web/ar/lu/luLandDet.jsp?pnu=3611034031106430000&amp;isNoScr=script&amp;mode=search", "토지이음")</f>
        <v/>
      </c>
      <c r="O475" s="3" t="inlineStr">
        <is>
          <t>뉴엘리트탑</t>
        </is>
      </c>
      <c r="P475" s="3" t="n">
        <v>1</v>
      </c>
      <c r="Q475" s="3" t="n">
        <v>1012</v>
      </c>
      <c r="R475" s="3" t="inlineStr">
        <is>
          <t>지정되지않음</t>
        </is>
      </c>
      <c r="S475" s="3" t="inlineStr">
        <is>
          <t>전</t>
        </is>
      </c>
      <c r="T475" s="3" t="inlineStr">
        <is>
          <t>완경사</t>
        </is>
      </c>
      <c r="U475" s="3" t="inlineStr">
        <is>
          <t>부정형</t>
        </is>
      </c>
      <c r="V475" s="3" t="inlineStr">
        <is>
          <t>맹지</t>
        </is>
      </c>
    </row>
    <row r="476">
      <c r="A476" s="3" t="inlineStr">
        <is>
          <t>세종특별자치시 금남면 영대리 73-8</t>
        </is>
      </c>
      <c r="B476" s="3" t="inlineStr">
        <is>
          <t>개발제한구역</t>
        </is>
      </c>
      <c r="C476" s="3" t="inlineStr">
        <is>
          <t>답</t>
        </is>
      </c>
      <c r="D476" s="3" t="inlineStr">
        <is>
          <t>답</t>
        </is>
      </c>
      <c r="E476" s="3" t="inlineStr">
        <is>
          <t>매매</t>
        </is>
      </c>
      <c r="F476" s="4" t="n">
        <v>35530</v>
      </c>
      <c r="G476" s="4" t="n">
        <v>1383</v>
      </c>
      <c r="H476" s="4" t="n">
        <v>418</v>
      </c>
      <c r="I476" s="5" t="n">
        <v>85</v>
      </c>
      <c r="J476" s="4" t="n">
        <v>40.4</v>
      </c>
      <c r="K476" s="3" t="inlineStr">
        <is>
          <t>마을 앞 해 잘드는 답입니다.</t>
        </is>
      </c>
      <c r="L476" s="6">
        <f>HYPERLINK("https://fin.land.naver.com/articles/2647843732", "매물Link")</f>
        <v/>
      </c>
      <c r="M476" s="6">
        <f>HYPERLINK("https://map.naver.com/p/search/세종특별자치시 금남면 영대리 73-8", "지도Link")</f>
        <v/>
      </c>
      <c r="N476" s="6">
        <f>HYPERLINK("http://www.eum.go.kr/web/ar/lu/luLandDet.jsp?pnu=3611034031100730008&amp;isNoScr=script&amp;mode=search", "토지이음")</f>
        <v/>
      </c>
      <c r="O476" s="3" t="inlineStr">
        <is>
          <t>대박</t>
        </is>
      </c>
      <c r="P476" s="3" t="n">
        <v>1</v>
      </c>
      <c r="Q476" s="3" t="n">
        <v>1383</v>
      </c>
      <c r="R476" s="3" t="inlineStr">
        <is>
          <t>지정되지않음</t>
        </is>
      </c>
      <c r="S476" s="3" t="inlineStr">
        <is>
          <t>답</t>
        </is>
      </c>
      <c r="T476" s="3" t="inlineStr">
        <is>
          <t>평지</t>
        </is>
      </c>
      <c r="U476" s="3" t="inlineStr">
        <is>
          <t>세로장방</t>
        </is>
      </c>
      <c r="V476" s="3" t="inlineStr">
        <is>
          <t>세로한면(가)</t>
        </is>
      </c>
    </row>
    <row r="477">
      <c r="A477" s="3" t="inlineStr">
        <is>
          <t>세종특별자치시 금남면 영대리 735-1</t>
        </is>
      </c>
      <c r="B477" s="3" t="inlineStr">
        <is>
          <t>개발제한구역</t>
        </is>
      </c>
      <c r="C477" s="3" t="inlineStr">
        <is>
          <t>답</t>
        </is>
      </c>
      <c r="D477" s="3" t="inlineStr">
        <is>
          <t>답</t>
        </is>
      </c>
      <c r="E477" s="3" t="inlineStr">
        <is>
          <t>매매</t>
        </is>
      </c>
      <c r="F477" s="4" t="n">
        <v>5000</v>
      </c>
      <c r="G477" s="4" t="n">
        <v>476</v>
      </c>
      <c r="H477" s="4" t="n">
        <v>144</v>
      </c>
      <c r="I477" s="5" t="n">
        <v>34.7</v>
      </c>
      <c r="J477" s="4" t="n">
        <v>25.6</v>
      </c>
      <c r="K477" s="3" t="inlineStr">
        <is>
          <t>소액으로 세종에서 가까운 위치에 투자</t>
        </is>
      </c>
      <c r="L477" s="6">
        <f>HYPERLINK("https://fin.land.naver.com/articles/2646476661", "매물Link")</f>
        <v/>
      </c>
      <c r="M477" s="6">
        <f>HYPERLINK("https://map.naver.com/p/search/세종특별자치시 금남면 영대리 735-1", "지도Link")</f>
        <v/>
      </c>
      <c r="N477" s="6">
        <f>HYPERLINK("http://www.eum.go.kr/web/ar/lu/luLandDet.jsp?pnu=3611034031107350001&amp;isNoScr=script&amp;mode=search", "토지이음")</f>
        <v/>
      </c>
      <c r="O477" s="3" t="inlineStr">
        <is>
          <t>세종대평</t>
        </is>
      </c>
      <c r="P477" s="3" t="n">
        <v>1</v>
      </c>
      <c r="Q477" s="3" t="n">
        <v>476</v>
      </c>
      <c r="R477" s="3" t="inlineStr">
        <is>
          <t>지정되지않음</t>
        </is>
      </c>
      <c r="S477" s="3" t="inlineStr">
        <is>
          <t>답</t>
        </is>
      </c>
      <c r="T477" s="3" t="inlineStr">
        <is>
          <t>완경사</t>
        </is>
      </c>
      <c r="U477" s="3" t="inlineStr">
        <is>
          <t>부정형</t>
        </is>
      </c>
      <c r="V477" s="3" t="inlineStr">
        <is>
          <t>맹지</t>
        </is>
      </c>
    </row>
    <row r="478">
      <c r="A478" s="3" t="inlineStr">
        <is>
          <t>세종특별자치시 금남면 영대리 762</t>
        </is>
      </c>
      <c r="B478" s="3" t="inlineStr">
        <is>
          <t>개발제한구역</t>
        </is>
      </c>
      <c r="C478" s="3" t="inlineStr">
        <is>
          <t>전</t>
        </is>
      </c>
      <c r="D478" s="3" t="inlineStr">
        <is>
          <t>전</t>
        </is>
      </c>
      <c r="E478" s="3" t="inlineStr">
        <is>
          <t>매매</t>
        </is>
      </c>
      <c r="F478" s="4" t="n">
        <v>13600</v>
      </c>
      <c r="G478" s="4" t="n">
        <v>562</v>
      </c>
      <c r="H478" s="4" t="n">
        <v>170</v>
      </c>
      <c r="I478" s="5" t="n">
        <v>80</v>
      </c>
      <c r="J478" s="4" t="n">
        <v>19.2</v>
      </c>
      <c r="K478" s="3" t="inlineStr">
        <is>
          <t>금남면 용대리 토지매매</t>
        </is>
      </c>
      <c r="L478" s="6">
        <f>HYPERLINK("https://fin.land.naver.com/articles/2645067823", "매물Link")</f>
        <v/>
      </c>
      <c r="M478" s="6">
        <f>HYPERLINK("https://map.naver.com/p/search/세종특별자치시 금남면 영대리 762", "지도Link")</f>
        <v/>
      </c>
      <c r="N478" s="6">
        <f>HYPERLINK("http://www.eum.go.kr/web/ar/lu/luLandDet.jsp?pnu=3611034031107620000&amp;isNoScr=script&amp;mode=search", "토지이음")</f>
        <v/>
      </c>
      <c r="O478" s="3" t="inlineStr">
        <is>
          <t>세종중흥S클래스</t>
        </is>
      </c>
      <c r="P478" s="3" t="n">
        <v>1</v>
      </c>
      <c r="Q478" s="3" t="n">
        <v>562</v>
      </c>
      <c r="R478" s="3" t="inlineStr">
        <is>
          <t>지정되지않음</t>
        </is>
      </c>
      <c r="S478" s="3" t="inlineStr">
        <is>
          <t>전</t>
        </is>
      </c>
      <c r="T478" s="3" t="inlineStr">
        <is>
          <t>완경사</t>
        </is>
      </c>
      <c r="U478" s="3" t="inlineStr">
        <is>
          <t>부정형</t>
        </is>
      </c>
      <c r="V478" s="3" t="inlineStr">
        <is>
          <t>맹지</t>
        </is>
      </c>
    </row>
    <row r="479">
      <c r="A479" s="3" t="inlineStr">
        <is>
          <t>세종특별자치시 금남면 영대리 763</t>
        </is>
      </c>
      <c r="B479" s="3" t="inlineStr">
        <is>
          <t>개발제한구역</t>
        </is>
      </c>
      <c r="C479" s="3" t="inlineStr">
        <is>
          <t>전</t>
        </is>
      </c>
      <c r="D479" s="3" t="inlineStr">
        <is>
          <t>전</t>
        </is>
      </c>
      <c r="E479" s="3" t="inlineStr">
        <is>
          <t>매매</t>
        </is>
      </c>
      <c r="F479" s="4" t="n">
        <v>39000</v>
      </c>
      <c r="G479" s="4" t="n">
        <v>1610</v>
      </c>
      <c r="H479" s="4" t="n">
        <v>487</v>
      </c>
      <c r="I479" s="5" t="n">
        <v>80.09999999999999</v>
      </c>
      <c r="J479" s="4" t="n">
        <v>19.2</v>
      </c>
      <c r="K479" s="3" t="inlineStr">
        <is>
          <t>금남면 영대리 토지매매</t>
        </is>
      </c>
      <c r="L479" s="6">
        <f>HYPERLINK("https://fin.land.naver.com/articles/2645067733", "매물Link")</f>
        <v/>
      </c>
      <c r="M479" s="6">
        <f>HYPERLINK("https://map.naver.com/p/search/세종특별자치시 금남면 영대리 763", "지도Link")</f>
        <v/>
      </c>
      <c r="N479" s="6">
        <f>HYPERLINK("http://www.eum.go.kr/web/ar/lu/luLandDet.jsp?pnu=3611034031107630000&amp;isNoScr=script&amp;mode=search", "토지이음")</f>
        <v/>
      </c>
      <c r="O479" s="3" t="inlineStr">
        <is>
          <t>세종중흥S클래스</t>
        </is>
      </c>
      <c r="P479" s="3" t="n">
        <v>1</v>
      </c>
      <c r="Q479" s="3" t="n">
        <v>1610</v>
      </c>
      <c r="R479" s="3" t="inlineStr">
        <is>
          <t>지정되지않음</t>
        </is>
      </c>
      <c r="S479" s="3" t="inlineStr">
        <is>
          <t>전</t>
        </is>
      </c>
      <c r="T479" s="3" t="inlineStr">
        <is>
          <t>완경사</t>
        </is>
      </c>
      <c r="U479" s="3" t="inlineStr">
        <is>
          <t>부정형</t>
        </is>
      </c>
      <c r="V479" s="3" t="inlineStr">
        <is>
          <t>맹지</t>
        </is>
      </c>
    </row>
    <row r="480">
      <c r="A480" s="3" t="inlineStr">
        <is>
          <t>세종특별자치시 금남면 영대리 산 48</t>
        </is>
      </c>
      <c r="B480" s="3" t="inlineStr">
        <is>
          <t>개발제한구역</t>
        </is>
      </c>
      <c r="C480" s="3" t="inlineStr">
        <is>
          <t>임야</t>
        </is>
      </c>
      <c r="D480" s="3" t="inlineStr">
        <is>
          <t>임야</t>
        </is>
      </c>
      <c r="E480" s="3" t="inlineStr">
        <is>
          <t>매매</t>
        </is>
      </c>
      <c r="F480" s="4" t="n">
        <v>27540</v>
      </c>
      <c r="G480" s="4" t="n">
        <v>20347</v>
      </c>
      <c r="H480" s="4" t="n">
        <v>6155</v>
      </c>
      <c r="I480" s="5" t="n">
        <v>4.5</v>
      </c>
      <c r="J480" s="4" t="n">
        <v>2.7</v>
      </c>
      <c r="K480" s="3" t="inlineStr">
        <is>
          <t>세종시 귀한 얕은 임야, 사두면 돈 되는 땅,가격조정 협의</t>
        </is>
      </c>
      <c r="L480" s="6">
        <f>HYPERLINK("https://fin.land.naver.com/articles/2645317876", "매물Link")</f>
        <v/>
      </c>
      <c r="M480" s="6">
        <f>HYPERLINK("https://map.naver.com/p/search/세종특별자치시 금남면 영대리 산 48", "지도Link")</f>
        <v/>
      </c>
      <c r="N480" s="6">
        <f>HYPERLINK("http://www.eum.go.kr/web/ar/lu/luLandDet.jsp?pnu=3611034031200480000&amp;isNoScr=script&amp;mode=search", "토지이음")</f>
        <v/>
      </c>
      <c r="O480" s="3" t="inlineStr">
        <is>
          <t>유성대박</t>
        </is>
      </c>
      <c r="P480" s="3" t="n">
        <v>1</v>
      </c>
      <c r="Q480" s="3" t="n">
        <v>30347</v>
      </c>
      <c r="R480" s="3" t="inlineStr">
        <is>
          <t>지정되지않음</t>
        </is>
      </c>
      <c r="S480" s="3" t="inlineStr">
        <is>
          <t>자연림</t>
        </is>
      </c>
      <c r="T480" s="3" t="inlineStr">
        <is>
          <t>급경사</t>
        </is>
      </c>
      <c r="U480" s="3" t="inlineStr">
        <is>
          <t>부정형</t>
        </is>
      </c>
      <c r="V480" s="3" t="inlineStr">
        <is>
          <t>맹지</t>
        </is>
      </c>
    </row>
    <row r="481">
      <c r="A481" s="3" t="inlineStr">
        <is>
          <t>세종특별자치시 금남면 영대리 산120</t>
        </is>
      </c>
      <c r="B481" s="3" t="inlineStr">
        <is>
          <t>개발제한구역</t>
        </is>
      </c>
      <c r="C481" s="3" t="inlineStr">
        <is>
          <t>임야</t>
        </is>
      </c>
      <c r="D481" s="3" t="inlineStr">
        <is>
          <t>임야</t>
        </is>
      </c>
      <c r="E481" s="3" t="inlineStr">
        <is>
          <t>매매</t>
        </is>
      </c>
      <c r="F481" s="4" t="n">
        <v>97000</v>
      </c>
      <c r="G481" s="4" t="n">
        <v>31945</v>
      </c>
      <c r="H481" s="4" t="n">
        <v>9663</v>
      </c>
      <c r="I481" s="5" t="n">
        <v>10</v>
      </c>
      <c r="J481" s="4" t="n">
        <v>2.8</v>
      </c>
      <c r="K481" s="3" t="inlineStr">
        <is>
          <t>세종시행복도시원내 인접 세종시청 차량7분 미래가치 충분한 투자처로 최고</t>
        </is>
      </c>
      <c r="L481" s="6">
        <f>HYPERLINK("https://fin.land.naver.com/articles/2648545315", "매물Link")</f>
        <v/>
      </c>
      <c r="M481" s="6">
        <f>HYPERLINK("https://map.naver.com/p/search/세종특별자치시 금남면 영대리 산120", "지도Link")</f>
        <v/>
      </c>
      <c r="N481" s="6">
        <f>HYPERLINK("http://www.eum.go.kr/web/ar/lu/luLandDet.jsp?pnu=3611034031201200000&amp;isNoScr=script&amp;mode=search", "토지이음")</f>
        <v/>
      </c>
      <c r="O481" s="3" t="inlineStr">
        <is>
          <t>뉴엘리트탑</t>
        </is>
      </c>
      <c r="P481" s="3" t="n">
        <v>1</v>
      </c>
      <c r="Q481" s="3" t="n">
        <v>31945</v>
      </c>
      <c r="R481" s="3" t="inlineStr">
        <is>
          <t>지정되지않음</t>
        </is>
      </c>
      <c r="S481" s="3" t="inlineStr">
        <is>
          <t>자연림</t>
        </is>
      </c>
      <c r="T481" s="3" t="inlineStr">
        <is>
          <t>급경사</t>
        </is>
      </c>
      <c r="U481" s="3" t="inlineStr">
        <is>
          <t>부정형</t>
        </is>
      </c>
      <c r="V481" s="3" t="inlineStr">
        <is>
          <t>맹지</t>
        </is>
      </c>
    </row>
    <row r="482">
      <c r="A482" s="3" t="inlineStr">
        <is>
          <t>세종특별자치시 금남면 영대리 산15</t>
        </is>
      </c>
      <c r="B482" s="3" t="inlineStr">
        <is>
          <t>개발제한구역</t>
        </is>
      </c>
      <c r="C482" s="3" t="inlineStr">
        <is>
          <t>임야</t>
        </is>
      </c>
      <c r="D482" s="3" t="inlineStr">
        <is>
          <t>임야</t>
        </is>
      </c>
      <c r="E482" s="3" t="inlineStr">
        <is>
          <t>매매</t>
        </is>
      </c>
      <c r="F482" s="4" t="n">
        <v>300000</v>
      </c>
      <c r="G482" s="4" t="n">
        <v>73388</v>
      </c>
      <c r="H482" s="4" t="n">
        <v>22200</v>
      </c>
      <c r="I482" s="5" t="n">
        <v>13.5</v>
      </c>
      <c r="J482" s="4" t="n">
        <v>3.2</v>
      </c>
      <c r="K482" s="3" t="inlineStr">
        <is>
          <t>도로에 접한 저렴한 임야,농장 하실분 적극추천</t>
        </is>
      </c>
      <c r="L482" s="6">
        <f>HYPERLINK("https://fin.land.naver.com/articles/2647846937", "매물Link")</f>
        <v/>
      </c>
      <c r="M482" s="6">
        <f>HYPERLINK("https://map.naver.com/p/search/세종특별자치시 금남면 영대리 산15", "지도Link")</f>
        <v/>
      </c>
      <c r="N482" s="6">
        <f>HYPERLINK("http://www.eum.go.kr/web/ar/lu/luLandDet.jsp?pnu=3611034031200150000&amp;isNoScr=script&amp;mode=search", "토지이음")</f>
        <v/>
      </c>
      <c r="O482" s="3" t="inlineStr">
        <is>
          <t>보람뜰</t>
        </is>
      </c>
      <c r="P482" s="3" t="n">
        <v>1</v>
      </c>
      <c r="Q482" s="3" t="n">
        <v>73388</v>
      </c>
      <c r="R482" s="3" t="inlineStr">
        <is>
          <t>지정되지않음</t>
        </is>
      </c>
      <c r="S482" s="3" t="inlineStr">
        <is>
          <t>자연림</t>
        </is>
      </c>
      <c r="T482" s="3" t="inlineStr">
        <is>
          <t>급경사</t>
        </is>
      </c>
      <c r="U482" s="3" t="inlineStr">
        <is>
          <t>부정형</t>
        </is>
      </c>
      <c r="V482" s="3" t="inlineStr">
        <is>
          <t>세로한면(가)</t>
        </is>
      </c>
    </row>
    <row r="483">
      <c r="A483" s="3" t="inlineStr">
        <is>
          <t>세종특별자치시 금남면 영대리 산72-2</t>
        </is>
      </c>
      <c r="B483" s="3" t="inlineStr">
        <is>
          <t>개발제한구역</t>
        </is>
      </c>
      <c r="C483" s="3" t="inlineStr">
        <is>
          <t>임야</t>
        </is>
      </c>
      <c r="D483" s="3" t="inlineStr">
        <is>
          <t>임야</t>
        </is>
      </c>
      <c r="E483" s="3" t="inlineStr">
        <is>
          <t>매매</t>
        </is>
      </c>
      <c r="F483" s="4" t="n">
        <v>180000</v>
      </c>
      <c r="G483" s="4" t="n">
        <v>132485</v>
      </c>
      <c r="H483" s="4" t="n">
        <v>40077</v>
      </c>
      <c r="I483" s="5" t="n">
        <v>4.5</v>
      </c>
      <c r="J483" s="4" t="n">
        <v>2.8</v>
      </c>
      <c r="K483" s="3" t="inlineStr">
        <is>
          <t>nan</t>
        </is>
      </c>
      <c r="L483" s="6">
        <f>HYPERLINK("https://fin.land.naver.com/articles/2646222378", "매물Link")</f>
        <v/>
      </c>
      <c r="M483" s="6">
        <f>HYPERLINK("https://map.naver.com/p/search/세종특별자치시 금남면 영대리 산72-2", "지도Link")</f>
        <v/>
      </c>
      <c r="N483" s="6">
        <f>HYPERLINK("http://www.eum.go.kr/web/ar/lu/luLandDet.jsp?pnu=3611034031200720002&amp;isNoScr=script&amp;mode=search", "토지이음")</f>
        <v/>
      </c>
      <c r="O483" s="3" t="inlineStr">
        <is>
          <t>다온</t>
        </is>
      </c>
      <c r="P483" s="3" t="n">
        <v>1</v>
      </c>
      <c r="Q483" s="3" t="n">
        <v>128993</v>
      </c>
      <c r="R483" s="3" t="inlineStr">
        <is>
          <t>지정되지않음</t>
        </is>
      </c>
      <c r="S483" s="3" t="inlineStr">
        <is>
          <t>자연림</t>
        </is>
      </c>
      <c r="T483" s="3" t="inlineStr">
        <is>
          <t>급경사</t>
        </is>
      </c>
      <c r="U483" s="3" t="inlineStr">
        <is>
          <t>부정형</t>
        </is>
      </c>
      <c r="V483" s="3" t="inlineStr">
        <is>
          <t>세로한면(불)</t>
        </is>
      </c>
    </row>
    <row r="484">
      <c r="A484" s="3" t="inlineStr">
        <is>
          <t>세종특별자치시 금남면 영대리 산94-10</t>
        </is>
      </c>
      <c r="B484" s="3" t="inlineStr">
        <is>
          <t>개발제한구역</t>
        </is>
      </c>
      <c r="C484" s="3" t="inlineStr">
        <is>
          <t>임야</t>
        </is>
      </c>
      <c r="D484" s="3" t="inlineStr">
        <is>
          <t>임야</t>
        </is>
      </c>
      <c r="E484" s="3" t="inlineStr">
        <is>
          <t>매매</t>
        </is>
      </c>
      <c r="F484" s="4" t="n">
        <v>60000</v>
      </c>
      <c r="G484" s="4" t="n">
        <v>19900</v>
      </c>
      <c r="H484" s="4" t="n">
        <v>6020</v>
      </c>
      <c r="I484" s="5" t="n">
        <v>10</v>
      </c>
      <c r="J484" s="4" t="n">
        <v>4.3</v>
      </c>
      <c r="K484" s="3" t="inlineStr">
        <is>
          <t>임야1필지와 전3필지로 구성된 개발제한구역내 토지,투자가치좋아요</t>
        </is>
      </c>
      <c r="L484" s="6">
        <f>HYPERLINK("https://fin.land.naver.com/articles/2648422799", "매물Link")</f>
        <v/>
      </c>
      <c r="M484" s="6">
        <f>HYPERLINK("https://map.naver.com/p/search/세종특별자치시 금남면 영대리 산94-10", "지도Link")</f>
        <v/>
      </c>
      <c r="N484" s="6">
        <f>HYPERLINK("http://www.eum.go.kr/web/ar/lu/luLandDet.jsp?pnu=3611034031200940010&amp;isNoScr=script&amp;mode=search", "토지이음")</f>
        <v/>
      </c>
      <c r="O484" s="3" t="inlineStr">
        <is>
          <t>부자마을</t>
        </is>
      </c>
      <c r="P484" s="3" t="n">
        <v>1</v>
      </c>
      <c r="Q484" s="3" t="n">
        <v>19500</v>
      </c>
      <c r="R484" s="3" t="inlineStr">
        <is>
          <t>지정되지않음</t>
        </is>
      </c>
      <c r="S484" s="3" t="inlineStr">
        <is>
          <t>자연림</t>
        </is>
      </c>
      <c r="T484" s="3" t="inlineStr">
        <is>
          <t>완경사</t>
        </is>
      </c>
      <c r="U484" s="3" t="inlineStr">
        <is>
          <t>부정형</t>
        </is>
      </c>
      <c r="V484" s="3" t="inlineStr">
        <is>
          <t>세로한면(가)</t>
        </is>
      </c>
    </row>
    <row r="485">
      <c r="A485" s="3" t="inlineStr">
        <is>
          <t>세종특별자치시 금남면 영대리 산94-2</t>
        </is>
      </c>
      <c r="B485" s="3" t="inlineStr">
        <is>
          <t>개발제한구역</t>
        </is>
      </c>
      <c r="C485" s="3" t="inlineStr">
        <is>
          <t>임야</t>
        </is>
      </c>
      <c r="D485" s="3" t="inlineStr">
        <is>
          <t>임야</t>
        </is>
      </c>
      <c r="E485" s="3" t="inlineStr">
        <is>
          <t>매매</t>
        </is>
      </c>
      <c r="F485" s="4" t="n">
        <v>60000</v>
      </c>
      <c r="G485" s="4" t="n">
        <v>18619</v>
      </c>
      <c r="H485" s="4" t="n">
        <v>5632</v>
      </c>
      <c r="I485" s="5" t="n">
        <v>10.7</v>
      </c>
      <c r="J485" s="4" t="n">
        <v>3.6</v>
      </c>
      <c r="K485" s="3" t="inlineStr">
        <is>
          <t>임야,전으로 구성된 총2필지,둔곡지구 인근,지적도상맹지이나 도로개설가능</t>
        </is>
      </c>
      <c r="L485" s="6">
        <f>HYPERLINK("https://fin.land.naver.com/articles/2644461160", "매물Link")</f>
        <v/>
      </c>
      <c r="M485" s="6">
        <f>HYPERLINK("https://map.naver.com/p/search/세종특별자치시 금남면 영대리 산94-2", "지도Link")</f>
        <v/>
      </c>
      <c r="N485" s="6">
        <f>HYPERLINK("http://www.eum.go.kr/web/ar/lu/luLandDet.jsp?pnu=3611034031200940002&amp;isNoScr=script&amp;mode=search", "토지이음")</f>
        <v/>
      </c>
      <c r="O485" s="3" t="inlineStr">
        <is>
          <t>부자마을</t>
        </is>
      </c>
      <c r="P485" s="3" t="n">
        <v>1</v>
      </c>
      <c r="Q485" s="3" t="n">
        <v>16500</v>
      </c>
      <c r="R485" s="3" t="inlineStr">
        <is>
          <t>지정되지않음</t>
        </is>
      </c>
      <c r="S485" s="3" t="inlineStr">
        <is>
          <t>자연림</t>
        </is>
      </c>
      <c r="T485" s="3" t="inlineStr">
        <is>
          <t>완경사</t>
        </is>
      </c>
      <c r="U485" s="3" t="inlineStr">
        <is>
          <t>부정형</t>
        </is>
      </c>
      <c r="V485" s="3" t="inlineStr">
        <is>
          <t>맹지</t>
        </is>
      </c>
    </row>
    <row r="486">
      <c r="A486" s="3" t="inlineStr">
        <is>
          <t>세종특별자치시 금남면 영치리 181</t>
        </is>
      </c>
      <c r="B486" s="3" t="inlineStr">
        <is>
          <t>개발제한구역</t>
        </is>
      </c>
      <c r="C486" s="3" t="inlineStr">
        <is>
          <t>전</t>
        </is>
      </c>
      <c r="D486" s="3" t="inlineStr">
        <is>
          <t>전</t>
        </is>
      </c>
      <c r="E486" s="3" t="inlineStr">
        <is>
          <t>매매</t>
        </is>
      </c>
      <c r="F486" s="4" t="n">
        <v>23000</v>
      </c>
      <c r="G486" s="4" t="n">
        <v>496</v>
      </c>
      <c r="H486" s="4" t="n">
        <v>150</v>
      </c>
      <c r="I486" s="5" t="n">
        <v>153.3</v>
      </c>
      <c r="J486" s="4" t="n">
        <v>37.8</v>
      </c>
      <c r="K486" s="3" t="inlineStr">
        <is>
          <t>3생활권 인근  금싸라기 땅.</t>
        </is>
      </c>
      <c r="L486" s="6">
        <f>HYPERLINK("https://fin.land.naver.com/articles/2646927353", "매물Link")</f>
        <v/>
      </c>
      <c r="M486" s="6">
        <f>HYPERLINK("https://map.naver.com/p/search/세종특별자치시 금남면 영치리 181", "지도Link")</f>
        <v/>
      </c>
      <c r="N486" s="6">
        <f>HYPERLINK("http://www.eum.go.kr/web/ar/lu/luLandDet.jsp?pnu=3611034028101810000&amp;isNoScr=script&amp;mode=search", "토지이음")</f>
        <v/>
      </c>
      <c r="O486" s="3" t="inlineStr">
        <is>
          <t>강남뜰</t>
        </is>
      </c>
      <c r="P486" s="3" t="n">
        <v>1</v>
      </c>
      <c r="Q486" s="3" t="n">
        <v>496</v>
      </c>
      <c r="R486" s="3" t="inlineStr">
        <is>
          <t>지정되지않음</t>
        </is>
      </c>
      <c r="S486" s="3" t="inlineStr">
        <is>
          <t>전</t>
        </is>
      </c>
      <c r="T486" s="3" t="inlineStr">
        <is>
          <t>완경사</t>
        </is>
      </c>
      <c r="U486" s="3" t="inlineStr">
        <is>
          <t>부정형</t>
        </is>
      </c>
      <c r="V486" s="3" t="inlineStr">
        <is>
          <t>소로한면</t>
        </is>
      </c>
    </row>
    <row r="487">
      <c r="A487" s="3" t="inlineStr">
        <is>
          <t>세종특별자치시 금남면 영치리 214</t>
        </is>
      </c>
      <c r="B487" s="3" t="inlineStr">
        <is>
          <t>개발제한구역</t>
        </is>
      </c>
      <c r="C487" s="3" t="inlineStr">
        <is>
          <t>답</t>
        </is>
      </c>
      <c r="D487" s="3" t="inlineStr">
        <is>
          <t>답</t>
        </is>
      </c>
      <c r="E487" s="3" t="inlineStr">
        <is>
          <t>매매</t>
        </is>
      </c>
      <c r="F487" s="4" t="n">
        <v>32000</v>
      </c>
      <c r="G487" s="4" t="n">
        <v>1500</v>
      </c>
      <c r="H487" s="4" t="n">
        <v>454</v>
      </c>
      <c r="I487" s="5" t="n">
        <v>70.5</v>
      </c>
      <c r="J487" s="4" t="n">
        <v>32.9</v>
      </c>
      <c r="K487" s="3" t="inlineStr">
        <is>
          <t>아늑한 주말농장 만드실 분</t>
        </is>
      </c>
      <c r="L487" s="6">
        <f>HYPERLINK("https://fin.land.naver.com/articles/2644606837", "매물Link")</f>
        <v/>
      </c>
      <c r="M487" s="6">
        <f>HYPERLINK("https://map.naver.com/p/search/세종특별자치시 금남면 영치리 214", "지도Link")</f>
        <v/>
      </c>
      <c r="N487" s="6">
        <f>HYPERLINK("http://www.eum.go.kr/web/ar/lu/luLandDet.jsp?pnu=3611034028102140000&amp;isNoScr=script&amp;mode=search", "토지이음")</f>
        <v/>
      </c>
      <c r="O487" s="3" t="inlineStr">
        <is>
          <t>하늘채</t>
        </is>
      </c>
      <c r="P487" s="3" t="n">
        <v>1</v>
      </c>
      <c r="Q487" s="3" t="n">
        <v>3007.7</v>
      </c>
      <c r="R487" s="3" t="inlineStr">
        <is>
          <t>지정되지않음</t>
        </is>
      </c>
      <c r="S487" s="3" t="inlineStr">
        <is>
          <t>답</t>
        </is>
      </c>
      <c r="T487" s="3" t="inlineStr">
        <is>
          <t>완경사</t>
        </is>
      </c>
      <c r="U487" s="3" t="inlineStr">
        <is>
          <t>부정형</t>
        </is>
      </c>
      <c r="V487" s="3" t="inlineStr">
        <is>
          <t>세로각지(가)</t>
        </is>
      </c>
    </row>
    <row r="488">
      <c r="A488" s="3" t="inlineStr">
        <is>
          <t>세종특별자치시 금남면 영치리 225</t>
        </is>
      </c>
      <c r="B488" s="3" t="inlineStr">
        <is>
          <t>개발제한구역</t>
        </is>
      </c>
      <c r="C488" s="3" t="inlineStr">
        <is>
          <t>답</t>
        </is>
      </c>
      <c r="D488" s="3" t="inlineStr">
        <is>
          <t>전</t>
        </is>
      </c>
      <c r="E488" s="3" t="inlineStr">
        <is>
          <t>매매</t>
        </is>
      </c>
      <c r="F488" s="4" t="n">
        <v>12000</v>
      </c>
      <c r="G488" s="4" t="n">
        <v>2337</v>
      </c>
      <c r="H488" s="4" t="n">
        <v>707</v>
      </c>
      <c r="I488" s="5" t="n">
        <v>17</v>
      </c>
      <c r="J488" s="4" t="n">
        <v>15.3</v>
      </c>
      <c r="K488" s="3" t="inlineStr">
        <is>
          <t>중,장기 단순 투자 매물</t>
        </is>
      </c>
      <c r="L488" s="6">
        <f>HYPERLINK("https://fin.land.naver.com/articles/2646466467", "매물Link")</f>
        <v/>
      </c>
      <c r="M488" s="6">
        <f>HYPERLINK("https://map.naver.com/p/search/세종특별자치시 금남면 영치리 225", "지도Link")</f>
        <v/>
      </c>
      <c r="N488" s="6">
        <f>HYPERLINK("http://www.eum.go.kr/web/ar/lu/luLandDet.jsp?pnu=3611034028102250000&amp;isNoScr=script&amp;mode=search", "토지이음")</f>
        <v/>
      </c>
      <c r="O488" s="3" t="inlineStr">
        <is>
          <t>극동</t>
        </is>
      </c>
      <c r="P488" s="3" t="n">
        <v>1</v>
      </c>
      <c r="Q488" s="3" t="n">
        <v>1187</v>
      </c>
      <c r="R488" s="3" t="inlineStr">
        <is>
          <t>지정되지않음</t>
        </is>
      </c>
      <c r="S488" s="3" t="inlineStr">
        <is>
          <t>답</t>
        </is>
      </c>
      <c r="T488" s="3" t="inlineStr">
        <is>
          <t>급경사</t>
        </is>
      </c>
      <c r="U488" s="3" t="inlineStr">
        <is>
          <t>부정형</t>
        </is>
      </c>
      <c r="V488" s="3" t="inlineStr">
        <is>
          <t>맹지</t>
        </is>
      </c>
    </row>
    <row r="489">
      <c r="A489" s="3" t="inlineStr">
        <is>
          <t>세종특별자치시 금남면 영치리 23</t>
        </is>
      </c>
      <c r="B489" s="3" t="inlineStr">
        <is>
          <t>개발제한구역</t>
        </is>
      </c>
      <c r="C489" s="3" t="inlineStr">
        <is>
          <t>답</t>
        </is>
      </c>
      <c r="D489" s="3" t="inlineStr">
        <is>
          <t>답</t>
        </is>
      </c>
      <c r="E489" s="3" t="inlineStr">
        <is>
          <t>매매</t>
        </is>
      </c>
      <c r="F489" s="4" t="n">
        <v>15000</v>
      </c>
      <c r="G489" s="4" t="n">
        <v>1722</v>
      </c>
      <c r="H489" s="4" t="n">
        <v>521</v>
      </c>
      <c r="I489" s="5" t="n">
        <v>28.8</v>
      </c>
      <c r="J489" s="4" t="n">
        <v>26.7</v>
      </c>
      <c r="K489" s="3" t="inlineStr">
        <is>
          <t>세종도심지 인근에 위치 도로접 신규영농자격 필요한분 최적지</t>
        </is>
      </c>
      <c r="L489" s="6">
        <f>HYPERLINK("https://fin.land.naver.com/articles/2647445663", "매물Link")</f>
        <v/>
      </c>
      <c r="M489" s="6">
        <f>HYPERLINK("https://map.naver.com/p/search/세종특별자치시 금남면 영치리 23", "지도Link")</f>
        <v/>
      </c>
      <c r="N489" s="6">
        <f>HYPERLINK("http://www.eum.go.kr/web/ar/lu/luLandDet.jsp?pnu=3611034028100230000&amp;isNoScr=script&amp;mode=search", "토지이음")</f>
        <v/>
      </c>
      <c r="O489" s="3" t="inlineStr">
        <is>
          <t>킹</t>
        </is>
      </c>
      <c r="P489" s="3" t="n">
        <v>1</v>
      </c>
      <c r="Q489" s="3" t="n">
        <v>1722</v>
      </c>
      <c r="R489" s="3" t="inlineStr">
        <is>
          <t>지정되지않음</t>
        </is>
      </c>
      <c r="S489" s="3" t="inlineStr">
        <is>
          <t>답</t>
        </is>
      </c>
      <c r="T489" s="3" t="inlineStr">
        <is>
          <t>완경사</t>
        </is>
      </c>
      <c r="U489" s="3" t="inlineStr">
        <is>
          <t>부정형</t>
        </is>
      </c>
      <c r="V489" s="3" t="inlineStr">
        <is>
          <t>맹지</t>
        </is>
      </c>
    </row>
    <row r="490">
      <c r="A490" s="3" t="inlineStr">
        <is>
          <t>세종특별자치시 금남면 영치리 273</t>
        </is>
      </c>
      <c r="B490" s="3" t="inlineStr">
        <is>
          <t>자연녹지지역</t>
        </is>
      </c>
      <c r="C490" s="3" t="inlineStr">
        <is>
          <t>대</t>
        </is>
      </c>
      <c r="D490" s="3" t="inlineStr">
        <is>
          <t>대</t>
        </is>
      </c>
      <c r="E490" s="3" t="inlineStr">
        <is>
          <t>매매</t>
        </is>
      </c>
      <c r="F490" s="4" t="n">
        <v>80000</v>
      </c>
      <c r="G490" s="4" t="n">
        <v>1196</v>
      </c>
      <c r="H490" s="4" t="n">
        <v>362</v>
      </c>
      <c r="I490" s="5" t="n">
        <v>221</v>
      </c>
      <c r="J490" s="4" t="n">
        <v>110.6</v>
      </c>
      <c r="K490" s="3" t="inlineStr">
        <is>
          <t>nan</t>
        </is>
      </c>
      <c r="L490" s="6">
        <f>HYPERLINK("https://fin.land.naver.com/articles/2647503070", "매물Link")</f>
        <v/>
      </c>
      <c r="M490" s="6">
        <f>HYPERLINK("https://map.naver.com/p/search/세종특별자치시 금남면 영치리 273", "지도Link")</f>
        <v/>
      </c>
      <c r="N490" s="6">
        <f>HYPERLINK("http://www.eum.go.kr/web/ar/lu/luLandDet.jsp?pnu=3611034028102730000&amp;isNoScr=script&amp;mode=search", "토지이음")</f>
        <v/>
      </c>
      <c r="O490" s="3" t="inlineStr">
        <is>
          <t>다온</t>
        </is>
      </c>
      <c r="P490" s="3" t="n">
        <v>1</v>
      </c>
      <c r="Q490" s="3" t="n">
        <v>411</v>
      </c>
      <c r="R490" s="3" t="inlineStr">
        <is>
          <t>지정되지않음</t>
        </is>
      </c>
      <c r="S490" s="3" t="inlineStr">
        <is>
          <t>단독</t>
        </is>
      </c>
      <c r="T490" s="3" t="inlineStr">
        <is>
          <t>완경사</t>
        </is>
      </c>
      <c r="U490" s="3" t="inlineStr">
        <is>
          <t>부정형</t>
        </is>
      </c>
      <c r="V490" s="3" t="inlineStr">
        <is>
          <t>세로한면(가)</t>
        </is>
      </c>
    </row>
    <row r="491">
      <c r="A491" s="3" t="inlineStr">
        <is>
          <t>세종특별자치시 금남면 영치리 294-2</t>
        </is>
      </c>
      <c r="B491" s="3" t="inlineStr">
        <is>
          <t>개발제한구역</t>
        </is>
      </c>
      <c r="C491" s="3" t="inlineStr">
        <is>
          <t>전</t>
        </is>
      </c>
      <c r="D491" s="3" t="inlineStr">
        <is>
          <t>전</t>
        </is>
      </c>
      <c r="E491" s="3" t="inlineStr">
        <is>
          <t>매매</t>
        </is>
      </c>
      <c r="F491" s="4" t="n">
        <v>50000</v>
      </c>
      <c r="G491" s="4" t="n">
        <v>1229</v>
      </c>
      <c r="H491" s="4" t="n">
        <v>372</v>
      </c>
      <c r="I491" s="5" t="n">
        <v>134.4</v>
      </c>
      <c r="J491" s="4" t="n">
        <v>34.8</v>
      </c>
      <c r="K491" s="3" t="inlineStr">
        <is>
          <t>세종도심남세종IC 접근 우수, 포장도로 접한 장기보유형 자연녹지 농지</t>
        </is>
      </c>
      <c r="L491" s="6">
        <f>HYPERLINK("https://fin.land.naver.com/articles/2644839077", "매물Link")</f>
        <v/>
      </c>
      <c r="M491" s="6">
        <f>HYPERLINK("https://map.naver.com/p/search/세종특별자치시 금남면 영치리 294-2", "지도Link")</f>
        <v/>
      </c>
      <c r="N491" s="6">
        <f>HYPERLINK("http://www.eum.go.kr/web/ar/lu/luLandDet.jsp?pnu=3611034028102940002&amp;isNoScr=script&amp;mode=search", "토지이음")</f>
        <v/>
      </c>
      <c r="O491" s="3" t="inlineStr">
        <is>
          <t>세종소담황금</t>
        </is>
      </c>
      <c r="P491" s="3" t="n">
        <v>1</v>
      </c>
      <c r="Q491" s="3" t="n">
        <v>349</v>
      </c>
      <c r="R491" s="3" t="inlineStr">
        <is>
          <t>지정되지않음</t>
        </is>
      </c>
      <c r="S491" s="3" t="inlineStr">
        <is>
          <t>전</t>
        </is>
      </c>
      <c r="T491" s="3" t="inlineStr">
        <is>
          <t>완경사</t>
        </is>
      </c>
      <c r="U491" s="3" t="inlineStr">
        <is>
          <t>부정형</t>
        </is>
      </c>
      <c r="V491" s="3" t="inlineStr">
        <is>
          <t>소로한면</t>
        </is>
      </c>
    </row>
    <row r="492">
      <c r="A492" s="3" t="inlineStr">
        <is>
          <t>세종특별자치시 금남면 영치리 301</t>
        </is>
      </c>
      <c r="B492" s="3" t="inlineStr">
        <is>
          <t>개발제한구역</t>
        </is>
      </c>
      <c r="C492" s="3" t="inlineStr">
        <is>
          <t>전</t>
        </is>
      </c>
      <c r="D492" s="3" t="inlineStr">
        <is>
          <t>전</t>
        </is>
      </c>
      <c r="E492" s="3" t="inlineStr">
        <is>
          <t>매매</t>
        </is>
      </c>
      <c r="F492" s="4" t="n">
        <v>45600</v>
      </c>
      <c r="G492" s="4" t="n">
        <v>1006</v>
      </c>
      <c r="H492" s="4" t="n">
        <v>304</v>
      </c>
      <c r="I492" s="5" t="n">
        <v>150</v>
      </c>
      <c r="J492" s="4" t="n">
        <v>34.8</v>
      </c>
      <c r="K492" s="3" t="inlineStr">
        <is>
          <t>2차선포장도로접.세종신도시및대전인근.주말농장적합.장기적투자.농지연금활용</t>
        </is>
      </c>
      <c r="L492" s="6">
        <f>HYPERLINK("https://fin.land.naver.com/articles/2644565655", "매물Link")</f>
        <v/>
      </c>
      <c r="M492" s="6">
        <f>HYPERLINK("https://map.naver.com/p/search/세종특별자치시 금남면 영치리 301", "지도Link")</f>
        <v/>
      </c>
      <c r="N492" s="6">
        <f>HYPERLINK("http://www.eum.go.kr/web/ar/lu/luLandDet.jsp?pnu=3611034028103010000&amp;isNoScr=script&amp;mode=search", "토지이음")</f>
        <v/>
      </c>
      <c r="O492" s="3" t="inlineStr">
        <is>
          <t>돈방석</t>
        </is>
      </c>
      <c r="P492" s="3" t="n">
        <v>1</v>
      </c>
      <c r="Q492" s="3" t="n">
        <v>1006</v>
      </c>
      <c r="R492" s="3" t="inlineStr">
        <is>
          <t>지정되지않음</t>
        </is>
      </c>
      <c r="S492" s="3" t="inlineStr">
        <is>
          <t>전</t>
        </is>
      </c>
      <c r="T492" s="3" t="inlineStr">
        <is>
          <t>완경사</t>
        </is>
      </c>
      <c r="U492" s="3" t="inlineStr">
        <is>
          <t>부정형</t>
        </is>
      </c>
      <c r="V492" s="3" t="inlineStr">
        <is>
          <t>소로한면</t>
        </is>
      </c>
    </row>
    <row r="493">
      <c r="A493" s="3" t="inlineStr">
        <is>
          <t>세종특별자치시 금남면 영치리 306-1</t>
        </is>
      </c>
      <c r="B493" s="3" t="inlineStr">
        <is>
          <t>개발제한구역</t>
        </is>
      </c>
      <c r="C493" s="3" t="inlineStr">
        <is>
          <t>전</t>
        </is>
      </c>
      <c r="D493" s="3" t="inlineStr">
        <is>
          <t>전</t>
        </is>
      </c>
      <c r="E493" s="3" t="inlineStr">
        <is>
          <t>매매</t>
        </is>
      </c>
      <c r="F493" s="4" t="n">
        <v>40000</v>
      </c>
      <c r="G493" s="4" t="n">
        <v>2007</v>
      </c>
      <c r="H493" s="4" t="n">
        <v>607</v>
      </c>
      <c r="I493" s="5" t="n">
        <v>65.90000000000001</v>
      </c>
      <c r="J493" s="4" t="n">
        <v>28</v>
      </c>
      <c r="K493" s="3" t="inlineStr">
        <is>
          <t>확 낮춘 가격의 저렴한  투자용 농지</t>
        </is>
      </c>
      <c r="L493" s="6">
        <f>HYPERLINK("https://fin.land.naver.com/articles/2645468908", "매물Link")</f>
        <v/>
      </c>
      <c r="M493" s="6">
        <f>HYPERLINK("https://map.naver.com/p/search/세종특별자치시 금남면 영치리 306-1", "지도Link")</f>
        <v/>
      </c>
      <c r="N493" s="6">
        <f>HYPERLINK("http://www.eum.go.kr/web/ar/lu/luLandDet.jsp?pnu=3611034028103060001&amp;isNoScr=script&amp;mode=search", "토지이음")</f>
        <v/>
      </c>
      <c r="O493" s="3" t="inlineStr">
        <is>
          <t>우림</t>
        </is>
      </c>
      <c r="P493" s="3" t="n">
        <v>1</v>
      </c>
      <c r="Q493" s="3" t="n">
        <v>1002</v>
      </c>
      <c r="R493" s="3" t="inlineStr">
        <is>
          <t>지정되지않음</t>
        </is>
      </c>
      <c r="S493" s="3" t="inlineStr">
        <is>
          <t>전</t>
        </is>
      </c>
      <c r="T493" s="3" t="inlineStr">
        <is>
          <t>완경사</t>
        </is>
      </c>
      <c r="U493" s="3" t="inlineStr">
        <is>
          <t>부정형</t>
        </is>
      </c>
      <c r="V493" s="3" t="inlineStr">
        <is>
          <t>맹지</t>
        </is>
      </c>
    </row>
    <row r="494">
      <c r="A494" s="3" t="inlineStr">
        <is>
          <t>세종특별자치시 금남면 영치리 74</t>
        </is>
      </c>
      <c r="B494" s="3" t="inlineStr">
        <is>
          <t>개발제한구역</t>
        </is>
      </c>
      <c r="C494" s="3" t="inlineStr">
        <is>
          <t>답</t>
        </is>
      </c>
      <c r="D494" s="3" t="inlineStr">
        <is>
          <t>답</t>
        </is>
      </c>
      <c r="E494" s="3" t="inlineStr">
        <is>
          <t>매매</t>
        </is>
      </c>
      <c r="F494" s="4" t="n">
        <v>38000</v>
      </c>
      <c r="G494" s="4" t="n">
        <v>2569</v>
      </c>
      <c r="H494" s="4" t="n">
        <v>777</v>
      </c>
      <c r="I494" s="5" t="n">
        <v>48.9</v>
      </c>
      <c r="J494" s="4" t="n">
        <v>37</v>
      </c>
      <c r="K494" s="3" t="inlineStr">
        <is>
          <t>도시지역 토지</t>
        </is>
      </c>
      <c r="L494" s="6">
        <f>HYPERLINK("https://fin.land.naver.com/articles/2648634527", "매물Link")</f>
        <v/>
      </c>
      <c r="M494" s="6">
        <f>HYPERLINK("https://map.naver.com/p/search/세종특별자치시 금남면 영치리 74", "지도Link")</f>
        <v/>
      </c>
      <c r="N494" s="6">
        <f>HYPERLINK("http://www.eum.go.kr/web/ar/lu/luLandDet.jsp?pnu=3611034028100740000&amp;isNoScr=script&amp;mode=search", "토지이음")</f>
        <v/>
      </c>
      <c r="O494" s="3" t="inlineStr">
        <is>
          <t>일등사무소</t>
        </is>
      </c>
      <c r="P494" s="3" t="n">
        <v>1</v>
      </c>
      <c r="Q494" s="3" t="n">
        <v>2569</v>
      </c>
      <c r="R494" s="3" t="inlineStr">
        <is>
          <t>지정되지않음</t>
        </is>
      </c>
      <c r="S494" s="3" t="inlineStr">
        <is>
          <t>전</t>
        </is>
      </c>
      <c r="T494" s="3" t="inlineStr">
        <is>
          <t>완경사</t>
        </is>
      </c>
      <c r="U494" s="3" t="inlineStr">
        <is>
          <t>부정형</t>
        </is>
      </c>
      <c r="V494" s="3" t="inlineStr">
        <is>
          <t>세로한면(가)</t>
        </is>
      </c>
    </row>
    <row r="495">
      <c r="A495" s="3" t="inlineStr">
        <is>
          <t>세종특별자치시 금남면 영치리 8</t>
        </is>
      </c>
      <c r="B495" s="3" t="inlineStr">
        <is>
          <t>개발제한구역</t>
        </is>
      </c>
      <c r="C495" s="3" t="inlineStr">
        <is>
          <t>답</t>
        </is>
      </c>
      <c r="D495" s="3" t="inlineStr">
        <is>
          <t>답</t>
        </is>
      </c>
      <c r="E495" s="3" t="inlineStr">
        <is>
          <t>매매</t>
        </is>
      </c>
      <c r="F495" s="4" t="n">
        <v>80000</v>
      </c>
      <c r="G495" s="4" t="n">
        <v>1761</v>
      </c>
      <c r="H495" s="4" t="n">
        <v>533</v>
      </c>
      <c r="I495" s="5" t="n">
        <v>150.1</v>
      </c>
      <c r="J495" s="4" t="n">
        <v>39.7</v>
      </c>
      <c r="K495" s="3" t="inlineStr">
        <is>
          <t>2차선도로에 접한 정사각형 모양의 도시지역 자연녹지지역의 개발제한구역토지</t>
        </is>
      </c>
      <c r="L495" s="6">
        <f>HYPERLINK("https://fin.land.naver.com/articles/2647245867", "매물Link")</f>
        <v/>
      </c>
      <c r="M495" s="6">
        <f>HYPERLINK("https://map.naver.com/p/search/세종특별자치시 금남면 영치리 8", "지도Link")</f>
        <v/>
      </c>
      <c r="N495" s="6">
        <f>HYPERLINK("http://www.eum.go.kr/web/ar/lu/luLandDet.jsp?pnu=3611034028100080000&amp;isNoScr=script&amp;mode=search", "토지이음")</f>
        <v/>
      </c>
      <c r="O495" s="3" t="inlineStr">
        <is>
          <t>스마일세종</t>
        </is>
      </c>
      <c r="P495" s="3" t="n">
        <v>1</v>
      </c>
      <c r="Q495" s="3" t="n">
        <v>1516</v>
      </c>
      <c r="R495" s="3" t="inlineStr">
        <is>
          <t>지정되지않음</t>
        </is>
      </c>
      <c r="S495" s="3" t="inlineStr">
        <is>
          <t>전</t>
        </is>
      </c>
      <c r="T495" s="3" t="inlineStr">
        <is>
          <t>완경사</t>
        </is>
      </c>
      <c r="U495" s="3" t="inlineStr">
        <is>
          <t>사다리형</t>
        </is>
      </c>
      <c r="V495" s="3" t="inlineStr">
        <is>
          <t>소로한면</t>
        </is>
      </c>
    </row>
    <row r="496">
      <c r="A496" s="3" t="inlineStr">
        <is>
          <t>세종특별자치시 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HYPERLINK("https://map.naver.com/p/search/세종특별자치시 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세종특별자치시 금남면 용담리 111-7</t>
        </is>
      </c>
      <c r="B497" s="3" t="inlineStr">
        <is>
          <t>제1종일반주거지역</t>
        </is>
      </c>
      <c r="C497" s="3" t="inlineStr">
        <is>
          <t>대</t>
        </is>
      </c>
      <c r="D497" s="3" t="inlineStr">
        <is>
          <t>대</t>
        </is>
      </c>
      <c r="E497" s="3" t="inlineStr">
        <is>
          <t>매매</t>
        </is>
      </c>
      <c r="F497" s="4" t="n">
        <v>30000</v>
      </c>
      <c r="G497" s="4" t="n">
        <v>317</v>
      </c>
      <c r="H497" s="4" t="n">
        <v>96</v>
      </c>
      <c r="I497" s="5" t="n">
        <v>312.5</v>
      </c>
      <c r="J497" s="4" t="n">
        <v>140.8</v>
      </c>
      <c r="K497" s="3" t="inlineStr">
        <is>
          <t>네모반듯하고 햇볕 잘드는 전원주택지</t>
        </is>
      </c>
      <c r="L497" s="6">
        <f>HYPERLINK("https://fin.land.naver.com/articles/2646340235", "매물Link")</f>
        <v/>
      </c>
      <c r="M497" s="6">
        <f>HYPERLINK("https://map.naver.com/p/search/세종특별자치시 금남면 용담리 111-7", "지도Link")</f>
        <v/>
      </c>
      <c r="N497" s="6">
        <f>HYPERLINK("http://www.eum.go.kr/web/ar/lu/luLandDet.jsp?pnu=3611034025101110007&amp;isNoScr=script&amp;mode=search", "토지이음")</f>
        <v/>
      </c>
      <c r="O497" s="3" t="inlineStr">
        <is>
          <t>창고의여왕</t>
        </is>
      </c>
      <c r="P497" s="3" t="n">
        <v>1</v>
      </c>
      <c r="Q497" s="3" t="n">
        <v>317</v>
      </c>
      <c r="R497" s="3" t="inlineStr">
        <is>
          <t>지정되지않음</t>
        </is>
      </c>
      <c r="S497" s="3" t="inlineStr">
        <is>
          <t>주거나지</t>
        </is>
      </c>
      <c r="T497" s="3" t="inlineStr">
        <is>
          <t>평지</t>
        </is>
      </c>
      <c r="U497" s="3" t="inlineStr">
        <is>
          <t>부정형</t>
        </is>
      </c>
      <c r="V497" s="3" t="inlineStr">
        <is>
          <t>세로각지(가)</t>
        </is>
      </c>
    </row>
    <row r="498">
      <c r="A498" s="3" t="inlineStr">
        <is>
          <t>세종특별자치시 금남면 용담리 157-1</t>
        </is>
      </c>
      <c r="B498" s="3" t="inlineStr">
        <is>
          <t>개발제한구역</t>
        </is>
      </c>
      <c r="C498" s="3" t="inlineStr">
        <is>
          <t>답</t>
        </is>
      </c>
      <c r="D498" s="3" t="inlineStr">
        <is>
          <t>답</t>
        </is>
      </c>
      <c r="E498" s="3" t="inlineStr">
        <is>
          <t>매매</t>
        </is>
      </c>
      <c r="F498" s="4" t="n">
        <v>125000</v>
      </c>
      <c r="G498" s="4" t="n">
        <v>2760</v>
      </c>
      <c r="H498" s="4" t="n">
        <v>835</v>
      </c>
      <c r="I498" s="5" t="n">
        <v>149.7</v>
      </c>
      <c r="J498" s="4" t="n">
        <v>56.8</v>
      </c>
      <c r="K498" s="3" t="inlineStr">
        <is>
          <t>2차선 도로에 접해 있어 주말농장 및 투자가치 좋은 토지</t>
        </is>
      </c>
      <c r="L498" s="6">
        <f>HYPERLINK("https://fin.land.naver.com/articles/2646776889", "매물Link")</f>
        <v/>
      </c>
      <c r="M498" s="6">
        <f>HYPERLINK("https://map.naver.com/p/search/세종특별자치시 금남면 용담리 157-1", "지도Link")</f>
        <v/>
      </c>
      <c r="N498" s="6">
        <f>HYPERLINK("http://www.eum.go.kr/web/ar/lu/luLandDet.jsp?pnu=3611034025101570001&amp;isNoScr=script&amp;mode=search", "토지이음")</f>
        <v/>
      </c>
      <c r="O498" s="3" t="inlineStr">
        <is>
          <t>금화랜드</t>
        </is>
      </c>
      <c r="P498" s="3" t="n">
        <v>1</v>
      </c>
      <c r="Q498" s="3" t="n">
        <v>2760</v>
      </c>
      <c r="R498" s="3" t="inlineStr">
        <is>
          <t>지정되지않음</t>
        </is>
      </c>
      <c r="S498" s="3" t="inlineStr">
        <is>
          <t>답</t>
        </is>
      </c>
      <c r="T498" s="3" t="inlineStr">
        <is>
          <t>평지</t>
        </is>
      </c>
      <c r="U498" s="3" t="inlineStr">
        <is>
          <t>부정형</t>
        </is>
      </c>
      <c r="V498" s="3" t="inlineStr">
        <is>
          <t>소로한면</t>
        </is>
      </c>
    </row>
    <row r="499">
      <c r="A499" s="3" t="inlineStr">
        <is>
          <t>세종특별자치시 금남면 용담리 246-2</t>
        </is>
      </c>
      <c r="B499" s="3" t="inlineStr">
        <is>
          <t>개발제한구역</t>
        </is>
      </c>
      <c r="C499" s="3" t="inlineStr">
        <is>
          <t>답</t>
        </is>
      </c>
      <c r="D499" s="3" t="inlineStr">
        <is>
          <t>답</t>
        </is>
      </c>
      <c r="E499" s="3" t="inlineStr">
        <is>
          <t>매매</t>
        </is>
      </c>
      <c r="F499" s="4" t="n">
        <v>20000</v>
      </c>
      <c r="G499" s="4" t="n">
        <v>1554</v>
      </c>
      <c r="H499" s="4" t="n">
        <v>470</v>
      </c>
      <c r="I499" s="5" t="n">
        <v>42.6</v>
      </c>
      <c r="J499" s="4" t="n">
        <v>28.2</v>
      </c>
      <c r="K499" s="3" t="inlineStr">
        <is>
          <t>소액투자 가능,향후 활용 개발 여지 기대,조율가능</t>
        </is>
      </c>
      <c r="L499" s="6">
        <f>HYPERLINK("https://fin.land.naver.com/articles/2647511735", "매물Link")</f>
        <v/>
      </c>
      <c r="M499" s="6">
        <f>HYPERLINK("https://map.naver.com/p/search/세종특별자치시 금남면 용담리 246-2", "지도Link")</f>
        <v/>
      </c>
      <c r="N499" s="6">
        <f>HYPERLINK("http://www.eum.go.kr/web/ar/lu/luLandDet.jsp?pnu=3611034025102460002&amp;isNoScr=script&amp;mode=search", "토지이음")</f>
        <v/>
      </c>
      <c r="O499" s="3" t="inlineStr">
        <is>
          <t>가치잇는</t>
        </is>
      </c>
      <c r="P499" s="3" t="n">
        <v>1</v>
      </c>
      <c r="Q499" s="3" t="n">
        <v>1554</v>
      </c>
      <c r="R499" s="3" t="inlineStr">
        <is>
          <t>지정되지않음</t>
        </is>
      </c>
      <c r="S499" s="3" t="inlineStr">
        <is>
          <t>답</t>
        </is>
      </c>
      <c r="T499" s="3" t="inlineStr">
        <is>
          <t>평지</t>
        </is>
      </c>
      <c r="U499" s="3" t="inlineStr">
        <is>
          <t>부정형</t>
        </is>
      </c>
      <c r="V499" s="3" t="inlineStr">
        <is>
          <t>맹지</t>
        </is>
      </c>
    </row>
    <row r="500">
      <c r="A500" s="3" t="inlineStr">
        <is>
          <t>세종특별자치시 금남면 용담리 247</t>
        </is>
      </c>
      <c r="B500" s="3" t="inlineStr">
        <is>
          <t>자연녹지지역</t>
        </is>
      </c>
      <c r="C500" s="3" t="inlineStr">
        <is>
          <t>답</t>
        </is>
      </c>
      <c r="D500" s="3" t="inlineStr">
        <is>
          <t>답</t>
        </is>
      </c>
      <c r="E500" s="3" t="inlineStr">
        <is>
          <t>매매</t>
        </is>
      </c>
      <c r="F500" s="4" t="n">
        <v>41000</v>
      </c>
      <c r="G500" s="4" t="n">
        <v>539</v>
      </c>
      <c r="H500" s="4" t="n">
        <v>163</v>
      </c>
      <c r="I500" s="5" t="n">
        <v>251.5</v>
      </c>
      <c r="J500" s="4" t="n">
        <v>98.3</v>
      </c>
      <c r="K500" s="3" t="inlineStr">
        <is>
          <t>도로 접한 투자가치 좋은 토지</t>
        </is>
      </c>
      <c r="L500" s="6">
        <f>HYPERLINK("https://fin.land.naver.com/articles/2649659712", "매물Link")</f>
        <v/>
      </c>
      <c r="M500" s="6">
        <f>HYPERLINK("https://map.naver.com/p/search/세종특별자치시 금남면 용담리 247", "지도Link")</f>
        <v/>
      </c>
      <c r="N500" s="6">
        <f>HYPERLINK("http://www.eum.go.kr/web/ar/lu/luLandDet.jsp?pnu=3611034025102470000&amp;isNoScr=script&amp;mode=search", "토지이음")</f>
        <v/>
      </c>
      <c r="O500" s="3" t="inlineStr">
        <is>
          <t>메트로무소</t>
        </is>
      </c>
      <c r="P500" s="3" t="n">
        <v>1</v>
      </c>
      <c r="Q500" s="3" t="n">
        <v>539</v>
      </c>
      <c r="R500" s="3" t="inlineStr">
        <is>
          <t>지정되지않음</t>
        </is>
      </c>
      <c r="S500" s="3" t="inlineStr">
        <is>
          <t>답</t>
        </is>
      </c>
      <c r="T500" s="3" t="inlineStr">
        <is>
          <t>평지</t>
        </is>
      </c>
      <c r="U500" s="3" t="inlineStr">
        <is>
          <t>부정형</t>
        </is>
      </c>
      <c r="V500" s="3" t="inlineStr">
        <is>
          <t>세로한면(가)</t>
        </is>
      </c>
    </row>
    <row r="501">
      <c r="A501" s="3" t="inlineStr">
        <is>
          <t>세종특별자치시 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용담리 길따라 위치한 정중앙 주택. 넓은마당 단독주택 편안한삶 추천</t>
        </is>
      </c>
      <c r="L501" s="6">
        <f>HYPERLINK("https://fin.land.naver.com/articles/2644500816", "매물Link")</f>
        <v/>
      </c>
      <c r="M501" s="6">
        <f>HYPERLINK("https://map.naver.com/p/search/세종특별자치시 금남면 용담리 249-2", "지도Link")</f>
        <v/>
      </c>
      <c r="N501" s="6">
        <f>HYPERLINK("http://www.eum.go.kr/web/ar/lu/luLandDet.jsp?pnu=3611034025102490002&amp;isNoScr=script&amp;mode=search", "토지이음")</f>
        <v/>
      </c>
      <c r="O501" s="3" t="inlineStr">
        <is>
          <t>땅집사</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세종특별자치시 금남면 용담리 249-2</t>
        </is>
      </c>
      <c r="B502" s="3" t="inlineStr">
        <is>
          <t>자연녹지지역</t>
        </is>
      </c>
      <c r="C502" s="3" t="inlineStr">
        <is>
          <t>대</t>
        </is>
      </c>
      <c r="D502" s="3" t="inlineStr">
        <is>
          <t>대</t>
        </is>
      </c>
      <c r="E502" s="3" t="inlineStr">
        <is>
          <t>매매</t>
        </is>
      </c>
      <c r="F502" s="4" t="n">
        <v>41000</v>
      </c>
      <c r="G502" s="4" t="n">
        <v>718</v>
      </c>
      <c r="H502" s="4" t="n">
        <v>217</v>
      </c>
      <c r="I502" s="5" t="n">
        <v>188.9</v>
      </c>
      <c r="J502" s="4" t="n">
        <v>137.5</v>
      </c>
      <c r="K502" s="3" t="inlineStr">
        <is>
          <t>농가주택이 방3,화2,농기곕보관소,등이 있는  물건,답도 매매</t>
        </is>
      </c>
      <c r="L502" s="6">
        <f>HYPERLINK("https://fin.land.naver.com/articles/2648297332", "매물Link")</f>
        <v/>
      </c>
      <c r="M502" s="6">
        <f>HYPERLINK("https://map.naver.com/p/search/세종특별자치시 금남면 용담리 249-2", "지도Link")</f>
        <v/>
      </c>
      <c r="N502" s="6">
        <f>HYPERLINK("http://www.eum.go.kr/web/ar/lu/luLandDet.jsp?pnu=3611034025102490002&amp;isNoScr=script&amp;mode=search", "토지이음")</f>
        <v/>
      </c>
      <c r="O502" s="3" t="inlineStr">
        <is>
          <t>우림</t>
        </is>
      </c>
      <c r="P502" s="3" t="n">
        <v>1</v>
      </c>
      <c r="Q502" s="3" t="n">
        <v>718</v>
      </c>
      <c r="R502" s="3" t="inlineStr">
        <is>
          <t>지정되지않음</t>
        </is>
      </c>
      <c r="S502" s="3" t="inlineStr">
        <is>
          <t>단독</t>
        </is>
      </c>
      <c r="T502" s="3" t="inlineStr">
        <is>
          <t>평지</t>
        </is>
      </c>
      <c r="U502" s="3" t="inlineStr">
        <is>
          <t>부정형</t>
        </is>
      </c>
      <c r="V502" s="3" t="inlineStr">
        <is>
          <t>세로한면(가)</t>
        </is>
      </c>
    </row>
    <row r="503">
      <c r="A503" s="3" t="inlineStr">
        <is>
          <t>세종특별자치시 금남면 용담리 259-1</t>
        </is>
      </c>
      <c r="B503" s="3" t="inlineStr">
        <is>
          <t>개발제한구역</t>
        </is>
      </c>
      <c r="C503" s="3" t="inlineStr">
        <is>
          <t>답</t>
        </is>
      </c>
      <c r="D503" s="3" t="inlineStr">
        <is>
          <t>답</t>
        </is>
      </c>
      <c r="E503" s="3" t="inlineStr">
        <is>
          <t>매매</t>
        </is>
      </c>
      <c r="F503" s="4" t="n">
        <v>76000</v>
      </c>
      <c r="G503" s="4" t="n">
        <v>1927</v>
      </c>
      <c r="H503" s="4" t="n">
        <v>583</v>
      </c>
      <c r="I503" s="5" t="n">
        <v>130.4</v>
      </c>
      <c r="J503" s="4" t="n">
        <v>55.1</v>
      </c>
      <c r="K503" s="3" t="inlineStr">
        <is>
          <t>조율가능,도로와 접해 활용도 좋은토지,세종 대전 더블생활권</t>
        </is>
      </c>
      <c r="L503" s="6">
        <f>HYPERLINK("https://fin.land.naver.com/articles/2647971630", "매물Link")</f>
        <v/>
      </c>
      <c r="M503" s="6">
        <f>HYPERLINK("https://map.naver.com/p/search/세종특별자치시 금남면 용담리 259-1", "지도Link")</f>
        <v/>
      </c>
      <c r="N503" s="6">
        <f>HYPERLINK("http://www.eum.go.kr/web/ar/lu/luLandDet.jsp?pnu=3611034025102590001&amp;isNoScr=script&amp;mode=search", "토지이음")</f>
        <v/>
      </c>
      <c r="O503" s="3" t="inlineStr">
        <is>
          <t>가치잇는</t>
        </is>
      </c>
      <c r="P503" s="3" t="n">
        <v>1</v>
      </c>
      <c r="Q503" s="3" t="n">
        <v>1927</v>
      </c>
      <c r="R503" s="3" t="inlineStr">
        <is>
          <t>지정되지않음</t>
        </is>
      </c>
      <c r="S503" s="3" t="inlineStr">
        <is>
          <t>답</t>
        </is>
      </c>
      <c r="T503" s="3" t="inlineStr">
        <is>
          <t>평지</t>
        </is>
      </c>
      <c r="U503" s="3" t="inlineStr">
        <is>
          <t>부정형</t>
        </is>
      </c>
      <c r="V503" s="3" t="inlineStr">
        <is>
          <t>세로한면(가)</t>
        </is>
      </c>
    </row>
    <row r="504">
      <c r="A504" s="3" t="inlineStr">
        <is>
          <t>세종특별자치시 금남면 용담리 270</t>
        </is>
      </c>
      <c r="B504" s="3" t="inlineStr">
        <is>
          <t>개발제한구역</t>
        </is>
      </c>
      <c r="C504" s="3" t="inlineStr">
        <is>
          <t>전</t>
        </is>
      </c>
      <c r="D504" s="3" t="inlineStr">
        <is>
          <t>전</t>
        </is>
      </c>
      <c r="E504" s="3" t="inlineStr">
        <is>
          <t>매매</t>
        </is>
      </c>
      <c r="F504" s="4" t="n">
        <v>50000</v>
      </c>
      <c r="G504" s="4" t="n">
        <v>1408</v>
      </c>
      <c r="H504" s="4" t="n">
        <v>426</v>
      </c>
      <c r="I504" s="5" t="n">
        <v>117.4</v>
      </c>
      <c r="J504" s="4" t="n">
        <v>33</v>
      </c>
      <c r="K504" s="3" t="inlineStr">
        <is>
          <t>마을 인접 현황 진입 가능한 금남면 영농형 농지</t>
        </is>
      </c>
      <c r="L504" s="6">
        <f>HYPERLINK("https://fin.land.naver.com/articles/2648837960", "매물Link")</f>
        <v/>
      </c>
      <c r="M504" s="6">
        <f>HYPERLINK("https://map.naver.com/p/search/세종특별자치시 금남면 용담리 270", "지도Link")</f>
        <v/>
      </c>
      <c r="N504" s="6">
        <f>HYPERLINK("http://www.eum.go.kr/web/ar/lu/luLandDet.jsp?pnu=3611034025102700000&amp;isNoScr=script&amp;mode=search", "토지이음")</f>
        <v/>
      </c>
      <c r="O504" s="3" t="inlineStr">
        <is>
          <t>세종소담황금</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세종특별자치시 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안산 산업단지 수혜로 가격상승 투자 강추</t>
        </is>
      </c>
      <c r="L505" s="6">
        <f>HYPERLINK("https://fin.land.naver.com/articles/2648746074", "매물Link")</f>
        <v/>
      </c>
      <c r="M505" s="6">
        <f>HYPERLINK("https://map.naver.com/p/search/세종특별자치시 금남면 용담리 270", "지도Link")</f>
        <v/>
      </c>
      <c r="N505" s="6">
        <f>HYPERLINK("http://www.eum.go.kr/web/ar/lu/luLandDet.jsp?pnu=3611034025102700000&amp;isNoScr=script&amp;mode=search", "토지이음")</f>
        <v/>
      </c>
      <c r="O505" s="3" t="inlineStr">
        <is>
          <t>신호반2블럭</t>
        </is>
      </c>
      <c r="P505" s="3" t="n">
        <v>9</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세종특별자치시 금남면 용담리 270</t>
        </is>
      </c>
      <c r="B506" s="3" t="inlineStr">
        <is>
          <t>개발제한구역</t>
        </is>
      </c>
      <c r="C506" s="3" t="inlineStr">
        <is>
          <t>전</t>
        </is>
      </c>
      <c r="D506" s="3" t="inlineStr">
        <is>
          <t>전</t>
        </is>
      </c>
      <c r="E506" s="3" t="inlineStr">
        <is>
          <t>매매</t>
        </is>
      </c>
      <c r="F506" s="4" t="n">
        <v>45000</v>
      </c>
      <c r="G506" s="4" t="n">
        <v>1408</v>
      </c>
      <c r="H506" s="4" t="n">
        <v>426</v>
      </c>
      <c r="I506" s="5" t="n">
        <v>105.6</v>
      </c>
      <c r="J506" s="4" t="n">
        <v>33</v>
      </c>
      <c r="K506" s="3" t="inlineStr">
        <is>
          <t>대전에서 차로15분거리 접근성뛰어남 주말농장이용가능</t>
        </is>
      </c>
      <c r="L506" s="6">
        <f>HYPERLINK("https://fin.land.naver.com/articles/2647743230", "매물Link")</f>
        <v/>
      </c>
      <c r="M506" s="6">
        <f>HYPERLINK("https://map.naver.com/p/search/세종특별자치시 금남면 용담리 270", "지도Link")</f>
        <v/>
      </c>
      <c r="N506" s="6">
        <f>HYPERLINK("http://www.eum.go.kr/web/ar/lu/luLandDet.jsp?pnu=3611034025102700000&amp;isNoScr=script&amp;mode=search", "토지이음")</f>
        <v/>
      </c>
      <c r="O506" s="3" t="inlineStr">
        <is>
          <t>트리풀행복</t>
        </is>
      </c>
      <c r="P506" s="3" t="n">
        <v>1</v>
      </c>
      <c r="Q506" s="3" t="n">
        <v>1408</v>
      </c>
      <c r="R506" s="3" t="inlineStr">
        <is>
          <t>지정되지않음</t>
        </is>
      </c>
      <c r="S506" s="3" t="inlineStr">
        <is>
          <t>전</t>
        </is>
      </c>
      <c r="T506" s="3" t="inlineStr">
        <is>
          <t>평지</t>
        </is>
      </c>
      <c r="U506" s="3" t="inlineStr">
        <is>
          <t>부정형</t>
        </is>
      </c>
      <c r="V506" s="3" t="inlineStr">
        <is>
          <t>세로한면(가)</t>
        </is>
      </c>
    </row>
    <row r="507">
      <c r="A507" s="3" t="inlineStr">
        <is>
          <t>세종특별자치시 금남면 용담리 56-1</t>
        </is>
      </c>
      <c r="B507" s="3" t="inlineStr">
        <is>
          <t>개발제한구역</t>
        </is>
      </c>
      <c r="C507" s="3" t="inlineStr">
        <is>
          <t>답</t>
        </is>
      </c>
      <c r="D507" s="3" t="inlineStr">
        <is>
          <t>답</t>
        </is>
      </c>
      <c r="E507" s="3" t="inlineStr">
        <is>
          <t>매매</t>
        </is>
      </c>
      <c r="F507" s="4" t="n">
        <v>24500</v>
      </c>
      <c r="G507" s="4" t="n">
        <v>1157</v>
      </c>
      <c r="H507" s="4" t="n">
        <v>350</v>
      </c>
      <c r="I507" s="5" t="n">
        <v>70</v>
      </c>
      <c r="J507" s="4" t="n">
        <v>35.1</v>
      </c>
      <c r="K507" s="3" t="inlineStr">
        <is>
          <t>용담리. 지가 상승 지역으로 투자 강추</t>
        </is>
      </c>
      <c r="L507" s="6">
        <f>HYPERLINK("https://fin.land.naver.com/articles/2646747688", "매물Link")</f>
        <v/>
      </c>
      <c r="M507" s="6">
        <f>HYPERLINK("https://map.naver.com/p/search/세종특별자치시 금남면 용담리 56-1", "지도Link")</f>
        <v/>
      </c>
      <c r="N507" s="6">
        <f>HYPERLINK("http://www.eum.go.kr/web/ar/lu/luLandDet.jsp?pnu=3611034025100560001&amp;isNoScr=script&amp;mode=search", "토지이음")</f>
        <v/>
      </c>
      <c r="O507" s="3" t="inlineStr">
        <is>
          <t>내동굿모닝</t>
        </is>
      </c>
      <c r="P507" s="3" t="n">
        <v>1</v>
      </c>
      <c r="Q507" s="3" t="n">
        <v>1157</v>
      </c>
      <c r="R507" s="3" t="inlineStr">
        <is>
          <t>지정되지않음</t>
        </is>
      </c>
      <c r="S507" s="3" t="inlineStr">
        <is>
          <t>답</t>
        </is>
      </c>
      <c r="T507" s="3" t="inlineStr">
        <is>
          <t>평지</t>
        </is>
      </c>
      <c r="U507" s="3" t="inlineStr">
        <is>
          <t>부정형</t>
        </is>
      </c>
      <c r="V507" s="3" t="inlineStr">
        <is>
          <t>세로한면(가)</t>
        </is>
      </c>
    </row>
    <row r="508">
      <c r="A508" s="3" t="inlineStr">
        <is>
          <t>세종특별자치시 금남면 용담리 57</t>
        </is>
      </c>
      <c r="B508" s="3" t="inlineStr">
        <is>
          <t>개발제한구역</t>
        </is>
      </c>
      <c r="C508" s="3" t="inlineStr">
        <is>
          <t>창고용지</t>
        </is>
      </c>
      <c r="D508" s="3" t="inlineStr">
        <is>
          <t>답</t>
        </is>
      </c>
      <c r="E508" s="3" t="inlineStr">
        <is>
          <t>매매</t>
        </is>
      </c>
      <c r="F508" s="4" t="n">
        <v>43000</v>
      </c>
      <c r="G508" s="4" t="n">
        <v>1737</v>
      </c>
      <c r="H508" s="4" t="n">
        <v>525</v>
      </c>
      <c r="I508" s="5" t="n">
        <v>81.90000000000001</v>
      </c>
      <c r="J508" s="4" t="n">
        <v>44.2</v>
      </c>
      <c r="K508" s="3" t="inlineStr">
        <is>
          <t>금남면 용담리 토지매매(창고1동 포함)</t>
        </is>
      </c>
      <c r="L508" s="6">
        <f>HYPERLINK("https://fin.land.naver.com/articles/2648407805", "매물Link")</f>
        <v/>
      </c>
      <c r="M508" s="6">
        <f>HYPERLINK("https://map.naver.com/p/search/세종특별자치시 금남면 용담리 57", "지도Link")</f>
        <v/>
      </c>
      <c r="N508" s="6">
        <f>HYPERLINK("http://www.eum.go.kr/web/ar/lu/luLandDet.jsp?pnu=3611034025100570000&amp;isNoScr=script&amp;mode=search", "토지이음")</f>
        <v/>
      </c>
      <c r="O508" s="3" t="inlineStr">
        <is>
          <t>비전</t>
        </is>
      </c>
      <c r="P508" s="3" t="n">
        <v>1</v>
      </c>
      <c r="Q508" s="3" t="n">
        <v>130</v>
      </c>
      <c r="R508" s="3" t="inlineStr">
        <is>
          <t>지정되지않음</t>
        </is>
      </c>
      <c r="S508" s="3" t="inlineStr">
        <is>
          <t>답창고</t>
        </is>
      </c>
      <c r="T508" s="3" t="inlineStr">
        <is>
          <t>평지</t>
        </is>
      </c>
      <c r="U508" s="3" t="inlineStr">
        <is>
          <t>정방형</t>
        </is>
      </c>
      <c r="V508" s="3" t="inlineStr">
        <is>
          <t>세로한면(가)</t>
        </is>
      </c>
    </row>
    <row r="509">
      <c r="A509" s="3" t="inlineStr">
        <is>
          <t>세종특별자치시 금남면 용담리 76-1</t>
        </is>
      </c>
      <c r="B509" s="3" t="inlineStr">
        <is>
          <t>개발제한구역</t>
        </is>
      </c>
      <c r="C509" s="3" t="inlineStr">
        <is>
          <t>답</t>
        </is>
      </c>
      <c r="D509" s="3" t="inlineStr">
        <is>
          <t>답</t>
        </is>
      </c>
      <c r="E509" s="3" t="inlineStr">
        <is>
          <t>매매</t>
        </is>
      </c>
      <c r="F509" s="4" t="n">
        <v>24640</v>
      </c>
      <c r="G509" s="4" t="n">
        <v>740</v>
      </c>
      <c r="H509" s="4" t="n">
        <v>224</v>
      </c>
      <c r="I509" s="5" t="n">
        <v>110</v>
      </c>
      <c r="J509" s="4" t="n">
        <v>56.2</v>
      </c>
      <c r="K509" s="3" t="inlineStr">
        <is>
          <t>대토용토지 추천</t>
        </is>
      </c>
      <c r="L509" s="6">
        <f>HYPERLINK("https://fin.land.naver.com/articles/2649121071", "매물Link")</f>
        <v/>
      </c>
      <c r="M509" s="6">
        <f>HYPERLINK("https://map.naver.com/p/search/세종특별자치시 금남면 용담리 76-1", "지도Link")</f>
        <v/>
      </c>
      <c r="N509" s="6">
        <f>HYPERLINK("http://www.eum.go.kr/web/ar/lu/luLandDet.jsp?pnu=3611034025100760001&amp;isNoScr=script&amp;mode=search", "토지이음")</f>
        <v/>
      </c>
      <c r="O509" s="3" t="inlineStr">
        <is>
          <t>창고의여왕</t>
        </is>
      </c>
      <c r="P509" s="3" t="n">
        <v>1</v>
      </c>
      <c r="Q509" s="3" t="n">
        <v>740</v>
      </c>
      <c r="R509" s="3" t="inlineStr">
        <is>
          <t>지정되지않음</t>
        </is>
      </c>
      <c r="S509" s="3" t="inlineStr">
        <is>
          <t>답</t>
        </is>
      </c>
      <c r="T509" s="3" t="inlineStr">
        <is>
          <t>평지</t>
        </is>
      </c>
      <c r="U509" s="3" t="inlineStr">
        <is>
          <t>부정형</t>
        </is>
      </c>
      <c r="V509" s="3" t="inlineStr">
        <is>
          <t>세로각지(가)</t>
        </is>
      </c>
    </row>
    <row r="510">
      <c r="A510" s="3" t="inlineStr">
        <is>
          <t>세종특별자치시 금남면 용포리 125-1</t>
        </is>
      </c>
      <c r="B510" s="3" t="inlineStr">
        <is>
          <t>제1종일반주거지역</t>
        </is>
      </c>
      <c r="C510" s="3" t="inlineStr">
        <is>
          <t>대</t>
        </is>
      </c>
      <c r="D510" s="3" t="inlineStr">
        <is>
          <t>대</t>
        </is>
      </c>
      <c r="E510" s="3" t="inlineStr">
        <is>
          <t>매매</t>
        </is>
      </c>
      <c r="F510" s="4" t="n">
        <v>125000</v>
      </c>
      <c r="G510" s="4" t="n">
        <v>545</v>
      </c>
      <c r="H510" s="4" t="n">
        <v>165</v>
      </c>
      <c r="I510" s="5" t="n">
        <v>757.6</v>
      </c>
      <c r="J510" s="4" t="n">
        <v>255.6</v>
      </c>
      <c r="K510" s="3" t="inlineStr">
        <is>
          <t>금남근린공원 인접 제1종주거 대지 기존주택 활용 검토</t>
        </is>
      </c>
      <c r="L510" s="6">
        <f>HYPERLINK("https://fin.land.naver.com/articles/2649753333", "매물Link")</f>
        <v/>
      </c>
      <c r="M510" s="6">
        <f>HYPERLINK("https://map.naver.com/p/search/세종특별자치시 금남면 용포리 125-1", "지도Link")</f>
        <v/>
      </c>
      <c r="N510" s="6">
        <f>HYPERLINK("http://www.eum.go.kr/web/ar/lu/luLandDet.jsp?pnu=3611034021101250001&amp;isNoScr=script&amp;mode=search", "토지이음")</f>
        <v/>
      </c>
      <c r="O510" s="3" t="inlineStr">
        <is>
          <t>세종소담황금</t>
        </is>
      </c>
      <c r="P510" s="3" t="n">
        <v>1</v>
      </c>
      <c r="Q510" s="3" t="n">
        <v>545</v>
      </c>
      <c r="R510" s="3" t="inlineStr">
        <is>
          <t>지정되지않음</t>
        </is>
      </c>
      <c r="S510" s="3" t="inlineStr">
        <is>
          <t>단독</t>
        </is>
      </c>
      <c r="T510" s="3" t="inlineStr">
        <is>
          <t>완경사</t>
        </is>
      </c>
      <c r="U510" s="3" t="inlineStr">
        <is>
          <t>사다리형</t>
        </is>
      </c>
      <c r="V510" s="3" t="inlineStr">
        <is>
          <t>세로한면(불)</t>
        </is>
      </c>
    </row>
    <row r="511">
      <c r="A511" s="3" t="inlineStr">
        <is>
          <t>세종특별자치시 금남면 용포리 14</t>
        </is>
      </c>
      <c r="B511" s="3" t="inlineStr">
        <is>
          <t>개발제한구역</t>
        </is>
      </c>
      <c r="C511" s="3" t="inlineStr">
        <is>
          <t>전</t>
        </is>
      </c>
      <c r="D511" s="3" t="inlineStr">
        <is>
          <t>전</t>
        </is>
      </c>
      <c r="E511" s="3" t="inlineStr">
        <is>
          <t>매매</t>
        </is>
      </c>
      <c r="F511" s="4" t="n">
        <v>50000</v>
      </c>
      <c r="G511" s="4" t="n">
        <v>1491</v>
      </c>
      <c r="H511" s="4" t="n">
        <v>451</v>
      </c>
      <c r="I511" s="5" t="n">
        <v>110.9</v>
      </c>
      <c r="J511" s="4" t="n">
        <v>61.2</v>
      </c>
      <c r="K511" s="3" t="inlineStr">
        <is>
          <t>금남면 중심생활권 가까운 실경작 토지, 차량접근세종 생활권 연계 우수</t>
        </is>
      </c>
      <c r="L511" s="6">
        <f>HYPERLINK("https://fin.land.naver.com/articles/2644764335", "매물Link")</f>
        <v/>
      </c>
      <c r="M511" s="6">
        <f>HYPERLINK("https://map.naver.com/p/search/세종특별자치시 금남면 용포리 14", "지도Link")</f>
        <v/>
      </c>
      <c r="N511" s="6">
        <f>HYPERLINK("http://www.eum.go.kr/web/ar/lu/luLandDet.jsp?pnu=3611034021100140000&amp;isNoScr=script&amp;mode=search", "토지이음")</f>
        <v/>
      </c>
      <c r="O511" s="3" t="inlineStr">
        <is>
          <t>세종소담황금</t>
        </is>
      </c>
      <c r="P511" s="3" t="n">
        <v>1</v>
      </c>
      <c r="Q511" s="3" t="n">
        <v>1491</v>
      </c>
      <c r="R511" s="3" t="inlineStr">
        <is>
          <t>지정되지않음</t>
        </is>
      </c>
      <c r="S511" s="3" t="inlineStr">
        <is>
          <t>전</t>
        </is>
      </c>
      <c r="T511" s="3" t="inlineStr">
        <is>
          <t>완경사</t>
        </is>
      </c>
      <c r="U511" s="3" t="inlineStr">
        <is>
          <t>부정형</t>
        </is>
      </c>
      <c r="V511" s="3" t="inlineStr">
        <is>
          <t>세로한면(가)</t>
        </is>
      </c>
    </row>
    <row r="512">
      <c r="A512" s="3" t="inlineStr">
        <is>
          <t>세종특별자치시 금남면 용포리 147-4</t>
        </is>
      </c>
      <c r="B512" s="3" t="inlineStr">
        <is>
          <t>제2종일반주거지역</t>
        </is>
      </c>
      <c r="C512" s="3" t="inlineStr">
        <is>
          <t>대</t>
        </is>
      </c>
      <c r="D512" s="3" t="inlineStr">
        <is>
          <t>대</t>
        </is>
      </c>
      <c r="E512" s="3" t="inlineStr">
        <is>
          <t>매매</t>
        </is>
      </c>
      <c r="F512" s="4" t="n">
        <v>42000</v>
      </c>
      <c r="G512" s="4" t="n">
        <v>198</v>
      </c>
      <c r="H512" s="4" t="n">
        <v>60</v>
      </c>
      <c r="I512" s="5" t="n">
        <v>700</v>
      </c>
      <c r="J512" s="4" t="n">
        <v>395.4</v>
      </c>
      <c r="K512" s="3" t="inlineStr">
        <is>
          <t>금남면 소재지 에 있는 2종일반주거지역 매물</t>
        </is>
      </c>
      <c r="L512" s="6">
        <f>HYPERLINK("https://fin.land.naver.com/articles/2647765598", "매물Link")</f>
        <v/>
      </c>
      <c r="M512" s="6">
        <f>HYPERLINK("https://map.naver.com/p/search/세종특별자치시 금남면 용포리 147-4", "지도Link")</f>
        <v/>
      </c>
      <c r="N512" s="6">
        <f>HYPERLINK("http://www.eum.go.kr/web/ar/lu/luLandDet.jsp?pnu=3611034021101470004&amp;isNoScr=script&amp;mode=search", "토지이음")</f>
        <v/>
      </c>
      <c r="O512" s="3" t="inlineStr">
        <is>
          <t>지호주식회사</t>
        </is>
      </c>
      <c r="P512" s="3" t="n">
        <v>1</v>
      </c>
      <c r="Q512" s="3" t="n">
        <v>197</v>
      </c>
      <c r="R512" s="3" t="inlineStr">
        <is>
          <t>지정되지않음</t>
        </is>
      </c>
      <c r="S512" s="3" t="inlineStr">
        <is>
          <t>단독</t>
        </is>
      </c>
      <c r="T512" s="3" t="inlineStr">
        <is>
          <t>평지</t>
        </is>
      </c>
      <c r="U512" s="3" t="inlineStr">
        <is>
          <t>부정형</t>
        </is>
      </c>
      <c r="V512" s="3" t="inlineStr">
        <is>
          <t>중로한면</t>
        </is>
      </c>
    </row>
    <row r="513">
      <c r="A513" s="3" t="inlineStr">
        <is>
          <t>세종특별자치시 금남면 용포리 149-4</t>
        </is>
      </c>
      <c r="B513" s="3" t="inlineStr">
        <is>
          <t>제2종일반주거지역</t>
        </is>
      </c>
      <c r="C513" s="3" t="inlineStr">
        <is>
          <t>전</t>
        </is>
      </c>
      <c r="D513" s="3" t="inlineStr">
        <is>
          <t>전</t>
        </is>
      </c>
      <c r="E513" s="3" t="inlineStr">
        <is>
          <t>매매</t>
        </is>
      </c>
      <c r="F513" s="4" t="n">
        <v>130000</v>
      </c>
      <c r="G513" s="4" t="n">
        <v>573</v>
      </c>
      <c r="H513" s="4" t="n">
        <v>173</v>
      </c>
      <c r="I513" s="5" t="n">
        <v>751.4</v>
      </c>
      <c r="J513" s="4" t="n">
        <v>336.9</v>
      </c>
      <c r="K513" s="3" t="inlineStr">
        <is>
          <t>누구나 탐내는 코너각지 세종의 요지를 선점하세요</t>
        </is>
      </c>
      <c r="L513" s="6">
        <f>HYPERLINK("https://fin.land.naver.com/articles/2644177829", "매물Link")</f>
        <v/>
      </c>
      <c r="M513" s="6">
        <f>HYPERLINK("https://map.naver.com/p/search/세종특별자치시 금남면 용포리 149-4", "지도Link")</f>
        <v/>
      </c>
      <c r="N513" s="6">
        <f>HYPERLINK("http://www.eum.go.kr/web/ar/lu/luLandDet.jsp?pnu=3611034021101490004&amp;isNoScr=script&amp;mode=search", "토지이음")</f>
        <v/>
      </c>
      <c r="O513" s="3" t="inlineStr">
        <is>
          <t>삼복</t>
        </is>
      </c>
      <c r="P513" s="3" t="n">
        <v>1</v>
      </c>
      <c r="Q513" s="3" t="n">
        <v>573</v>
      </c>
      <c r="R513" s="3" t="inlineStr">
        <is>
          <t>지정되지않음</t>
        </is>
      </c>
      <c r="S513" s="3" t="inlineStr">
        <is>
          <t>주거나지</t>
        </is>
      </c>
      <c r="T513" s="3" t="inlineStr">
        <is>
          <t>평지</t>
        </is>
      </c>
      <c r="U513" s="3" t="inlineStr">
        <is>
          <t>사다리형</t>
        </is>
      </c>
      <c r="V513" s="3" t="inlineStr">
        <is>
          <t>세로한면(가)</t>
        </is>
      </c>
    </row>
    <row r="514">
      <c r="A514" s="3" t="inlineStr">
        <is>
          <t>세종특별자치시 금남면 용포리 167-8</t>
        </is>
      </c>
      <c r="B514" s="3" t="inlineStr">
        <is>
          <t>제1종일반주거지역</t>
        </is>
      </c>
      <c r="C514" s="3" t="inlineStr">
        <is>
          <t>대</t>
        </is>
      </c>
      <c r="D514" s="3" t="inlineStr">
        <is>
          <t>대</t>
        </is>
      </c>
      <c r="E514" s="3" t="inlineStr">
        <is>
          <t>매매</t>
        </is>
      </c>
      <c r="F514" s="4" t="n">
        <v>7150</v>
      </c>
      <c r="G514" s="4" t="n">
        <v>79</v>
      </c>
      <c r="H514" s="4" t="n">
        <v>24</v>
      </c>
      <c r="I514" s="5" t="n">
        <v>297.9</v>
      </c>
      <c r="J514" s="4" t="n">
        <v>258.8</v>
      </c>
      <c r="K514" s="3" t="inlineStr">
        <is>
          <t>금남면 용포리 지목 대 소형토지</t>
        </is>
      </c>
      <c r="L514" s="6">
        <f>HYPERLINK("https://fin.land.naver.com/articles/2645007224", "매물Link")</f>
        <v/>
      </c>
      <c r="M514" s="6">
        <f>HYPERLINK("https://map.naver.com/p/search/세종특별자치시 금남면 용포리 167-8", "지도Link")</f>
        <v/>
      </c>
      <c r="N514" s="6">
        <f>HYPERLINK("http://www.eum.go.kr/web/ar/lu/luLandDet.jsp?pnu=3611034021101670008&amp;isNoScr=script&amp;mode=search", "토지이음")</f>
        <v/>
      </c>
      <c r="O514" s="3" t="inlineStr">
        <is>
          <t>88</t>
        </is>
      </c>
      <c r="P514" s="3" t="n">
        <v>1</v>
      </c>
      <c r="Q514" s="3" t="n">
        <v>79</v>
      </c>
      <c r="R514" s="3" t="inlineStr">
        <is>
          <t>자연녹지지역</t>
        </is>
      </c>
      <c r="S514" s="3" t="inlineStr">
        <is>
          <t>단독</t>
        </is>
      </c>
      <c r="T514" s="3" t="inlineStr">
        <is>
          <t>완경사</t>
        </is>
      </c>
      <c r="U514" s="3" t="inlineStr">
        <is>
          <t>부정형</t>
        </is>
      </c>
      <c r="V514" s="3" t="inlineStr">
        <is>
          <t>세로한면(가)</t>
        </is>
      </c>
    </row>
    <row r="515">
      <c r="A515" s="3" t="inlineStr">
        <is>
          <t>세종특별자치시 금남면 용포리 169</t>
        </is>
      </c>
      <c r="B515" s="3" t="inlineStr">
        <is>
          <t>제1종일반주거지역</t>
        </is>
      </c>
      <c r="C515" s="3" t="inlineStr">
        <is>
          <t>대</t>
        </is>
      </c>
      <c r="D515" s="3" t="inlineStr">
        <is>
          <t>대</t>
        </is>
      </c>
      <c r="E515" s="3" t="inlineStr">
        <is>
          <t>매매</t>
        </is>
      </c>
      <c r="F515" s="4" t="n">
        <v>34100</v>
      </c>
      <c r="G515" s="4" t="n">
        <v>206</v>
      </c>
      <c r="H515" s="4" t="n">
        <v>62</v>
      </c>
      <c r="I515" s="5" t="n">
        <v>550</v>
      </c>
      <c r="J515" s="4" t="n">
        <v>360.3</v>
      </c>
      <c r="K515" s="3" t="inlineStr">
        <is>
          <t>급매,2차선도로에 붙은 대지,단독주택지 추천</t>
        </is>
      </c>
      <c r="L515" s="6">
        <f>HYPERLINK("https://fin.land.naver.com/articles/2645976599", "매물Link")</f>
        <v/>
      </c>
      <c r="M515" s="6">
        <f>HYPERLINK("https://map.naver.com/p/search/세종특별자치시 금남면 용포리 169", "지도Link")</f>
        <v/>
      </c>
      <c r="N515" s="6">
        <f>HYPERLINK("http://www.eum.go.kr/web/ar/lu/luLandDet.jsp?pnu=3611034021101690000&amp;isNoScr=script&amp;mode=search", "토지이음")</f>
        <v/>
      </c>
      <c r="O515" s="3" t="inlineStr">
        <is>
          <t>두진</t>
        </is>
      </c>
      <c r="P515" s="3" t="n">
        <v>1</v>
      </c>
      <c r="Q515" s="3" t="n">
        <v>206</v>
      </c>
      <c r="R515" s="3" t="inlineStr">
        <is>
          <t>지정되지않음</t>
        </is>
      </c>
      <c r="S515" s="3" t="inlineStr">
        <is>
          <t>단독</t>
        </is>
      </c>
      <c r="T515" s="3" t="inlineStr">
        <is>
          <t>평지</t>
        </is>
      </c>
      <c r="U515" s="3" t="inlineStr">
        <is>
          <t>부정형</t>
        </is>
      </c>
      <c r="V515" s="3" t="inlineStr">
        <is>
          <t>소로한면</t>
        </is>
      </c>
    </row>
    <row r="516">
      <c r="A516" s="3" t="inlineStr">
        <is>
          <t>세종특별자치시 금남면 용포리 185-3</t>
        </is>
      </c>
      <c r="B516" s="3" t="inlineStr">
        <is>
          <t>제2종일반주거지역</t>
        </is>
      </c>
      <c r="C516" s="3" t="inlineStr">
        <is>
          <t>대</t>
        </is>
      </c>
      <c r="D516" s="3" t="inlineStr">
        <is>
          <t>대</t>
        </is>
      </c>
      <c r="E516" s="3" t="inlineStr">
        <is>
          <t>매매</t>
        </is>
      </c>
      <c r="F516" s="4" t="n">
        <v>45000</v>
      </c>
      <c r="G516" s="4" t="n">
        <v>245</v>
      </c>
      <c r="H516" s="4" t="n">
        <v>74</v>
      </c>
      <c r="I516" s="5" t="n">
        <v>608.1</v>
      </c>
      <c r="J516" s="4" t="n">
        <v>324.5</v>
      </c>
      <c r="K516" s="3" t="inlineStr">
        <is>
          <t>세종시 금남면 용포리에 위치한 단독주택 또는 공동주택 건축 적합지 245</t>
        </is>
      </c>
      <c r="L516" s="6">
        <f>HYPERLINK("https://fin.land.naver.com/articles/2645285677", "매물Link")</f>
        <v/>
      </c>
      <c r="M516" s="6">
        <f>HYPERLINK("https://map.naver.com/p/search/세종특별자치시 금남면 용포리 185-3", "지도Link")</f>
        <v/>
      </c>
      <c r="N516" s="6">
        <f>HYPERLINK("http://www.eum.go.kr/web/ar/lu/luLandDet.jsp?pnu=3611034021101850003&amp;isNoScr=script&amp;mode=search", "토지이음")</f>
        <v/>
      </c>
      <c r="O516" s="3" t="inlineStr">
        <is>
          <t>주식회사 고창</t>
        </is>
      </c>
      <c r="P516" s="3" t="n">
        <v>1</v>
      </c>
      <c r="Q516" s="3" t="n">
        <v>245</v>
      </c>
      <c r="R516" s="3" t="inlineStr">
        <is>
          <t>지정되지않음</t>
        </is>
      </c>
      <c r="S516" s="3" t="inlineStr">
        <is>
          <t>단독</t>
        </is>
      </c>
      <c r="T516" s="3" t="inlineStr">
        <is>
          <t>평지</t>
        </is>
      </c>
      <c r="U516" s="3" t="inlineStr">
        <is>
          <t>정방형</t>
        </is>
      </c>
      <c r="V516" s="3" t="inlineStr">
        <is>
          <t>세로한면(가)</t>
        </is>
      </c>
    </row>
    <row r="517">
      <c r="A517" s="3" t="inlineStr">
        <is>
          <t>세종특별자치시 금남면 용포리 193-9</t>
        </is>
      </c>
      <c r="B517" s="3" t="inlineStr">
        <is>
          <t>일반상업지역</t>
        </is>
      </c>
      <c r="C517" s="3" t="inlineStr">
        <is>
          <t>대</t>
        </is>
      </c>
      <c r="D517" s="3" t="inlineStr">
        <is>
          <t>대</t>
        </is>
      </c>
      <c r="E517" s="3" t="inlineStr">
        <is>
          <t>매매</t>
        </is>
      </c>
      <c r="F517" s="4" t="n">
        <v>42000</v>
      </c>
      <c r="G517" s="4" t="n">
        <v>116</v>
      </c>
      <c r="H517" s="4" t="n">
        <v>35</v>
      </c>
      <c r="I517" s="5" t="n">
        <v>1200</v>
      </c>
      <c r="J517" s="4" t="n">
        <v>591.7</v>
      </c>
      <c r="K517" s="3" t="inlineStr">
        <is>
          <t>일반상업지역으로 건폐율,용적률 증가로 건물 지을수 있음</t>
        </is>
      </c>
      <c r="L517" s="6">
        <f>HYPERLINK("https://fin.land.naver.com/articles/2645042850", "매물Link")</f>
        <v/>
      </c>
      <c r="M517" s="6">
        <f>HYPERLINK("https://map.naver.com/p/search/세종특별자치시 금남면 용포리 193-9", "지도Link")</f>
        <v/>
      </c>
      <c r="N517" s="6">
        <f>HYPERLINK("http://www.eum.go.kr/web/ar/lu/luLandDet.jsp?pnu=3611034021101930009&amp;isNoScr=script&amp;mode=search", "토지이음")</f>
        <v/>
      </c>
      <c r="O517" s="3" t="inlineStr">
        <is>
          <t>담뜰</t>
        </is>
      </c>
      <c r="P517" s="3" t="n">
        <v>1</v>
      </c>
      <c r="Q517" s="3" t="n">
        <v>116</v>
      </c>
      <c r="R517" s="3" t="inlineStr">
        <is>
          <t>지정되지않음</t>
        </is>
      </c>
      <c r="S517" s="3" t="inlineStr">
        <is>
          <t>상업용</t>
        </is>
      </c>
      <c r="T517" s="3" t="inlineStr">
        <is>
          <t>평지</t>
        </is>
      </c>
      <c r="U517" s="3" t="inlineStr">
        <is>
          <t>가로장방</t>
        </is>
      </c>
      <c r="V517" s="3" t="inlineStr">
        <is>
          <t>세로한면(가)</t>
        </is>
      </c>
    </row>
    <row r="518">
      <c r="A518" s="3" t="inlineStr">
        <is>
          <t>세종특별자치시 금남면 용포리 205-10</t>
        </is>
      </c>
      <c r="B518" s="3" t="inlineStr">
        <is>
          <t>제2종일반주거지역</t>
        </is>
      </c>
      <c r="C518" s="3" t="inlineStr">
        <is>
          <t>대</t>
        </is>
      </c>
      <c r="D518" s="3" t="inlineStr">
        <is>
          <t>대</t>
        </is>
      </c>
      <c r="E518" s="3" t="inlineStr">
        <is>
          <t>매매</t>
        </is>
      </c>
      <c r="F518" s="4" t="n">
        <v>210000</v>
      </c>
      <c r="G518" s="4" t="n">
        <v>473</v>
      </c>
      <c r="H518" s="4" t="n">
        <v>143</v>
      </c>
      <c r="I518" s="5" t="n">
        <v>1468.5</v>
      </c>
      <c r="J518" s="4" t="n">
        <v>828.8</v>
      </c>
      <c r="K518" s="3" t="inlineStr">
        <is>
          <t>상가임대, 회전교차로, 투자</t>
        </is>
      </c>
      <c r="L518" s="6">
        <f>HYPERLINK("https://fin.land.naver.com/articles/2644880725", "매물Link")</f>
        <v/>
      </c>
      <c r="M518" s="6">
        <f>HYPERLINK("https://map.naver.com/p/search/세종특별자치시 금남면 용포리 205-10", "지도Link")</f>
        <v/>
      </c>
      <c r="N518" s="6">
        <f>HYPERLINK("http://www.eum.go.kr/web/ar/lu/luLandDet.jsp?pnu=3611034021102050010&amp;isNoScr=script&amp;mode=search", "토지이음")</f>
        <v/>
      </c>
      <c r="O518" s="3" t="inlineStr">
        <is>
          <t>한뜰금빛</t>
        </is>
      </c>
      <c r="P518" s="3" t="n">
        <v>1</v>
      </c>
      <c r="Q518" s="3" t="n">
        <v>473</v>
      </c>
      <c r="R518" s="3" t="inlineStr">
        <is>
          <t>지정되지않음</t>
        </is>
      </c>
      <c r="S518" s="3" t="inlineStr">
        <is>
          <t>상업용</t>
        </is>
      </c>
      <c r="T518" s="3" t="inlineStr">
        <is>
          <t>평지</t>
        </is>
      </c>
      <c r="U518" s="3" t="inlineStr">
        <is>
          <t>사다리형</t>
        </is>
      </c>
      <c r="V518" s="3" t="inlineStr">
        <is>
          <t>중로한면</t>
        </is>
      </c>
    </row>
    <row r="519">
      <c r="A519" s="3" t="inlineStr">
        <is>
          <t>세종특별자치시 금남면 용포리 205-38</t>
        </is>
      </c>
      <c r="B519" s="3" t="inlineStr">
        <is>
          <t>제2종일반주거지역</t>
        </is>
      </c>
      <c r="C519" s="3" t="inlineStr">
        <is>
          <t>대</t>
        </is>
      </c>
      <c r="D519" s="3" t="inlineStr">
        <is>
          <t>대</t>
        </is>
      </c>
      <c r="E519" s="3" t="inlineStr">
        <is>
          <t>매매</t>
        </is>
      </c>
      <c r="F519" s="4" t="n">
        <v>610000</v>
      </c>
      <c r="G519" s="4" t="n">
        <v>1552</v>
      </c>
      <c r="H519" s="4" t="n">
        <v>469</v>
      </c>
      <c r="I519" s="5" t="n">
        <v>1300.6</v>
      </c>
      <c r="J519" s="4" t="n">
        <v>625.8</v>
      </c>
      <c r="K519" s="3" t="inlineStr">
        <is>
          <t>강력추천, 개발호재, 대형부지</t>
        </is>
      </c>
      <c r="L519" s="6">
        <f>HYPERLINK("https://fin.land.naver.com/articles/2645481603", "매물Link")</f>
        <v/>
      </c>
      <c r="M519" s="6">
        <f>HYPERLINK("https://map.naver.com/p/search/세종특별자치시 금남면 용포리 205-38", "지도Link")</f>
        <v/>
      </c>
      <c r="N519" s="6">
        <f>HYPERLINK("http://www.eum.go.kr/web/ar/lu/luLandDet.jsp?pnu=3611034021102050038&amp;isNoScr=script&amp;mode=search", "토지이음")</f>
        <v/>
      </c>
      <c r="O519" s="3" t="inlineStr">
        <is>
          <t>한뜰금빛</t>
        </is>
      </c>
      <c r="P519" s="3" t="n">
        <v>1</v>
      </c>
      <c r="Q519" s="3" t="n">
        <v>947</v>
      </c>
      <c r="R519" s="3" t="inlineStr">
        <is>
          <t>지정되지않음</t>
        </is>
      </c>
      <c r="S519" s="3" t="inlineStr">
        <is>
          <t>주상용</t>
        </is>
      </c>
      <c r="T519" s="3" t="inlineStr">
        <is>
          <t>평지</t>
        </is>
      </c>
      <c r="U519" s="3" t="inlineStr">
        <is>
          <t>자루형</t>
        </is>
      </c>
      <c r="V519" s="3" t="inlineStr">
        <is>
          <t>소로한면</t>
        </is>
      </c>
    </row>
    <row r="520">
      <c r="A520" s="3" t="inlineStr">
        <is>
          <t>세종특별자치시 금남면 용포리 237-46</t>
        </is>
      </c>
      <c r="B520" s="3" t="inlineStr">
        <is>
          <t>생산녹지지역</t>
        </is>
      </c>
      <c r="C520" s="3" t="inlineStr">
        <is>
          <t>답</t>
        </is>
      </c>
      <c r="D520" s="3" t="inlineStr">
        <is>
          <t>답</t>
        </is>
      </c>
      <c r="E520" s="3" t="inlineStr">
        <is>
          <t>매매</t>
        </is>
      </c>
      <c r="F520" s="4" t="n">
        <v>120000</v>
      </c>
      <c r="G520" s="4" t="n">
        <v>2115</v>
      </c>
      <c r="H520" s="4" t="n">
        <v>640</v>
      </c>
      <c r="I520" s="5" t="n">
        <v>187.5</v>
      </c>
      <c r="J520" s="4" t="n">
        <v>110.8</v>
      </c>
      <c r="K520" s="3" t="inlineStr">
        <is>
          <t>행정도시옆에 위치하고 있으며 향후 투자가치가 높음</t>
        </is>
      </c>
      <c r="L520" s="6">
        <f>HYPERLINK("https://fin.land.naver.com/articles/2649116890", "매물Link")</f>
        <v/>
      </c>
      <c r="M520" s="6">
        <f>HYPERLINK("https://map.naver.com/p/search/세종특별자치시 금남면 용포리 237-46", "지도Link")</f>
        <v/>
      </c>
      <c r="N520" s="6">
        <f>HYPERLINK("http://www.eum.go.kr/web/ar/lu/luLandDet.jsp?pnu=3611034021102370046&amp;isNoScr=script&amp;mode=search", "토지이음")</f>
        <v/>
      </c>
      <c r="O520" s="3" t="inlineStr">
        <is>
          <t>창고의여왕</t>
        </is>
      </c>
      <c r="P520" s="3" t="n">
        <v>1</v>
      </c>
      <c r="Q520" s="3" t="n">
        <v>2115</v>
      </c>
      <c r="R520" s="3" t="inlineStr">
        <is>
          <t>지정되지않음</t>
        </is>
      </c>
      <c r="S520" s="3" t="inlineStr">
        <is>
          <t>답</t>
        </is>
      </c>
      <c r="T520" s="3" t="inlineStr">
        <is>
          <t>평지</t>
        </is>
      </c>
      <c r="U520" s="3" t="inlineStr">
        <is>
          <t>세로장방</t>
        </is>
      </c>
      <c r="V520" s="3" t="inlineStr">
        <is>
          <t>세로한면(가)</t>
        </is>
      </c>
    </row>
    <row r="521">
      <c r="A521" s="3" t="inlineStr">
        <is>
          <t>세종특별자치시 금남면 용포리 310-3</t>
        </is>
      </c>
      <c r="B521" s="3" t="inlineStr">
        <is>
          <t>제2종일반주거지역</t>
        </is>
      </c>
      <c r="C521" s="3" t="inlineStr">
        <is>
          <t>답</t>
        </is>
      </c>
      <c r="D521" s="3" t="inlineStr">
        <is>
          <t>답</t>
        </is>
      </c>
      <c r="E521" s="3" t="inlineStr">
        <is>
          <t>매매</t>
        </is>
      </c>
      <c r="F521" s="4" t="n">
        <v>99000</v>
      </c>
      <c r="G521" s="4" t="n">
        <v>660</v>
      </c>
      <c r="H521" s="4" t="n">
        <v>200</v>
      </c>
      <c r="I521" s="5" t="n">
        <v>495</v>
      </c>
      <c r="J521" s="4" t="n">
        <v>280.6</v>
      </c>
      <c r="K521" s="3" t="inlineStr">
        <is>
          <t>세종특별자치시 금남면 용포리 가동길 제2종일반주거 660㎡급매</t>
        </is>
      </c>
      <c r="L521" s="6">
        <f>HYPERLINK("https://fin.land.naver.com/articles/2649342986", "매물Link")</f>
        <v/>
      </c>
      <c r="M521" s="6">
        <f>HYPERLINK("https://map.naver.com/p/search/세종특별자치시 금남면 용포리 310-3", "지도Link")</f>
        <v/>
      </c>
      <c r="N521" s="6">
        <f>HYPERLINK("http://www.eum.go.kr/web/ar/lu/luLandDet.jsp?pnu=3611034021103100003&amp;isNoScr=script&amp;mode=search", "토지이음")</f>
        <v/>
      </c>
      <c r="O521" s="3" t="inlineStr">
        <is>
          <t>세종</t>
        </is>
      </c>
      <c r="P521" s="3" t="n">
        <v>1</v>
      </c>
      <c r="Q521" s="3" t="n">
        <v>660</v>
      </c>
      <c r="R521" s="3" t="inlineStr">
        <is>
          <t>지정되지않음</t>
        </is>
      </c>
      <c r="S521" s="3" t="inlineStr">
        <is>
          <t>단독</t>
        </is>
      </c>
      <c r="T521" s="3" t="inlineStr">
        <is>
          <t>평지</t>
        </is>
      </c>
      <c r="U521" s="3" t="inlineStr">
        <is>
          <t>부정형</t>
        </is>
      </c>
      <c r="V521" s="3" t="inlineStr">
        <is>
          <t>세로한면(가)</t>
        </is>
      </c>
    </row>
    <row r="522">
      <c r="A522" s="3" t="inlineStr">
        <is>
          <t>세종특별자치시 금남면 용포리 72</t>
        </is>
      </c>
      <c r="B522" s="3" t="inlineStr">
        <is>
          <t>제2종일반주거지역</t>
        </is>
      </c>
      <c r="C522" s="3" t="inlineStr">
        <is>
          <t>대</t>
        </is>
      </c>
      <c r="D522" s="3" t="inlineStr">
        <is>
          <t>대</t>
        </is>
      </c>
      <c r="E522" s="3" t="inlineStr">
        <is>
          <t>매매</t>
        </is>
      </c>
      <c r="F522" s="4" t="n">
        <v>453000</v>
      </c>
      <c r="G522" s="4" t="n">
        <v>2497</v>
      </c>
      <c r="H522" s="4" t="n">
        <v>755</v>
      </c>
      <c r="I522" s="5" t="n">
        <v>600</v>
      </c>
      <c r="J522" s="4" t="n">
        <v>401.7</v>
      </c>
      <c r="K522" s="3" t="inlineStr">
        <is>
          <t>나대지 투자 다가구주택용지</t>
        </is>
      </c>
      <c r="L522" s="6">
        <f>HYPERLINK("https://fin.land.naver.com/articles/2644879858", "매물Link")</f>
        <v/>
      </c>
      <c r="M522" s="6">
        <f>HYPERLINK("https://map.naver.com/p/search/세종특별자치시 금남면 용포리 72", "지도Link")</f>
        <v/>
      </c>
      <c r="N522" s="6">
        <f>HYPERLINK("http://www.eum.go.kr/web/ar/lu/luLandDet.jsp?pnu=3611034021100720000&amp;isNoScr=script&amp;mode=search", "토지이음")</f>
        <v/>
      </c>
      <c r="O522" s="3" t="inlineStr">
        <is>
          <t>세계로</t>
        </is>
      </c>
      <c r="P522" s="3" t="n">
        <v>1</v>
      </c>
      <c r="Q522" s="3" t="n">
        <v>2497</v>
      </c>
      <c r="R522" s="3" t="inlineStr">
        <is>
          <t>자연녹지지역</t>
        </is>
      </c>
      <c r="S522" s="3" t="inlineStr">
        <is>
          <t>주거나지</t>
        </is>
      </c>
      <c r="T522" s="3" t="inlineStr">
        <is>
          <t>평지</t>
        </is>
      </c>
      <c r="U522" s="3" t="inlineStr">
        <is>
          <t>부정형</t>
        </is>
      </c>
      <c r="V522" s="3" t="inlineStr">
        <is>
          <t>세로한면(가)</t>
        </is>
      </c>
    </row>
    <row r="523">
      <c r="A523" s="3" t="inlineStr">
        <is>
          <t>세종특별자치시 금남면 용포리 75-1</t>
        </is>
      </c>
      <c r="B523" s="3" t="inlineStr">
        <is>
          <t>개발제한구역</t>
        </is>
      </c>
      <c r="C523" s="3" t="inlineStr">
        <is>
          <t>전</t>
        </is>
      </c>
      <c r="D523" s="3" t="inlineStr">
        <is>
          <t>전</t>
        </is>
      </c>
      <c r="E523" s="3" t="inlineStr">
        <is>
          <t>매매</t>
        </is>
      </c>
      <c r="F523" s="4" t="n">
        <v>150000</v>
      </c>
      <c r="G523" s="4" t="n">
        <v>1193</v>
      </c>
      <c r="H523" s="4" t="n">
        <v>361</v>
      </c>
      <c r="I523" s="5" t="n">
        <v>415.5</v>
      </c>
      <c r="J523" s="4" t="n">
        <v>70.40000000000001</v>
      </c>
      <c r="K523" s="3" t="inlineStr">
        <is>
          <t>급매. 세종시 ktx역 인근 투자용</t>
        </is>
      </c>
      <c r="L523" s="6">
        <f>HYPERLINK("https://fin.land.naver.com/articles/2645464954", "매물Link")</f>
        <v/>
      </c>
      <c r="M523" s="6">
        <f>HYPERLINK("https://map.naver.com/p/search/세종특별자치시 금남면 용포리 75-1", "지도Link")</f>
        <v/>
      </c>
      <c r="N523" s="6">
        <f>HYPERLINK("http://www.eum.go.kr/web/ar/lu/luLandDet.jsp?pnu=3611034021100750001&amp;isNoScr=script&amp;mode=search", "토지이음")</f>
        <v/>
      </c>
      <c r="O523" s="3" t="inlineStr">
        <is>
          <t>강아지풀</t>
        </is>
      </c>
      <c r="P523" s="3" t="n">
        <v>1</v>
      </c>
      <c r="Q523" s="3" t="n">
        <v>295</v>
      </c>
      <c r="R523" s="3" t="inlineStr">
        <is>
          <t>지정되지않음</t>
        </is>
      </c>
      <c r="S523" s="3" t="inlineStr">
        <is>
          <t>전</t>
        </is>
      </c>
      <c r="T523" s="3" t="inlineStr">
        <is>
          <t>완경사</t>
        </is>
      </c>
      <c r="U523" s="3" t="inlineStr">
        <is>
          <t>정방형</t>
        </is>
      </c>
      <c r="V523" s="3" t="inlineStr">
        <is>
          <t>중로한면</t>
        </is>
      </c>
    </row>
    <row r="524">
      <c r="A524" s="3" t="inlineStr">
        <is>
          <t>세종특별자치시 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 접한 현황 토지(농지) 그린벨트지역 보기 좋은 토지</t>
        </is>
      </c>
      <c r="L524" s="6">
        <f>HYPERLINK("https://fin.land.naver.com/articles/2644414498", "매물Link")</f>
        <v/>
      </c>
      <c r="M524" s="6">
        <f>HYPERLINK("https://map.naver.com/p/search/세종특별자치시 금남면 용포리 8-2", "지도Link")</f>
        <v/>
      </c>
      <c r="N524" s="6">
        <f>HYPERLINK("http://www.eum.go.kr/web/ar/lu/luLandDet.jsp?pnu=3611034021100080002&amp;isNoScr=script&amp;mode=search", "토지이음")</f>
        <v/>
      </c>
      <c r="O524" s="3" t="inlineStr">
        <is>
          <t>로데오상가</t>
        </is>
      </c>
      <c r="P524" s="3" t="n">
        <v>1</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세종특별자치시 금남면 용포리 8-2</t>
        </is>
      </c>
      <c r="B525" s="3" t="inlineStr">
        <is>
          <t>개발제한구역</t>
        </is>
      </c>
      <c r="C525" s="3" t="inlineStr">
        <is>
          <t>답</t>
        </is>
      </c>
      <c r="D525" s="3" t="inlineStr">
        <is>
          <t>답</t>
        </is>
      </c>
      <c r="E525" s="3" t="inlineStr">
        <is>
          <t>매매</t>
        </is>
      </c>
      <c r="F525" s="4" t="n">
        <v>72400</v>
      </c>
      <c r="G525" s="4" t="n">
        <v>1040</v>
      </c>
      <c r="H525" s="4" t="n">
        <v>315</v>
      </c>
      <c r="I525" s="5" t="n">
        <v>229.8</v>
      </c>
      <c r="J525" s="4" t="n">
        <v>63.8</v>
      </c>
      <c r="K525" s="3" t="inlineStr">
        <is>
          <t>2차선 도로접한 완만한 경사지의 물건</t>
        </is>
      </c>
      <c r="L525" s="6">
        <f>HYPERLINK("https://fin.land.naver.com/articles/2649292640", "매물Link")</f>
        <v/>
      </c>
      <c r="M525" s="6">
        <f>HYPERLINK("https://map.naver.com/p/search/세종특별자치시 금남면 용포리 8-2", "지도Link")</f>
        <v/>
      </c>
      <c r="N525" s="6">
        <f>HYPERLINK("http://www.eum.go.kr/web/ar/lu/luLandDet.jsp?pnu=3611034021100080002&amp;isNoScr=script&amp;mode=search", "토지이음")</f>
        <v/>
      </c>
      <c r="O525" s="3" t="inlineStr">
        <is>
          <t>세종나라</t>
        </is>
      </c>
      <c r="P525" s="3" t="n">
        <v>4</v>
      </c>
      <c r="Q525" s="3" t="n">
        <v>1040</v>
      </c>
      <c r="R525" s="3" t="inlineStr">
        <is>
          <t>지정되지않음</t>
        </is>
      </c>
      <c r="S525" s="3" t="inlineStr">
        <is>
          <t>전</t>
        </is>
      </c>
      <c r="T525" s="3" t="inlineStr">
        <is>
          <t>완경사</t>
        </is>
      </c>
      <c r="U525" s="3" t="inlineStr">
        <is>
          <t>부정형</t>
        </is>
      </c>
      <c r="V525" s="3" t="inlineStr">
        <is>
          <t>소로한면</t>
        </is>
      </c>
    </row>
    <row r="526">
      <c r="A526" s="3" t="inlineStr">
        <is>
          <t>세종특별자치시 금남면 용포리 86-1</t>
        </is>
      </c>
      <c r="B526" s="3" t="inlineStr">
        <is>
          <t>제2종일반주거지역</t>
        </is>
      </c>
      <c r="C526" s="3" t="inlineStr">
        <is>
          <t>대</t>
        </is>
      </c>
      <c r="D526" s="3" t="inlineStr">
        <is>
          <t>대</t>
        </is>
      </c>
      <c r="E526" s="3" t="inlineStr">
        <is>
          <t>매매</t>
        </is>
      </c>
      <c r="F526" s="4" t="n">
        <v>1336000</v>
      </c>
      <c r="G526" s="4" t="n">
        <v>4417</v>
      </c>
      <c r="H526" s="4" t="n">
        <v>1336</v>
      </c>
      <c r="I526" s="5" t="n">
        <v>1000</v>
      </c>
      <c r="J526" s="4" t="n">
        <v>635.7</v>
      </c>
      <c r="K526" s="3" t="inlineStr">
        <is>
          <t>용포리 건축가능 최고의 위치 나대지</t>
        </is>
      </c>
      <c r="L526" s="6">
        <f>HYPERLINK("https://fin.land.naver.com/articles/2648791483", "매물Link")</f>
        <v/>
      </c>
      <c r="M526" s="6">
        <f>HYPERLINK("https://map.naver.com/p/search/세종특별자치시 금남면 용포리 86-1", "지도Link")</f>
        <v/>
      </c>
      <c r="N526" s="6">
        <f>HYPERLINK("http://www.eum.go.kr/web/ar/lu/luLandDet.jsp?pnu=3611034021100860001&amp;isNoScr=script&amp;mode=search", "토지이음")</f>
        <v/>
      </c>
      <c r="O526" s="3" t="inlineStr">
        <is>
          <t>세계로</t>
        </is>
      </c>
      <c r="P526" s="3" t="n">
        <v>1</v>
      </c>
      <c r="Q526" s="3" t="n">
        <v>862</v>
      </c>
      <c r="R526" s="3" t="inlineStr">
        <is>
          <t>지정되지않음</t>
        </is>
      </c>
      <c r="S526" s="3" t="inlineStr">
        <is>
          <t>상업용</t>
        </is>
      </c>
      <c r="T526" s="3" t="inlineStr">
        <is>
          <t>평지</t>
        </is>
      </c>
      <c r="U526" s="3" t="inlineStr">
        <is>
          <t>부정형</t>
        </is>
      </c>
      <c r="V526" s="3" t="inlineStr">
        <is>
          <t>중로한면</t>
        </is>
      </c>
    </row>
    <row r="527">
      <c r="A527" s="3" t="inlineStr">
        <is>
          <t>세종특별자치시 금남면 용포리 90-16</t>
        </is>
      </c>
      <c r="B527" s="3" t="inlineStr">
        <is>
          <t>제2종일반주거지역</t>
        </is>
      </c>
      <c r="C527" s="3" t="inlineStr">
        <is>
          <t>대</t>
        </is>
      </c>
      <c r="D527" s="3" t="inlineStr">
        <is>
          <t>대</t>
        </is>
      </c>
      <c r="E527" s="3" t="inlineStr">
        <is>
          <t>매매</t>
        </is>
      </c>
      <c r="F527" s="4" t="n">
        <v>76000</v>
      </c>
      <c r="G527" s="4" t="n">
        <v>277</v>
      </c>
      <c r="H527" s="4" t="n">
        <v>84</v>
      </c>
      <c r="I527" s="5" t="n">
        <v>904.8</v>
      </c>
      <c r="J527" s="4" t="n">
        <v>436.7</v>
      </c>
      <c r="K527" s="3" t="inlineStr">
        <is>
          <t>현재컨테이너 근생용으로 허가사용하고있음,근생용지,다가구용지로 추천</t>
        </is>
      </c>
      <c r="L527" s="6">
        <f>HYPERLINK("https://fin.land.naver.com/articles/2645497565", "매물Link")</f>
        <v/>
      </c>
      <c r="M527" s="6">
        <f>HYPERLINK("https://map.naver.com/p/search/세종특별자치시 금남면 용포리 90-16", "지도Link")</f>
        <v/>
      </c>
      <c r="N527" s="6">
        <f>HYPERLINK("http://www.eum.go.kr/web/ar/lu/luLandDet.jsp?pnu=3611034021100900016&amp;isNoScr=script&amp;mode=search", "토지이음")</f>
        <v/>
      </c>
      <c r="O527" s="3" t="inlineStr">
        <is>
          <t>담뜰</t>
        </is>
      </c>
      <c r="P527" s="3" t="n">
        <v>1</v>
      </c>
      <c r="Q527" s="3" t="n">
        <v>115</v>
      </c>
      <c r="R527" s="3" t="inlineStr">
        <is>
          <t>지정되지않음</t>
        </is>
      </c>
      <c r="S527" s="3" t="inlineStr">
        <is>
          <t>주거나지</t>
        </is>
      </c>
      <c r="T527" s="3" t="inlineStr">
        <is>
          <t>평지</t>
        </is>
      </c>
      <c r="U527" s="3" t="inlineStr">
        <is>
          <t>가로장방</t>
        </is>
      </c>
      <c r="V527" s="3" t="inlineStr">
        <is>
          <t>세로한면(가)</t>
        </is>
      </c>
    </row>
    <row r="528">
      <c r="A528" s="3" t="inlineStr">
        <is>
          <t>세종특별자치시 금남면 용포리 90-17</t>
        </is>
      </c>
      <c r="B528" s="3" t="inlineStr">
        <is>
          <t>제2종일반주거지역</t>
        </is>
      </c>
      <c r="C528" s="3" t="inlineStr">
        <is>
          <t>대</t>
        </is>
      </c>
      <c r="D528" s="3" t="inlineStr">
        <is>
          <t>대</t>
        </is>
      </c>
      <c r="E528" s="3" t="inlineStr">
        <is>
          <t>매매</t>
        </is>
      </c>
      <c r="F528" s="4" t="n">
        <v>65000</v>
      </c>
      <c r="G528" s="4" t="n">
        <v>277</v>
      </c>
      <c r="H528" s="4" t="n">
        <v>84</v>
      </c>
      <c r="I528" s="5" t="n">
        <v>773.8</v>
      </c>
      <c r="J528" s="4" t="n">
        <v>436.7</v>
      </c>
      <c r="K528" s="3" t="inlineStr">
        <is>
          <t>용포리 저렴한 2종근생</t>
        </is>
      </c>
      <c r="L528" s="6">
        <f>HYPERLINK("https://fin.land.naver.com/articles/2644901528", "매물Link")</f>
        <v/>
      </c>
      <c r="M528" s="6">
        <f>HYPERLINK("https://map.naver.com/p/search/세종특별자치시 금남면 용포리 90-17", "지도Link")</f>
        <v/>
      </c>
      <c r="N528" s="6">
        <f>HYPERLINK("http://www.eum.go.kr/web/ar/lu/luLandDet.jsp?pnu=3611034021100900017&amp;isNoScr=script&amp;mode=search", "토지이음")</f>
        <v/>
      </c>
      <c r="O528" s="3" t="inlineStr">
        <is>
          <t>THE행복</t>
        </is>
      </c>
      <c r="P528" s="3" t="n">
        <v>1</v>
      </c>
      <c r="Q528" s="3" t="n">
        <v>86</v>
      </c>
      <c r="R528" s="3" t="inlineStr">
        <is>
          <t>지정되지않음</t>
        </is>
      </c>
      <c r="S528" s="3" t="inlineStr">
        <is>
          <t>주거나지</t>
        </is>
      </c>
      <c r="T528" s="3" t="inlineStr">
        <is>
          <t>평지</t>
        </is>
      </c>
      <c r="U528" s="3" t="inlineStr">
        <is>
          <t>가로장방</t>
        </is>
      </c>
      <c r="V528" s="3" t="inlineStr">
        <is>
          <t>세로한면(가)</t>
        </is>
      </c>
    </row>
    <row r="529">
      <c r="A529" s="3" t="inlineStr">
        <is>
          <t>세종특별자치시 금남면 용포리 산12</t>
        </is>
      </c>
      <c r="B529" s="3" t="inlineStr">
        <is>
          <t>개발제한구역</t>
        </is>
      </c>
      <c r="C529" s="3" t="inlineStr">
        <is>
          <t>임야</t>
        </is>
      </c>
      <c r="D529" s="3" t="inlineStr">
        <is>
          <t>임야</t>
        </is>
      </c>
      <c r="E529" s="3" t="inlineStr">
        <is>
          <t>매매</t>
        </is>
      </c>
      <c r="F529" s="4" t="n">
        <v>20000</v>
      </c>
      <c r="G529" s="4" t="n">
        <v>9788</v>
      </c>
      <c r="H529" s="4" t="n">
        <v>2961</v>
      </c>
      <c r="I529" s="5" t="n">
        <v>6.8</v>
      </c>
      <c r="J529" s="4" t="n">
        <v>4.6</v>
      </c>
      <c r="K529" s="3" t="inlineStr">
        <is>
          <t>nan</t>
        </is>
      </c>
      <c r="L529" s="6">
        <f>HYPERLINK("https://fin.land.naver.com/articles/2644418128", "매물Link")</f>
        <v/>
      </c>
      <c r="M529" s="6">
        <f>HYPERLINK("https://map.naver.com/p/search/세종특별자치시 금남면 용포리 산12", "지도Link")</f>
        <v/>
      </c>
      <c r="N529" s="6">
        <f>HYPERLINK("http://www.eum.go.kr/web/ar/lu/luLandDet.jsp?pnu=3611034021200120000&amp;isNoScr=script&amp;mode=search", "토지이음")</f>
        <v/>
      </c>
      <c r="O529" s="3" t="inlineStr">
        <is>
          <t>바른</t>
        </is>
      </c>
      <c r="P529" s="3" t="n">
        <v>1</v>
      </c>
      <c r="Q529" s="3" t="n">
        <v>9788</v>
      </c>
      <c r="R529" s="3" t="inlineStr">
        <is>
          <t>지정되지않음</t>
        </is>
      </c>
      <c r="S529" s="3" t="inlineStr">
        <is>
          <t>자연림</t>
        </is>
      </c>
      <c r="T529" s="3" t="inlineStr">
        <is>
          <t>급경사</t>
        </is>
      </c>
      <c r="U529" s="3" t="inlineStr">
        <is>
          <t>부정형</t>
        </is>
      </c>
      <c r="V529" s="3" t="inlineStr">
        <is>
          <t>맹지</t>
        </is>
      </c>
    </row>
    <row r="530">
      <c r="A530" s="3" t="inlineStr">
        <is>
          <t>세종특별자치시 금남면 원봉리 109-3</t>
        </is>
      </c>
      <c r="B530" s="3" t="inlineStr">
        <is>
          <t>계획관리지역</t>
        </is>
      </c>
      <c r="C530" s="3" t="inlineStr">
        <is>
          <t>답</t>
        </is>
      </c>
      <c r="D530" s="3" t="inlineStr">
        <is>
          <t>답</t>
        </is>
      </c>
      <c r="E530" s="3" t="inlineStr">
        <is>
          <t>매매</t>
        </is>
      </c>
      <c r="F530" s="4" t="n">
        <v>31500</v>
      </c>
      <c r="G530" s="4" t="n">
        <v>1140</v>
      </c>
      <c r="H530" s="4" t="n">
        <v>345</v>
      </c>
      <c r="I530" s="5" t="n">
        <v>91.3</v>
      </c>
      <c r="J530" s="4" t="n">
        <v>80.90000000000001</v>
      </c>
      <c r="K530" s="3" t="inlineStr">
        <is>
          <t>급매물 저렴한 계획관리 2차선 창고부지 매매</t>
        </is>
      </c>
      <c r="L530" s="6">
        <f>HYPERLINK("https://fin.land.naver.com/articles/2649042079", "매물Link")</f>
        <v/>
      </c>
      <c r="M530" s="6">
        <f>HYPERLINK("https://map.naver.com/p/search/세종특별자치시 금남면 원봉리 109-3", "지도Link")</f>
        <v/>
      </c>
      <c r="N530" s="6">
        <f>HYPERLINK("http://www.eum.go.kr/web/ar/lu/luLandDet.jsp?pnu=3611034045101090003&amp;isNoScr=script&amp;mode=search", "토지이음")</f>
        <v/>
      </c>
      <c r="O530" s="3" t="inlineStr">
        <is>
          <t>THE행복</t>
        </is>
      </c>
      <c r="P530" s="3" t="n">
        <v>1</v>
      </c>
      <c r="Q530" s="3" t="n">
        <v>1140</v>
      </c>
      <c r="R530" s="3" t="inlineStr">
        <is>
          <t>지정되지않음</t>
        </is>
      </c>
      <c r="S530" s="3" t="inlineStr">
        <is>
          <t>답</t>
        </is>
      </c>
      <c r="T530" s="3" t="inlineStr">
        <is>
          <t>완경사</t>
        </is>
      </c>
      <c r="U530" s="3" t="inlineStr">
        <is>
          <t>부정형</t>
        </is>
      </c>
      <c r="V530" s="3" t="inlineStr">
        <is>
          <t>소로한면</t>
        </is>
      </c>
    </row>
    <row r="531">
      <c r="A531" s="3" t="inlineStr">
        <is>
          <t>세종특별자치시 금남면 원봉리 111</t>
        </is>
      </c>
      <c r="B531" s="3" t="inlineStr">
        <is>
          <t>계획관리지역</t>
        </is>
      </c>
      <c r="C531" s="3" t="inlineStr">
        <is>
          <t>답</t>
        </is>
      </c>
      <c r="D531" s="3" t="inlineStr">
        <is>
          <t>답</t>
        </is>
      </c>
      <c r="E531" s="3" t="inlineStr">
        <is>
          <t>매매</t>
        </is>
      </c>
      <c r="F531" s="4" t="n">
        <v>20000</v>
      </c>
      <c r="G531" s="4" t="n">
        <v>1090</v>
      </c>
      <c r="H531" s="4" t="n">
        <v>330</v>
      </c>
      <c r="I531" s="5" t="n">
        <v>60.6</v>
      </c>
      <c r="J531" s="4" t="n">
        <v>68.8</v>
      </c>
      <c r="K531" s="3" t="inlineStr">
        <is>
          <t>계획관리 성장관리구역</t>
        </is>
      </c>
      <c r="L531" s="6">
        <f>HYPERLINK("https://fin.land.naver.com/articles/2648121560", "매물Link")</f>
        <v/>
      </c>
      <c r="M531" s="6">
        <f>HYPERLINK("https://map.naver.com/p/search/세종특별자치시 금남면 원봉리 111", "지도Link")</f>
        <v/>
      </c>
      <c r="N531" s="6">
        <f>HYPERLINK("http://www.eum.go.kr/web/ar/lu/luLandDet.jsp?pnu=3611034045101110000&amp;isNoScr=script&amp;mode=search", "토지이음")</f>
        <v/>
      </c>
      <c r="O531" s="3" t="inlineStr">
        <is>
          <t>중촌역푸르지오</t>
        </is>
      </c>
      <c r="P531" s="3" t="n">
        <v>2</v>
      </c>
      <c r="Q531" s="3" t="n">
        <v>1091</v>
      </c>
      <c r="R531" s="3" t="inlineStr">
        <is>
          <t>지정되지않음</t>
        </is>
      </c>
      <c r="S531" s="3" t="inlineStr">
        <is>
          <t>답</t>
        </is>
      </c>
      <c r="T531" s="3" t="inlineStr">
        <is>
          <t>완경사</t>
        </is>
      </c>
      <c r="U531" s="3" t="inlineStr">
        <is>
          <t>부정형</t>
        </is>
      </c>
      <c r="V531" s="3" t="inlineStr">
        <is>
          <t>맹지</t>
        </is>
      </c>
    </row>
    <row r="532">
      <c r="A532" s="3" t="inlineStr">
        <is>
          <t>세종특별자치시 금남면 원봉리 145</t>
        </is>
      </c>
      <c r="B532" s="3" t="inlineStr">
        <is>
          <t>생산관리지역</t>
        </is>
      </c>
      <c r="C532" s="3" t="inlineStr">
        <is>
          <t>답</t>
        </is>
      </c>
      <c r="D532" s="3" t="inlineStr">
        <is>
          <t>답</t>
        </is>
      </c>
      <c r="E532" s="3" t="inlineStr">
        <is>
          <t>매매</t>
        </is>
      </c>
      <c r="F532" s="4" t="n">
        <v>75000</v>
      </c>
      <c r="G532" s="4" t="n">
        <v>3567</v>
      </c>
      <c r="H532" s="4" t="n">
        <v>1079</v>
      </c>
      <c r="I532" s="5" t="n">
        <v>69.5</v>
      </c>
      <c r="J532" s="4" t="n">
        <v>51.4</v>
      </c>
      <c r="K532" s="3" t="inlineStr">
        <is>
          <t>Point 구거 접하고 있고 생산관리지역으로 투자 및 활용도 높음</t>
        </is>
      </c>
      <c r="L532" s="6">
        <f>HYPERLINK("https://fin.land.naver.com/articles/2646677082", "매물Link")</f>
        <v/>
      </c>
      <c r="M532" s="6">
        <f>HYPERLINK("https://map.naver.com/p/search/세종특별자치시 금남면 원봉리 145", "지도Link")</f>
        <v/>
      </c>
      <c r="N532" s="6">
        <f>HYPERLINK("http://www.eum.go.kr/web/ar/lu/luLandDet.jsp?pnu=3611034045101450000&amp;isNoScr=script&amp;mode=search", "토지이음")</f>
        <v/>
      </c>
      <c r="O532" s="3" t="inlineStr">
        <is>
          <t>도마호반</t>
        </is>
      </c>
      <c r="P532" s="3" t="n">
        <v>1</v>
      </c>
      <c r="Q532" s="3" t="n">
        <v>3567</v>
      </c>
      <c r="R532" s="3" t="inlineStr">
        <is>
          <t>지정되지않음</t>
        </is>
      </c>
      <c r="S532" s="3" t="inlineStr">
        <is>
          <t>답</t>
        </is>
      </c>
      <c r="T532" s="3" t="inlineStr">
        <is>
          <t>완경사</t>
        </is>
      </c>
      <c r="U532" s="3" t="inlineStr">
        <is>
          <t>부정형</t>
        </is>
      </c>
      <c r="V532" s="3" t="inlineStr">
        <is>
          <t>맹지</t>
        </is>
      </c>
    </row>
    <row r="533">
      <c r="A533" s="3" t="inlineStr">
        <is>
          <t>세종특별자치시 금남면 원봉리 23</t>
        </is>
      </c>
      <c r="B533" s="3" t="inlineStr">
        <is>
          <t>생산관리지역</t>
        </is>
      </c>
      <c r="C533" s="3" t="inlineStr">
        <is>
          <t>전</t>
        </is>
      </c>
      <c r="D533" s="3" t="inlineStr">
        <is>
          <t>전</t>
        </is>
      </c>
      <c r="E533" s="3" t="inlineStr">
        <is>
          <t>매매</t>
        </is>
      </c>
      <c r="F533" s="4" t="n">
        <v>60500</v>
      </c>
      <c r="G533" s="4" t="n">
        <v>1540</v>
      </c>
      <c r="H533" s="4" t="n">
        <v>466</v>
      </c>
      <c r="I533" s="5" t="n">
        <v>129.8</v>
      </c>
      <c r="J533" s="4" t="n">
        <v>59.1</v>
      </c>
      <c r="K533" s="3" t="inlineStr">
        <is>
          <t>금남면 원봉리 전 1,540㎡ 생산관리지역, 성장관리계획구역</t>
        </is>
      </c>
      <c r="L533" s="6">
        <f>HYPERLINK("https://fin.land.naver.com/articles/2650000309", "매물Link")</f>
        <v/>
      </c>
      <c r="M533" s="6">
        <f>HYPERLINK("https://map.naver.com/p/search/세종특별자치시 금남면 원봉리 23", "지도Link")</f>
        <v/>
      </c>
      <c r="N533" s="6">
        <f>HYPERLINK("http://www.eum.go.kr/web/ar/lu/luLandDet.jsp?pnu=3611034045100230000&amp;isNoScr=script&amp;mode=search", "토지이음")</f>
        <v/>
      </c>
      <c r="O533" s="3" t="inlineStr">
        <is>
          <t>리베라아이누리</t>
        </is>
      </c>
      <c r="P533" s="3" t="n">
        <v>1</v>
      </c>
      <c r="Q533" s="3" t="n">
        <v>1540</v>
      </c>
      <c r="R533" s="3" t="inlineStr">
        <is>
          <t>지정되지않음</t>
        </is>
      </c>
      <c r="S533" s="3" t="inlineStr">
        <is>
          <t>전</t>
        </is>
      </c>
      <c r="T533" s="3" t="inlineStr">
        <is>
          <t>완경사</t>
        </is>
      </c>
      <c r="U533" s="3" t="inlineStr">
        <is>
          <t>부정형</t>
        </is>
      </c>
      <c r="V533" s="3" t="inlineStr">
        <is>
          <t>맹지</t>
        </is>
      </c>
    </row>
    <row r="534">
      <c r="A534" s="3" t="inlineStr">
        <is>
          <t>세종특별자치시 금남면 원봉리 284-1</t>
        </is>
      </c>
      <c r="B534" s="3" t="inlineStr">
        <is>
          <t>농림지역</t>
        </is>
      </c>
      <c r="C534" s="3" t="inlineStr">
        <is>
          <t>답</t>
        </is>
      </c>
      <c r="D534" s="3" t="inlineStr">
        <is>
          <t>답</t>
        </is>
      </c>
      <c r="E534" s="3" t="inlineStr">
        <is>
          <t>매매</t>
        </is>
      </c>
      <c r="F534" s="4" t="n">
        <v>33000</v>
      </c>
      <c r="G534" s="4" t="n">
        <v>2664</v>
      </c>
      <c r="H534" s="4" t="n">
        <v>806</v>
      </c>
      <c r="I534" s="5" t="n">
        <v>40.9</v>
      </c>
      <c r="J534" s="4" t="n">
        <v>39.8</v>
      </c>
      <c r="K534" s="3" t="inlineStr">
        <is>
          <t>공시지가수준으로 매매합니다</t>
        </is>
      </c>
      <c r="L534" s="6">
        <f>HYPERLINK("https://fin.land.naver.com/articles/2648550275", "매물Link")</f>
        <v/>
      </c>
      <c r="M534" s="6">
        <f>HYPERLINK("https://map.naver.com/p/search/세종특별자치시 금남면 원봉리 284-1", "지도Link")</f>
        <v/>
      </c>
      <c r="N534" s="6">
        <f>HYPERLINK("http://www.eum.go.kr/web/ar/lu/luLandDet.jsp?pnu=3611034045102840001&amp;isNoScr=script&amp;mode=search", "토지이음")</f>
        <v/>
      </c>
      <c r="O534" s="3" t="inlineStr">
        <is>
          <t>세종리츠</t>
        </is>
      </c>
      <c r="P534" s="3" t="n">
        <v>1</v>
      </c>
      <c r="Q534" s="3" t="n">
        <v>2664</v>
      </c>
      <c r="R534" s="3" t="inlineStr">
        <is>
          <t>지정되지않음</t>
        </is>
      </c>
      <c r="S534" s="3" t="inlineStr">
        <is>
          <t>답</t>
        </is>
      </c>
      <c r="T534" s="3" t="inlineStr">
        <is>
          <t>평지</t>
        </is>
      </c>
      <c r="U534" s="3" t="inlineStr">
        <is>
          <t>부정형</t>
        </is>
      </c>
      <c r="V534" s="3" t="inlineStr">
        <is>
          <t>맹지</t>
        </is>
      </c>
    </row>
    <row r="535">
      <c r="A535" s="3" t="inlineStr">
        <is>
          <t>세종특별자치시 금남면 원봉리 297-3</t>
        </is>
      </c>
      <c r="B535" s="3" t="inlineStr">
        <is>
          <t>계획관리지역</t>
        </is>
      </c>
      <c r="C535" s="3" t="inlineStr">
        <is>
          <t>임야</t>
        </is>
      </c>
      <c r="D535" s="3" t="inlineStr">
        <is>
          <t>임야</t>
        </is>
      </c>
      <c r="E535" s="3" t="inlineStr">
        <is>
          <t>매매</t>
        </is>
      </c>
      <c r="F535" s="4" t="n">
        <v>118000</v>
      </c>
      <c r="G535" s="4" t="n">
        <v>2058</v>
      </c>
      <c r="H535" s="4" t="n">
        <v>623</v>
      </c>
      <c r="I535" s="5" t="n">
        <v>189.4</v>
      </c>
      <c r="J535" s="4" t="n">
        <v>114.9</v>
      </c>
      <c r="K535" s="3" t="inlineStr">
        <is>
          <t>금남면 원봉리 계획관리지역 전원주택지</t>
        </is>
      </c>
      <c r="L535" s="6">
        <f>HYPERLINK("https://fin.land.naver.com/articles/2648639349", "매물Link")</f>
        <v/>
      </c>
      <c r="M535" s="6">
        <f>HYPERLINK("https://map.naver.com/p/search/세종특별자치시 금남면 원봉리 297-3", "지도Link")</f>
        <v/>
      </c>
      <c r="N535" s="6">
        <f>HYPERLINK("http://www.eum.go.kr/web/ar/lu/luLandDet.jsp?pnu=3611034045102970003&amp;isNoScr=script&amp;mode=search", "토지이음")</f>
        <v/>
      </c>
      <c r="O535" s="3" t="inlineStr">
        <is>
          <t>세종천지</t>
        </is>
      </c>
      <c r="P535" s="3" t="n">
        <v>1</v>
      </c>
      <c r="Q535" s="3" t="n">
        <v>1034</v>
      </c>
      <c r="R535" s="3" t="inlineStr">
        <is>
          <t>지정되지않음</t>
        </is>
      </c>
      <c r="S535" s="3" t="inlineStr">
        <is>
          <t>단독</t>
        </is>
      </c>
      <c r="T535" s="3" t="inlineStr">
        <is>
          <t>완경사</t>
        </is>
      </c>
      <c r="U535" s="3" t="inlineStr">
        <is>
          <t>사다리형</t>
        </is>
      </c>
      <c r="V535" s="3" t="inlineStr">
        <is>
          <t>세로한면(가)</t>
        </is>
      </c>
    </row>
    <row r="536">
      <c r="A536" s="3" t="inlineStr">
        <is>
          <t>세종특별자치시 금남면 원봉리 297-5</t>
        </is>
      </c>
      <c r="B536" s="3" t="inlineStr">
        <is>
          <t>계획관리지역</t>
        </is>
      </c>
      <c r="C536" s="3" t="inlineStr">
        <is>
          <t>대</t>
        </is>
      </c>
      <c r="D536" s="3" t="inlineStr">
        <is>
          <t>대</t>
        </is>
      </c>
      <c r="E536" s="3" t="inlineStr">
        <is>
          <t>매매</t>
        </is>
      </c>
      <c r="F536" s="4" t="n">
        <v>52560</v>
      </c>
      <c r="G536" s="4" t="n">
        <v>1022</v>
      </c>
      <c r="H536" s="4" t="n">
        <v>309</v>
      </c>
      <c r="I536" s="5" t="n">
        <v>170.1</v>
      </c>
      <c r="J536" s="4" t="n">
        <v>114.9</v>
      </c>
      <c r="K536" s="3" t="inlineStr">
        <is>
          <t>주택은 고쳐서 다시 지으면 좋음. 행복도시 15분거리</t>
        </is>
      </c>
      <c r="L536" s="6">
        <f>HYPERLINK("https://fin.land.naver.com/articles/2644607038", "매물Link")</f>
        <v/>
      </c>
      <c r="M536" s="6">
        <f>HYPERLINK("https://map.naver.com/p/search/세종특별자치시 금남면 원봉리 297-5", "지도Link")</f>
        <v/>
      </c>
      <c r="N536" s="6">
        <f>HYPERLINK("http://www.eum.go.kr/web/ar/lu/luLandDet.jsp?pnu=3611034045102970005&amp;isNoScr=script&amp;mode=search", "토지이음")</f>
        <v/>
      </c>
      <c r="O536" s="3" t="inlineStr">
        <is>
          <t>미스터홈즈강남지사</t>
        </is>
      </c>
      <c r="P536" s="3" t="n">
        <v>1</v>
      </c>
      <c r="Q536" s="3" t="n">
        <v>1022</v>
      </c>
      <c r="R536" s="3" t="inlineStr">
        <is>
          <t>지정되지않음</t>
        </is>
      </c>
      <c r="S536" s="3" t="inlineStr">
        <is>
          <t>단독</t>
        </is>
      </c>
      <c r="T536" s="3" t="inlineStr">
        <is>
          <t>완경사</t>
        </is>
      </c>
      <c r="U536" s="3" t="inlineStr">
        <is>
          <t>사다리형</t>
        </is>
      </c>
      <c r="V536" s="3" t="inlineStr">
        <is>
          <t>세로한면(가)</t>
        </is>
      </c>
    </row>
    <row r="537">
      <c r="A537" s="3" t="inlineStr">
        <is>
          <t>세종특별자치시 금남면 원봉리 297-6</t>
        </is>
      </c>
      <c r="B537" s="3" t="inlineStr">
        <is>
          <t>계획관리지역</t>
        </is>
      </c>
      <c r="C537" s="3" t="inlineStr">
        <is>
          <t>대</t>
        </is>
      </c>
      <c r="D537" s="3" t="inlineStr">
        <is>
          <t>대</t>
        </is>
      </c>
      <c r="E537" s="3" t="inlineStr">
        <is>
          <t>매매</t>
        </is>
      </c>
      <c r="F537" s="4" t="n">
        <v>57000</v>
      </c>
      <c r="G537" s="4" t="n">
        <v>1047</v>
      </c>
      <c r="H537" s="4" t="n">
        <v>317</v>
      </c>
      <c r="I537" s="5" t="n">
        <v>179.8</v>
      </c>
      <c r="J537" s="4" t="n">
        <v>114.9</v>
      </c>
      <c r="K537" s="3" t="inlineStr">
        <is>
          <t>nan</t>
        </is>
      </c>
      <c r="L537" s="6">
        <f>HYPERLINK("https://fin.land.naver.com/articles/2648850623", "매물Link")</f>
        <v/>
      </c>
      <c r="M537" s="6">
        <f>HYPERLINK("https://map.naver.com/p/search/세종특별자치시 금남면 원봉리 297-6", "지도Link")</f>
        <v/>
      </c>
      <c r="N537" s="6">
        <f>HYPERLINK("http://www.eum.go.kr/web/ar/lu/luLandDet.jsp?pnu=3611034045102970006&amp;isNoScr=script&amp;mode=search", "토지이음")</f>
        <v/>
      </c>
      <c r="O537" s="3" t="inlineStr">
        <is>
          <t>세종소담황금</t>
        </is>
      </c>
      <c r="P537" s="3" t="n">
        <v>1</v>
      </c>
      <c r="Q537" s="3" t="n">
        <v>923</v>
      </c>
      <c r="R537" s="3" t="inlineStr">
        <is>
          <t>지정되지않음</t>
        </is>
      </c>
      <c r="S537" s="3" t="inlineStr">
        <is>
          <t>단독</t>
        </is>
      </c>
      <c r="T537" s="3" t="inlineStr">
        <is>
          <t>완경사</t>
        </is>
      </c>
      <c r="U537" s="3" t="inlineStr">
        <is>
          <t>사다리형</t>
        </is>
      </c>
      <c r="V537" s="3" t="inlineStr">
        <is>
          <t>세로한면(가)</t>
        </is>
      </c>
    </row>
    <row r="538">
      <c r="A538" s="3" t="inlineStr">
        <is>
          <t>세종특별자치시 금남면 원봉리 297-8</t>
        </is>
      </c>
      <c r="B538" s="3" t="inlineStr">
        <is>
          <t>보전관리지역</t>
        </is>
      </c>
      <c r="C538" s="3" t="inlineStr">
        <is>
          <t>전</t>
        </is>
      </c>
      <c r="D538" s="3" t="inlineStr">
        <is>
          <t>전</t>
        </is>
      </c>
      <c r="E538" s="3" t="inlineStr">
        <is>
          <t>매매</t>
        </is>
      </c>
      <c r="F538" s="4" t="n">
        <v>230000</v>
      </c>
      <c r="G538" s="4" t="n">
        <v>7741</v>
      </c>
      <c r="H538" s="4" t="n">
        <v>2342</v>
      </c>
      <c r="I538" s="5" t="n">
        <v>98.2</v>
      </c>
      <c r="J538" s="4" t="n">
        <v>41.1</v>
      </c>
      <c r="K538" s="3" t="inlineStr">
        <is>
          <t>분할매매 가능, 신도시 접근성 탁월, 향후 투자가치 상승, 전, 임야</t>
        </is>
      </c>
      <c r="L538" s="6">
        <f>HYPERLINK("https://fin.land.naver.com/articles/2646075572", "매물Link")</f>
        <v/>
      </c>
      <c r="M538" s="6">
        <f>HYPERLINK("https://map.naver.com/p/search/세종특별자치시 금남면 원봉리 297-8", "지도Link")</f>
        <v/>
      </c>
      <c r="N538" s="6">
        <f>HYPERLINK("http://www.eum.go.kr/web/ar/lu/luLandDet.jsp?pnu=3611034045102970008&amp;isNoScr=script&amp;mode=search", "토지이음")</f>
        <v/>
      </c>
      <c r="O538" s="3" t="inlineStr">
        <is>
          <t>세종</t>
        </is>
      </c>
      <c r="P538" s="3" t="n">
        <v>1</v>
      </c>
      <c r="Q538" s="3" t="n">
        <v>4645</v>
      </c>
      <c r="R538" s="3" t="inlineStr">
        <is>
          <t>지정되지않음</t>
        </is>
      </c>
      <c r="S538" s="3" t="inlineStr">
        <is>
          <t>전</t>
        </is>
      </c>
      <c r="T538" s="3" t="inlineStr">
        <is>
          <t>완경사</t>
        </is>
      </c>
      <c r="U538" s="3" t="inlineStr">
        <is>
          <t>부정형</t>
        </is>
      </c>
      <c r="V538" s="3" t="inlineStr">
        <is>
          <t>맹지</t>
        </is>
      </c>
    </row>
    <row r="539">
      <c r="A539" s="3" t="inlineStr">
        <is>
          <t>세종특별자치시 금남면 원봉리 341-13</t>
        </is>
      </c>
      <c r="B539" s="3" t="inlineStr">
        <is>
          <t>보전관리지역</t>
        </is>
      </c>
      <c r="C539" s="3" t="inlineStr">
        <is>
          <t>임야</t>
        </is>
      </c>
      <c r="D539" s="3" t="inlineStr">
        <is>
          <t>임야</t>
        </is>
      </c>
      <c r="E539" s="3" t="inlineStr">
        <is>
          <t>매매</t>
        </is>
      </c>
      <c r="F539" s="4" t="n">
        <v>33000</v>
      </c>
      <c r="G539" s="4" t="n">
        <v>495</v>
      </c>
      <c r="H539" s="4" t="n">
        <v>150</v>
      </c>
      <c r="I539" s="5" t="n">
        <v>220</v>
      </c>
      <c r="J539" s="4" t="n">
        <v>91.40000000000001</v>
      </c>
      <c r="K539" s="3" t="inlineStr">
        <is>
          <t>전원주택부지 매매</t>
        </is>
      </c>
      <c r="L539" s="6">
        <f>HYPERLINK("https://fin.land.naver.com/articles/2648839794", "매물Link")</f>
        <v/>
      </c>
      <c r="M539" s="6">
        <f>HYPERLINK("https://map.naver.com/p/search/세종특별자치시 금남면 원봉리 341-13", "지도Link")</f>
        <v/>
      </c>
      <c r="N539" s="6">
        <f>HYPERLINK("http://www.eum.go.kr/web/ar/lu/luLandDet.jsp?pnu=3611034045103410013&amp;isNoScr=script&amp;mode=search", "토지이음")</f>
        <v/>
      </c>
      <c r="O539" s="3" t="inlineStr">
        <is>
          <t>마니</t>
        </is>
      </c>
      <c r="P539" s="3" t="n">
        <v>1</v>
      </c>
      <c r="Q539" s="3" t="n">
        <v>495</v>
      </c>
      <c r="R539" s="3" t="inlineStr">
        <is>
          <t>지정되지않음</t>
        </is>
      </c>
      <c r="S539" s="3" t="inlineStr">
        <is>
          <t>주거나지</t>
        </is>
      </c>
      <c r="T539" s="3" t="inlineStr">
        <is>
          <t>완경사</t>
        </is>
      </c>
      <c r="U539" s="3" t="inlineStr">
        <is>
          <t>사다리형</t>
        </is>
      </c>
      <c r="V539" s="3" t="inlineStr">
        <is>
          <t>세로한면(가)</t>
        </is>
      </c>
    </row>
    <row r="540">
      <c r="A540" s="3" t="inlineStr">
        <is>
          <t>세종특별자치시 금남면 원봉리 388-1</t>
        </is>
      </c>
      <c r="B540" s="3" t="inlineStr">
        <is>
          <t>계획관리지역</t>
        </is>
      </c>
      <c r="C540" s="3" t="inlineStr">
        <is>
          <t>답</t>
        </is>
      </c>
      <c r="D540" s="3" t="inlineStr">
        <is>
          <t>답</t>
        </is>
      </c>
      <c r="E540" s="3" t="inlineStr">
        <is>
          <t>매매</t>
        </is>
      </c>
      <c r="F540" s="4" t="n">
        <v>139000</v>
      </c>
      <c r="G540" s="4" t="n">
        <v>2420</v>
      </c>
      <c r="H540" s="4" t="n">
        <v>732</v>
      </c>
      <c r="I540" s="5" t="n">
        <v>189.9</v>
      </c>
      <c r="J540" s="4" t="n">
        <v>62</v>
      </c>
      <c r="K540" s="3" t="inlineStr">
        <is>
          <t>세종 금남면 원봉리 계획관리지역 토지</t>
        </is>
      </c>
      <c r="L540" s="6">
        <f>HYPERLINK("https://fin.land.naver.com/articles/2649739767", "매물Link")</f>
        <v/>
      </c>
      <c r="M540" s="6">
        <f>HYPERLINK("https://map.naver.com/p/search/세종특별자치시 금남면 원봉리 388-1", "지도Link")</f>
        <v/>
      </c>
      <c r="N540" s="6">
        <f>HYPERLINK("http://www.eum.go.kr/web/ar/lu/luLandDet.jsp?pnu=3611034045103880001&amp;isNoScr=script&amp;mode=search", "토지이음")</f>
        <v/>
      </c>
      <c r="O540" s="3" t="inlineStr">
        <is>
          <t>세종몽땅</t>
        </is>
      </c>
      <c r="P540" s="3" t="n">
        <v>1</v>
      </c>
      <c r="Q540" s="3" t="n">
        <v>2420</v>
      </c>
      <c r="R540" s="3" t="inlineStr">
        <is>
          <t>지정되지않음</t>
        </is>
      </c>
      <c r="S540" s="3" t="inlineStr">
        <is>
          <t>답</t>
        </is>
      </c>
      <c r="T540" s="3" t="inlineStr">
        <is>
          <t>완경사</t>
        </is>
      </c>
      <c r="U540" s="3" t="inlineStr">
        <is>
          <t>부정형</t>
        </is>
      </c>
      <c r="V540" s="3" t="inlineStr">
        <is>
          <t>세로한면(불)</t>
        </is>
      </c>
    </row>
    <row r="541">
      <c r="A541" s="3" t="inlineStr">
        <is>
          <t>세종특별자치시 금남면 원봉리 400-1</t>
        </is>
      </c>
      <c r="B541" s="3" t="inlineStr">
        <is>
          <t>계획관리지역</t>
        </is>
      </c>
      <c r="C541" s="3" t="inlineStr">
        <is>
          <t>답</t>
        </is>
      </c>
      <c r="D541" s="3" t="inlineStr">
        <is>
          <t>답</t>
        </is>
      </c>
      <c r="E541" s="3" t="inlineStr">
        <is>
          <t>매매</t>
        </is>
      </c>
      <c r="F541" s="4" t="n">
        <v>120000</v>
      </c>
      <c r="G541" s="4" t="n">
        <v>1844</v>
      </c>
      <c r="H541" s="4" t="n">
        <v>558</v>
      </c>
      <c r="I541" s="5" t="n">
        <v>215.1</v>
      </c>
      <c r="J541" s="4" t="n">
        <v>62.6</v>
      </c>
      <c r="K541" s="3" t="inlineStr">
        <is>
          <t>계획관리지역의 주변 환경 좋은 전으로 이용중인 투자용 토지입니다</t>
        </is>
      </c>
      <c r="L541" s="6">
        <f>HYPERLINK("https://fin.land.naver.com/articles/2646331334", "매물Link")</f>
        <v/>
      </c>
      <c r="M541" s="6">
        <f>HYPERLINK("https://map.naver.com/p/search/세종특별자치시 금남면 원봉리 400-1", "지도Link")</f>
        <v/>
      </c>
      <c r="N541" s="6">
        <f>HYPERLINK("http://www.eum.go.kr/web/ar/lu/luLandDet.jsp?pnu=3611034045104000001&amp;isNoScr=script&amp;mode=search", "토지이음")</f>
        <v/>
      </c>
      <c r="O541" s="3" t="inlineStr">
        <is>
          <t>스마일세종</t>
        </is>
      </c>
      <c r="P541" s="3" t="n">
        <v>1</v>
      </c>
      <c r="Q541" s="3" t="n">
        <v>1074</v>
      </c>
      <c r="R541" s="3" t="inlineStr">
        <is>
          <t>지정되지않음</t>
        </is>
      </c>
      <c r="S541" s="3" t="inlineStr">
        <is>
          <t>답</t>
        </is>
      </c>
      <c r="T541" s="3" t="inlineStr">
        <is>
          <t>완경사</t>
        </is>
      </c>
      <c r="U541" s="3" t="inlineStr">
        <is>
          <t>부정형</t>
        </is>
      </c>
      <c r="V541" s="3" t="inlineStr">
        <is>
          <t>세로한면(가)</t>
        </is>
      </c>
    </row>
    <row r="542">
      <c r="A542" s="3" t="inlineStr">
        <is>
          <t>세종특별자치시 금남면 원봉리 402-3</t>
        </is>
      </c>
      <c r="B542" s="3" t="inlineStr">
        <is>
          <t>보전관리지역</t>
        </is>
      </c>
      <c r="C542" s="3" t="inlineStr">
        <is>
          <t>임야</t>
        </is>
      </c>
      <c r="D542" s="3" t="inlineStr">
        <is>
          <t>임야</t>
        </is>
      </c>
      <c r="E542" s="3" t="inlineStr">
        <is>
          <t>매매</t>
        </is>
      </c>
      <c r="F542" s="4" t="n">
        <v>43000</v>
      </c>
      <c r="G542" s="4" t="n">
        <v>711</v>
      </c>
      <c r="H542" s="4" t="n">
        <v>215</v>
      </c>
      <c r="I542" s="5" t="n">
        <v>200</v>
      </c>
      <c r="J542" s="4" t="n">
        <v>44.5</v>
      </c>
      <c r="K542" s="3" t="inlineStr">
        <is>
          <t>세종시내권 접근 양호 포장도로 접한 전원주택 검토형 토지</t>
        </is>
      </c>
      <c r="L542" s="6">
        <f>HYPERLINK("https://fin.land.naver.com/articles/2649750299", "매물Link")</f>
        <v/>
      </c>
      <c r="M542" s="6">
        <f>HYPERLINK("https://map.naver.com/p/search/세종특별자치시 금남면 원봉리 402-3", "지도Link")</f>
        <v/>
      </c>
      <c r="N542" s="6">
        <f>HYPERLINK("http://www.eum.go.kr/web/ar/lu/luLandDet.jsp?pnu=3611034045104020003&amp;isNoScr=script&amp;mode=search", "토지이음")</f>
        <v/>
      </c>
      <c r="O542" s="3" t="inlineStr">
        <is>
          <t>세종소담황금</t>
        </is>
      </c>
      <c r="P542" s="3" t="n">
        <v>1</v>
      </c>
      <c r="Q542" s="3" t="n">
        <v>711</v>
      </c>
      <c r="R542" s="3" t="inlineStr">
        <is>
          <t>지정되지않음</t>
        </is>
      </c>
      <c r="S542" s="3" t="inlineStr">
        <is>
          <t>전</t>
        </is>
      </c>
      <c r="T542" s="3" t="inlineStr">
        <is>
          <t>완경사</t>
        </is>
      </c>
      <c r="U542" s="3" t="inlineStr">
        <is>
          <t>부정형</t>
        </is>
      </c>
      <c r="V542" s="3" t="inlineStr">
        <is>
          <t>세로한면(가)</t>
        </is>
      </c>
    </row>
    <row r="543">
      <c r="A543" s="3" t="inlineStr">
        <is>
          <t>세종특별자치시 금남면 원봉리 437-3</t>
        </is>
      </c>
      <c r="B543" s="3" t="inlineStr">
        <is>
          <t>보전관리지역</t>
        </is>
      </c>
      <c r="C543" s="3" t="inlineStr">
        <is>
          <t>답</t>
        </is>
      </c>
      <c r="D543" s="3" t="inlineStr">
        <is>
          <t>답</t>
        </is>
      </c>
      <c r="E543" s="3" t="inlineStr">
        <is>
          <t>매매</t>
        </is>
      </c>
      <c r="F543" s="4" t="n">
        <v>28000</v>
      </c>
      <c r="G543" s="4" t="n">
        <v>902</v>
      </c>
      <c r="H543" s="4" t="n">
        <v>273</v>
      </c>
      <c r="I543" s="5" t="n">
        <v>102.6</v>
      </c>
      <c r="J543" s="4" t="n">
        <v>48.7</v>
      </c>
      <c r="K543" s="3" t="inlineStr">
        <is>
          <t>급매, 사진O, 원봉리 위치 좋은 농지입니다.</t>
        </is>
      </c>
      <c r="L543" s="6">
        <f>HYPERLINK("https://fin.land.naver.com/articles/2645256248", "매물Link")</f>
        <v/>
      </c>
      <c r="M543" s="6">
        <f>HYPERLINK("https://map.naver.com/p/search/세종특별자치시 금남면 원봉리 437-3", "지도Link")</f>
        <v/>
      </c>
      <c r="N543" s="6">
        <f>HYPERLINK("http://www.eum.go.kr/web/ar/lu/luLandDet.jsp?pnu=3611034045104370003&amp;isNoScr=script&amp;mode=search", "토지이음")</f>
        <v/>
      </c>
      <c r="O543" s="3" t="inlineStr">
        <is>
          <t>허브</t>
        </is>
      </c>
      <c r="P543" s="3" t="n">
        <v>1</v>
      </c>
      <c r="Q543" s="3" t="n">
        <v>902</v>
      </c>
      <c r="R543" s="3" t="inlineStr">
        <is>
          <t>지정되지않음</t>
        </is>
      </c>
      <c r="S543" s="3" t="inlineStr">
        <is>
          <t>답</t>
        </is>
      </c>
      <c r="T543" s="3" t="inlineStr">
        <is>
          <t>평지</t>
        </is>
      </c>
      <c r="U543" s="3" t="inlineStr">
        <is>
          <t>부정형</t>
        </is>
      </c>
      <c r="V543" s="3" t="inlineStr">
        <is>
          <t>맹지</t>
        </is>
      </c>
    </row>
    <row r="544">
      <c r="A544" s="3" t="inlineStr">
        <is>
          <t>세종특별자치시 금남면 원봉리 443-1</t>
        </is>
      </c>
      <c r="B544" s="3" t="inlineStr">
        <is>
          <t>계획관리지역</t>
        </is>
      </c>
      <c r="C544" s="3" t="inlineStr">
        <is>
          <t>전</t>
        </is>
      </c>
      <c r="D544" s="3" t="inlineStr">
        <is>
          <t>대</t>
        </is>
      </c>
      <c r="E544" s="3" t="inlineStr">
        <is>
          <t>매매</t>
        </is>
      </c>
      <c r="F544" s="4" t="n">
        <v>170000</v>
      </c>
      <c r="G544" s="4" t="n">
        <v>4292</v>
      </c>
      <c r="H544" s="4" t="n">
        <v>1298</v>
      </c>
      <c r="I544" s="5" t="n">
        <v>131</v>
      </c>
      <c r="J544" s="4" t="n">
        <v>51.3</v>
      </c>
      <c r="K544" s="3" t="inlineStr">
        <is>
          <t>조용하고 뷰 좋은 계획관리지역의 요양원 시설 적지 토지 매매</t>
        </is>
      </c>
      <c r="L544" s="6">
        <f>HYPERLINK("https://fin.land.naver.com/articles/2648921233", "매물Link")</f>
        <v/>
      </c>
      <c r="M544" s="6">
        <f>HYPERLINK("https://map.naver.com/p/search/세종특별자치시 금남면 원봉리 443-1", "지도Link")</f>
        <v/>
      </c>
      <c r="N544" s="6">
        <f>HYPERLINK("http://www.eum.go.kr/web/ar/lu/luLandDet.jsp?pnu=3611034045104430001&amp;isNoScr=script&amp;mode=search", "토지이음")</f>
        <v/>
      </c>
      <c r="O544" s="3" t="inlineStr">
        <is>
          <t>세종비전행정사</t>
        </is>
      </c>
      <c r="P544" s="3" t="n">
        <v>1</v>
      </c>
      <c r="Q544" s="3" t="n">
        <v>555</v>
      </c>
      <c r="R544" s="3" t="inlineStr">
        <is>
          <t>지정되지않음</t>
        </is>
      </c>
      <c r="S544" s="3" t="inlineStr">
        <is>
          <t>전</t>
        </is>
      </c>
      <c r="T544" s="3" t="inlineStr">
        <is>
          <t>완경사</t>
        </is>
      </c>
      <c r="U544" s="3" t="inlineStr">
        <is>
          <t>부정형</t>
        </is>
      </c>
      <c r="V544" s="3" t="inlineStr">
        <is>
          <t>맹지</t>
        </is>
      </c>
    </row>
    <row r="545">
      <c r="A545" s="3" t="inlineStr">
        <is>
          <t>세종특별자치시 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HYPERLINK("https://map.naver.com/p/search/세종특별자치시 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세종특별자치시 금남면 원봉리 476-1</t>
        </is>
      </c>
      <c r="B546" s="3" t="inlineStr">
        <is>
          <t>계획관리지역</t>
        </is>
      </c>
      <c r="C546" s="3" t="inlineStr">
        <is>
          <t>전</t>
        </is>
      </c>
      <c r="D546" s="3" t="inlineStr">
        <is>
          <t>전</t>
        </is>
      </c>
      <c r="E546" s="3" t="inlineStr">
        <is>
          <t>매매</t>
        </is>
      </c>
      <c r="F546" s="4" t="n">
        <v>82000</v>
      </c>
      <c r="G546" s="4" t="n">
        <v>1767</v>
      </c>
      <c r="H546" s="4" t="n">
        <v>535</v>
      </c>
      <c r="I546" s="5" t="n">
        <v>153.3</v>
      </c>
      <c r="J546" s="4" t="n">
        <v>53.1</v>
      </c>
      <c r="K546" s="3" t="inlineStr">
        <is>
          <t>금남면 원봉리 계획관리 토지, 도로접, 근생시설 및 창고 등</t>
        </is>
      </c>
      <c r="L546" s="6">
        <f>HYPERLINK("https://fin.land.naver.com/articles/2647307828", "매물Link")</f>
        <v/>
      </c>
      <c r="M546" s="6">
        <f>HYPERLINK("https://map.naver.com/p/search/세종특별자치시 금남면 원봉리 476-1", "지도Link")</f>
        <v/>
      </c>
      <c r="N546" s="6">
        <f>HYPERLINK("http://www.eum.go.kr/web/ar/lu/luLandDet.jsp?pnu=3611034045104760001&amp;isNoScr=script&amp;mode=search", "토지이음")</f>
        <v/>
      </c>
      <c r="O546" s="3" t="inlineStr">
        <is>
          <t>스카이</t>
        </is>
      </c>
      <c r="P546" s="3" t="n">
        <v>1</v>
      </c>
      <c r="Q546" s="3" t="n">
        <v>1540</v>
      </c>
      <c r="R546" s="3" t="inlineStr">
        <is>
          <t>지정되지않음</t>
        </is>
      </c>
      <c r="S546" s="3" t="inlineStr">
        <is>
          <t>전</t>
        </is>
      </c>
      <c r="T546" s="3" t="inlineStr">
        <is>
          <t>완경사</t>
        </is>
      </c>
      <c r="U546" s="3" t="inlineStr">
        <is>
          <t>부정형</t>
        </is>
      </c>
      <c r="V546" s="3" t="inlineStr">
        <is>
          <t>세로한면(불)</t>
        </is>
      </c>
    </row>
    <row r="547">
      <c r="A547" s="3" t="inlineStr">
        <is>
          <t>세종특별자치시 금남면 원봉리 510-3</t>
        </is>
      </c>
      <c r="B547" s="3" t="inlineStr">
        <is>
          <t>생산관리지역</t>
        </is>
      </c>
      <c r="C547" s="3" t="inlineStr">
        <is>
          <t>답</t>
        </is>
      </c>
      <c r="D547" s="3" t="inlineStr">
        <is>
          <t>답</t>
        </is>
      </c>
      <c r="E547" s="3" t="inlineStr">
        <is>
          <t>매매</t>
        </is>
      </c>
      <c r="F547" s="4" t="n">
        <v>35000</v>
      </c>
      <c r="G547" s="4" t="n">
        <v>625</v>
      </c>
      <c r="H547" s="4" t="n">
        <v>189</v>
      </c>
      <c r="I547" s="5" t="n">
        <v>185.2</v>
      </c>
      <c r="J547" s="4" t="n">
        <v>51.4</v>
      </c>
      <c r="K547" s="3" t="inlineStr">
        <is>
          <t>성장관리구역,</t>
        </is>
      </c>
      <c r="L547" s="6">
        <f>HYPERLINK("https://fin.land.naver.com/articles/2647826192", "매물Link")</f>
        <v/>
      </c>
      <c r="M547" s="6">
        <f>HYPERLINK("https://map.naver.com/p/search/세종특별자치시 금남면 원봉리 510-3", "지도Link")</f>
        <v/>
      </c>
      <c r="N547" s="6">
        <f>HYPERLINK("http://www.eum.go.kr/web/ar/lu/luLandDet.jsp?pnu=3611034045105100003&amp;isNoScr=script&amp;mode=search", "토지이음")</f>
        <v/>
      </c>
      <c r="O547" s="3" t="inlineStr">
        <is>
          <t>역전</t>
        </is>
      </c>
      <c r="P547" s="3" t="n">
        <v>1</v>
      </c>
      <c r="Q547" s="3" t="n">
        <v>625</v>
      </c>
      <c r="R547" s="3" t="inlineStr">
        <is>
          <t>지정되지않음</t>
        </is>
      </c>
      <c r="S547" s="3" t="inlineStr">
        <is>
          <t>답</t>
        </is>
      </c>
      <c r="T547" s="3" t="inlineStr">
        <is>
          <t>완경사</t>
        </is>
      </c>
      <c r="U547" s="3" t="inlineStr">
        <is>
          <t>가로장방</t>
        </is>
      </c>
      <c r="V547" s="3" t="inlineStr">
        <is>
          <t>세로한면(불)</t>
        </is>
      </c>
    </row>
    <row r="548">
      <c r="A548" s="3" t="inlineStr">
        <is>
          <t>세종특별자치시 금남면 원봉리 548-55</t>
        </is>
      </c>
      <c r="B548" s="3" t="inlineStr">
        <is>
          <t>보전관리지역</t>
        </is>
      </c>
      <c r="C548" s="3" t="inlineStr">
        <is>
          <t>임야</t>
        </is>
      </c>
      <c r="D548" s="3" t="inlineStr">
        <is>
          <t>임야</t>
        </is>
      </c>
      <c r="E548" s="3" t="inlineStr">
        <is>
          <t>매매</t>
        </is>
      </c>
      <c r="F548" s="4" t="n">
        <v>48000</v>
      </c>
      <c r="G548" s="4" t="n">
        <v>559</v>
      </c>
      <c r="H548" s="4" t="n">
        <v>169</v>
      </c>
      <c r="I548" s="5" t="n">
        <v>284</v>
      </c>
      <c r="J548" s="4" t="n">
        <v>97.8</v>
      </c>
      <c r="K548" s="3" t="inlineStr">
        <is>
          <t>금강이보이는 전원주택지</t>
        </is>
      </c>
      <c r="L548" s="6">
        <f>HYPERLINK("https://fin.land.naver.com/articles/2645629510", "매물Link")</f>
        <v/>
      </c>
      <c r="M548" s="6">
        <f>HYPERLINK("https://map.naver.com/p/search/세종특별자치시 금남면 원봉리 548-55", "지도Link")</f>
        <v/>
      </c>
      <c r="N548" s="6">
        <f>HYPERLINK("http://www.eum.go.kr/web/ar/lu/luLandDet.jsp?pnu=3611034045105480055&amp;isNoScr=script&amp;mode=search", "토지이음")</f>
        <v/>
      </c>
      <c r="O548" s="3" t="inlineStr">
        <is>
          <t>세종천지</t>
        </is>
      </c>
      <c r="P548" s="3" t="n">
        <v>1</v>
      </c>
      <c r="Q548" s="3" t="n">
        <v>559</v>
      </c>
      <c r="R548" s="3" t="inlineStr">
        <is>
          <t>지정되지않음</t>
        </is>
      </c>
      <c r="S548" s="3" t="inlineStr">
        <is>
          <t>주거나지</t>
        </is>
      </c>
      <c r="T548" s="3" t="inlineStr">
        <is>
          <t>완경사</t>
        </is>
      </c>
      <c r="U548" s="3" t="inlineStr">
        <is>
          <t>세로장방</t>
        </is>
      </c>
      <c r="V548" s="3" t="inlineStr">
        <is>
          <t>세로한면(가)</t>
        </is>
      </c>
    </row>
    <row r="549">
      <c r="A549" s="3" t="inlineStr">
        <is>
          <t>세종특별자치시 금남면 원봉리 575-56</t>
        </is>
      </c>
      <c r="B549" s="3" t="inlineStr">
        <is>
          <t>보전관리지역</t>
        </is>
      </c>
      <c r="C549" s="3" t="inlineStr">
        <is>
          <t>임야</t>
        </is>
      </c>
      <c r="D549" s="3" t="inlineStr">
        <is>
          <t>임야</t>
        </is>
      </c>
      <c r="E549" s="3" t="inlineStr">
        <is>
          <t>매매</t>
        </is>
      </c>
      <c r="F549" s="4" t="n">
        <v>37000</v>
      </c>
      <c r="G549" s="4" t="n">
        <v>435</v>
      </c>
      <c r="H549" s="4" t="n">
        <v>132</v>
      </c>
      <c r="I549" s="5" t="n">
        <v>280.3</v>
      </c>
      <c r="J549" s="4" t="n">
        <v>16</v>
      </c>
      <c r="K549" s="3" t="inlineStr">
        <is>
          <t>금남면 원봉리 금강이보이는 전원주택지</t>
        </is>
      </c>
      <c r="L549" s="6">
        <f>HYPERLINK("https://fin.land.naver.com/articles/2647685646", "매물Link")</f>
        <v/>
      </c>
      <c r="M549" s="6">
        <f>HYPERLINK("https://map.naver.com/p/search/세종특별자치시 금남면 원봉리 575-56", "지도Link")</f>
        <v/>
      </c>
      <c r="N549" s="6">
        <f>HYPERLINK("http://www.eum.go.kr/web/ar/lu/luLandDet.jsp?pnu=3611034045105750056&amp;isNoScr=script&amp;mode=search", "토지이음")</f>
        <v/>
      </c>
      <c r="O549" s="3" t="inlineStr">
        <is>
          <t>세종천지</t>
        </is>
      </c>
      <c r="P549" s="3" t="n">
        <v>1</v>
      </c>
      <c r="Q549" s="3" t="n">
        <v>435</v>
      </c>
      <c r="R549" s="3" t="inlineStr">
        <is>
          <t>지정되지않음</t>
        </is>
      </c>
      <c r="S549" s="3" t="inlineStr">
        <is>
          <t>자연림</t>
        </is>
      </c>
      <c r="T549" s="3" t="inlineStr">
        <is>
          <t>완경사</t>
        </is>
      </c>
      <c r="U549" s="3" t="inlineStr">
        <is>
          <t>세로장방</t>
        </is>
      </c>
      <c r="V549" s="3" t="inlineStr">
        <is>
          <t>세로한면(가)</t>
        </is>
      </c>
    </row>
    <row r="550">
      <c r="A550" s="3" t="inlineStr">
        <is>
          <t>세종특별자치시 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세종시와 근접하고 금강수목원 인접지</t>
        </is>
      </c>
      <c r="L550" s="6">
        <f>HYPERLINK("https://fin.land.naver.com/articles/2647301481", "매물Link")</f>
        <v/>
      </c>
      <c r="M550" s="6">
        <f>HYPERLINK("https://map.naver.com/p/search/세종특별자치시 금남면 원봉리 578-22", "지도Link")</f>
        <v/>
      </c>
      <c r="N550" s="6">
        <f>HYPERLINK("http://www.eum.go.kr/web/ar/lu/luLandDet.jsp?pnu=3611034045105780022&amp;isNoScr=script&amp;mode=search", "토지이음")</f>
        <v/>
      </c>
      <c r="O550" s="3" t="inlineStr">
        <is>
          <t>늘봄</t>
        </is>
      </c>
      <c r="P550" s="3" t="n">
        <v>1</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세종특별자치시 금남면 원봉리 578-22</t>
        </is>
      </c>
      <c r="B551" s="3" t="inlineStr">
        <is>
          <t>계획관리지역</t>
        </is>
      </c>
      <c r="C551" s="3" t="inlineStr">
        <is>
          <t>대</t>
        </is>
      </c>
      <c r="D551" s="3" t="inlineStr">
        <is>
          <t>대</t>
        </is>
      </c>
      <c r="E551" s="3" t="inlineStr">
        <is>
          <t>매매</t>
        </is>
      </c>
      <c r="F551" s="4" t="n">
        <v>56000</v>
      </c>
      <c r="G551" s="4" t="n">
        <v>743</v>
      </c>
      <c r="H551" s="4" t="n">
        <v>225</v>
      </c>
      <c r="I551" s="5" t="n">
        <v>248.9</v>
      </c>
      <c r="J551" s="4" t="n">
        <v>123.6</v>
      </c>
      <c r="K551" s="3" t="inlineStr">
        <is>
          <t>세종,대전 접근성좋은 계획관리 대지</t>
        </is>
      </c>
      <c r="L551" s="6">
        <f>HYPERLINK("https://fin.land.naver.com/articles/2646794641", "매물Link")</f>
        <v/>
      </c>
      <c r="M551" s="6">
        <f>HYPERLINK("https://map.naver.com/p/search/세종특별자치시 금남면 원봉리 578-22", "지도Link")</f>
        <v/>
      </c>
      <c r="N551" s="6">
        <f>HYPERLINK("http://www.eum.go.kr/web/ar/lu/luLandDet.jsp?pnu=3611034045105780022&amp;isNoScr=script&amp;mode=search", "토지이음")</f>
        <v/>
      </c>
      <c r="O551" s="3" t="inlineStr">
        <is>
          <t>가치잇는</t>
        </is>
      </c>
      <c r="P551" s="3" t="n">
        <v>2</v>
      </c>
      <c r="Q551" s="3" t="n">
        <v>645</v>
      </c>
      <c r="R551" s="3" t="inlineStr">
        <is>
          <t>지정되지않음</t>
        </is>
      </c>
      <c r="S551" s="3" t="inlineStr">
        <is>
          <t>단독</t>
        </is>
      </c>
      <c r="T551" s="3" t="inlineStr">
        <is>
          <t>평지</t>
        </is>
      </c>
      <c r="U551" s="3" t="inlineStr">
        <is>
          <t>사다리형</t>
        </is>
      </c>
      <c r="V551" s="3" t="inlineStr">
        <is>
          <t>세로한면(가)</t>
        </is>
      </c>
    </row>
    <row r="552">
      <c r="A552" s="3" t="inlineStr">
        <is>
          <t>세종특별자치시 금남면 원봉리 578-38</t>
        </is>
      </c>
      <c r="B552" s="3" t="inlineStr">
        <is>
          <t>보전관리지역</t>
        </is>
      </c>
      <c r="C552" s="3" t="inlineStr">
        <is>
          <t>임야</t>
        </is>
      </c>
      <c r="D552" s="3" t="inlineStr">
        <is>
          <t>임야</t>
        </is>
      </c>
      <c r="E552" s="3" t="inlineStr">
        <is>
          <t>매매</t>
        </is>
      </c>
      <c r="F552" s="4" t="n">
        <v>44000</v>
      </c>
      <c r="G552" s="4" t="n">
        <v>686</v>
      </c>
      <c r="H552" s="4" t="n">
        <v>208</v>
      </c>
      <c r="I552" s="5" t="n">
        <v>211.5</v>
      </c>
      <c r="J552" s="4" t="n">
        <v>52.7</v>
      </c>
      <c r="K552" s="3" t="inlineStr">
        <is>
          <t>전원주택지로 적극 추천함</t>
        </is>
      </c>
      <c r="L552" s="6">
        <f>HYPERLINK("https://fin.land.naver.com/articles/2648263036", "매물Link")</f>
        <v/>
      </c>
      <c r="M552" s="6">
        <f>HYPERLINK("https://map.naver.com/p/search/세종특별자치시 금남면 원봉리 578-38", "지도Link")</f>
        <v/>
      </c>
      <c r="N552" s="6">
        <f>HYPERLINK("http://www.eum.go.kr/web/ar/lu/luLandDet.jsp?pnu=3611034045105780038&amp;isNoScr=script&amp;mode=search", "토지이음")</f>
        <v/>
      </c>
      <c r="O552" s="3" t="inlineStr">
        <is>
          <t>세종대평</t>
        </is>
      </c>
      <c r="P552" s="3" t="n">
        <v>1</v>
      </c>
      <c r="Q552" s="3" t="n">
        <v>410</v>
      </c>
      <c r="R552" s="3" t="inlineStr">
        <is>
          <t>지정되지않음</t>
        </is>
      </c>
      <c r="S552" s="3" t="inlineStr">
        <is>
          <t>전기타</t>
        </is>
      </c>
      <c r="T552" s="3" t="inlineStr">
        <is>
          <t>완경사</t>
        </is>
      </c>
      <c r="U552" s="3" t="inlineStr">
        <is>
          <t>가로장방</t>
        </is>
      </c>
      <c r="V552" s="3" t="inlineStr">
        <is>
          <t>세로한면(가)</t>
        </is>
      </c>
    </row>
    <row r="553">
      <c r="A553" s="3" t="inlineStr">
        <is>
          <t>세종특별자치시 금남면 원봉리 578-40</t>
        </is>
      </c>
      <c r="B553" s="3" t="inlineStr">
        <is>
          <t>보전관리지역</t>
        </is>
      </c>
      <c r="C553" s="3" t="inlineStr">
        <is>
          <t>임야</t>
        </is>
      </c>
      <c r="D553" s="3" t="inlineStr">
        <is>
          <t>임야</t>
        </is>
      </c>
      <c r="E553" s="3" t="inlineStr">
        <is>
          <t>매매</t>
        </is>
      </c>
      <c r="F553" s="4" t="n">
        <v>45000</v>
      </c>
      <c r="G553" s="4" t="n">
        <v>2191</v>
      </c>
      <c r="H553" s="4" t="n">
        <v>663</v>
      </c>
      <c r="I553" s="5" t="n">
        <v>67.90000000000001</v>
      </c>
      <c r="J553" s="4" t="n">
        <v>52.7</v>
      </c>
      <c r="K553" s="3" t="inlineStr">
        <is>
          <t>진입도로 돼있고요 전원주택지  세종시청 15분 거리입니다</t>
        </is>
      </c>
      <c r="L553" s="6">
        <f>HYPERLINK("https://fin.land.naver.com/articles/2648082427", "매물Link")</f>
        <v/>
      </c>
      <c r="M553" s="6">
        <f>HYPERLINK("https://map.naver.com/p/search/세종특별자치시 금남면 원봉리 578-40", "지도Link")</f>
        <v/>
      </c>
      <c r="N553" s="6">
        <f>HYPERLINK("http://www.eum.go.kr/web/ar/lu/luLandDet.jsp?pnu=3611034045105780040&amp;isNoScr=script&amp;mode=search", "토지이음")</f>
        <v/>
      </c>
      <c r="O553" s="3" t="inlineStr">
        <is>
          <t>세종시삼성래미안</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세종특별자치시 금남면 원봉리 578-40</t>
        </is>
      </c>
      <c r="B554" s="3" t="inlineStr">
        <is>
          <t>보전관리지역</t>
        </is>
      </c>
      <c r="C554" s="3" t="inlineStr">
        <is>
          <t>임야</t>
        </is>
      </c>
      <c r="D554" s="3" t="inlineStr">
        <is>
          <t>임야</t>
        </is>
      </c>
      <c r="E554" s="3" t="inlineStr">
        <is>
          <t>매매</t>
        </is>
      </c>
      <c r="F554" s="4" t="n">
        <v>54000</v>
      </c>
      <c r="G554" s="4" t="n">
        <v>2094</v>
      </c>
      <c r="H554" s="4" t="n">
        <v>633</v>
      </c>
      <c r="I554" s="5" t="n">
        <v>85.3</v>
      </c>
      <c r="J554" s="4" t="n">
        <v>52.7</v>
      </c>
      <c r="K554" s="3" t="inlineStr">
        <is>
          <t>금강조망권,전원생활 또는 투자에 적합한 입지</t>
        </is>
      </c>
      <c r="L554" s="6">
        <f>HYPERLINK("https://fin.land.naver.com/articles/2645457537", "매물Link")</f>
        <v/>
      </c>
      <c r="M554" s="6">
        <f>HYPERLINK("https://map.naver.com/p/search/세종특별자치시 금남면 원봉리 578-40", "지도Link")</f>
        <v/>
      </c>
      <c r="N554" s="6">
        <f>HYPERLINK("http://www.eum.go.kr/web/ar/lu/luLandDet.jsp?pnu=3611034045105780040&amp;isNoScr=script&amp;mode=search", "토지이음")</f>
        <v/>
      </c>
      <c r="O554" s="3" t="inlineStr">
        <is>
          <t>가치잇는</t>
        </is>
      </c>
      <c r="P554" s="3" t="n">
        <v>1</v>
      </c>
      <c r="Q554" s="3" t="n">
        <v>2094</v>
      </c>
      <c r="R554" s="3" t="inlineStr">
        <is>
          <t>지정되지않음</t>
        </is>
      </c>
      <c r="S554" s="3" t="inlineStr">
        <is>
          <t>전기타</t>
        </is>
      </c>
      <c r="T554" s="3" t="inlineStr">
        <is>
          <t>완경사</t>
        </is>
      </c>
      <c r="U554" s="3" t="inlineStr">
        <is>
          <t>가로장방</t>
        </is>
      </c>
      <c r="V554" s="3" t="inlineStr">
        <is>
          <t>세로한면(가)</t>
        </is>
      </c>
    </row>
    <row r="555">
      <c r="A555" s="3" t="inlineStr">
        <is>
          <t>세종특별자치시 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HYPERLINK("https://map.naver.com/p/search/세종특별자치시 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세종특별자치시 금남면 원봉리 585-2</t>
        </is>
      </c>
      <c r="B556" s="3" t="inlineStr">
        <is>
          <t>농림지역</t>
        </is>
      </c>
      <c r="C556" s="3" t="inlineStr">
        <is>
          <t>답</t>
        </is>
      </c>
      <c r="D556" s="3" t="inlineStr">
        <is>
          <t>답</t>
        </is>
      </c>
      <c r="E556" s="3" t="inlineStr">
        <is>
          <t>매매</t>
        </is>
      </c>
      <c r="F556" s="4" t="n">
        <v>64800</v>
      </c>
      <c r="G556" s="4" t="n">
        <v>1070</v>
      </c>
      <c r="H556" s="4" t="n">
        <v>324</v>
      </c>
      <c r="I556" s="5" t="n">
        <v>200</v>
      </c>
      <c r="J556" s="4" t="n">
        <v>48.7</v>
      </c>
      <c r="K556" s="3" t="inlineStr">
        <is>
          <t>금남면 원봉리 대로접한 답</t>
        </is>
      </c>
      <c r="L556" s="6">
        <f>HYPERLINK("https://fin.land.naver.com/articles/2648100905", "매물Link")</f>
        <v/>
      </c>
      <c r="M556" s="6">
        <f>HYPERLINK("https://map.naver.com/p/search/세종특별자치시 금남면 원봉리 585-2", "지도Link")</f>
        <v/>
      </c>
      <c r="N556" s="6">
        <f>HYPERLINK("http://www.eum.go.kr/web/ar/lu/luLandDet.jsp?pnu=3611034045105850002&amp;isNoScr=script&amp;mode=search", "토지이음")</f>
        <v/>
      </c>
      <c r="O556" s="3" t="inlineStr">
        <is>
          <t>황소플러스</t>
        </is>
      </c>
      <c r="P556" s="3" t="n">
        <v>1</v>
      </c>
      <c r="Q556" s="3" t="n">
        <v>1070</v>
      </c>
      <c r="R556" s="3" t="inlineStr">
        <is>
          <t>지정되지않음</t>
        </is>
      </c>
      <c r="S556" s="3" t="inlineStr">
        <is>
          <t>답</t>
        </is>
      </c>
      <c r="T556" s="3" t="inlineStr">
        <is>
          <t>평지</t>
        </is>
      </c>
      <c r="U556" s="3" t="inlineStr">
        <is>
          <t>부정형</t>
        </is>
      </c>
      <c r="V556" s="3" t="inlineStr">
        <is>
          <t>소로한면</t>
        </is>
      </c>
    </row>
    <row r="557">
      <c r="A557" s="3" t="inlineStr">
        <is>
          <t>세종특별자치시 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금남면 금강주변 선호도 높은 고급주택택지</t>
        </is>
      </c>
      <c r="L557" s="6">
        <f>HYPERLINK("https://fin.land.naver.com/articles/2648101366", "매물Link")</f>
        <v/>
      </c>
      <c r="M557" s="6">
        <f>HYPERLINK("https://map.naver.com/p/search/세종특별자치시 금남면 원봉리 591-18", "지도Link")</f>
        <v/>
      </c>
      <c r="N557" s="6">
        <f>HYPERLINK("http://www.eum.go.kr/web/ar/lu/luLandDet.jsp?pnu=3611034045105910018&amp;isNoScr=script&amp;mode=search", "토지이음")</f>
        <v/>
      </c>
      <c r="O557" s="3" t="inlineStr">
        <is>
          <t>황소플러스</t>
        </is>
      </c>
      <c r="P557" s="3" t="n">
        <v>1</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세종특별자치시 금남면 원봉리 591-18</t>
        </is>
      </c>
      <c r="B558" s="3" t="inlineStr">
        <is>
          <t>계획관리지역</t>
        </is>
      </c>
      <c r="C558" s="3" t="inlineStr">
        <is>
          <t>대</t>
        </is>
      </c>
      <c r="D558" s="3" t="inlineStr">
        <is>
          <t>대</t>
        </is>
      </c>
      <c r="E558" s="3" t="inlineStr">
        <is>
          <t>매매</t>
        </is>
      </c>
      <c r="F558" s="4" t="n">
        <v>60000</v>
      </c>
      <c r="G558" s="4" t="n">
        <v>839</v>
      </c>
      <c r="H558" s="4" t="n">
        <v>254</v>
      </c>
      <c r="I558" s="5" t="n">
        <v>236.2</v>
      </c>
      <c r="J558" s="4" t="n">
        <v>167.7</v>
      </c>
      <c r="K558" s="3" t="inlineStr">
        <is>
          <t>금강변주변에위치한 남향의최상의 전원주택지 제2종근린도가능</t>
        </is>
      </c>
      <c r="L558" s="6">
        <f>HYPERLINK("https://fin.land.naver.com/articles/2645161863", "매물Link")</f>
        <v/>
      </c>
      <c r="M558" s="6">
        <f>HYPERLINK("https://map.naver.com/p/search/세종특별자치시 금남면 원봉리 591-18", "지도Link")</f>
        <v/>
      </c>
      <c r="N558" s="6">
        <f>HYPERLINK("http://www.eum.go.kr/web/ar/lu/luLandDet.jsp?pnu=3611034045105910018&amp;isNoScr=script&amp;mode=search", "토지이음")</f>
        <v/>
      </c>
      <c r="O558" s="3" t="inlineStr">
        <is>
          <t>7단지예미지 사무소</t>
        </is>
      </c>
      <c r="P558" s="3" t="n">
        <v>2</v>
      </c>
      <c r="Q558" s="3" t="n">
        <v>839</v>
      </c>
      <c r="R558" s="3" t="inlineStr">
        <is>
          <t>지정되지않음</t>
        </is>
      </c>
      <c r="S558" s="3" t="inlineStr">
        <is>
          <t>주거나지</t>
        </is>
      </c>
      <c r="T558" s="3" t="inlineStr">
        <is>
          <t>완경사</t>
        </is>
      </c>
      <c r="U558" s="3" t="inlineStr">
        <is>
          <t>사다리형</t>
        </is>
      </c>
      <c r="V558" s="3" t="inlineStr">
        <is>
          <t>세로한면(가)</t>
        </is>
      </c>
    </row>
    <row r="559">
      <c r="A559" s="3" t="inlineStr">
        <is>
          <t>세종특별자치시 금남면 원봉리 591-33</t>
        </is>
      </c>
      <c r="B559" s="3" t="inlineStr">
        <is>
          <t>계획관리지역</t>
        </is>
      </c>
      <c r="C559" s="3" t="inlineStr">
        <is>
          <t>답</t>
        </is>
      </c>
      <c r="D559" s="3" t="inlineStr">
        <is>
          <t>답</t>
        </is>
      </c>
      <c r="E559" s="3" t="inlineStr">
        <is>
          <t>매매</t>
        </is>
      </c>
      <c r="F559" s="4" t="n">
        <v>25000</v>
      </c>
      <c r="G559" s="4" t="n">
        <v>329</v>
      </c>
      <c r="H559" s="4" t="n">
        <v>100</v>
      </c>
      <c r="I559" s="5" t="n">
        <v>250</v>
      </c>
      <c r="J559" s="4" t="n">
        <v>64.3</v>
      </c>
      <c r="K559" s="3" t="inlineStr">
        <is>
          <t>주변 시도유지 활용가능한 토지. 주말농장추천</t>
        </is>
      </c>
      <c r="L559" s="6">
        <f>HYPERLINK("https://fin.land.naver.com/articles/2645606177", "매물Link")</f>
        <v/>
      </c>
      <c r="M559" s="6">
        <f>HYPERLINK("https://map.naver.com/p/search/세종특별자치시 금남면 원봉리 591-33", "지도Link")</f>
        <v/>
      </c>
      <c r="N559" s="6">
        <f>HYPERLINK("http://www.eum.go.kr/web/ar/lu/luLandDet.jsp?pnu=3611034045105910033&amp;isNoScr=script&amp;mode=search", "토지이음")</f>
        <v/>
      </c>
      <c r="O559" s="3" t="inlineStr">
        <is>
          <t>미스터홈즈강남지사</t>
        </is>
      </c>
      <c r="P559" s="3" t="n">
        <v>2</v>
      </c>
      <c r="Q559" s="3" t="n">
        <v>305</v>
      </c>
      <c r="R559" s="3" t="inlineStr">
        <is>
          <t>지정되지않음</t>
        </is>
      </c>
      <c r="S559" s="3" t="inlineStr">
        <is>
          <t>답</t>
        </is>
      </c>
      <c r="T559" s="3" t="inlineStr">
        <is>
          <t>평지</t>
        </is>
      </c>
      <c r="U559" s="3" t="inlineStr">
        <is>
          <t>부정형</t>
        </is>
      </c>
      <c r="V559" s="3" t="inlineStr">
        <is>
          <t>소로한면</t>
        </is>
      </c>
    </row>
    <row r="560">
      <c r="A560" s="3" t="inlineStr">
        <is>
          <t>세종특별자치시 금남면 원봉리 592-15</t>
        </is>
      </c>
      <c r="B560" s="3" t="inlineStr">
        <is>
          <t>보전관리지역</t>
        </is>
      </c>
      <c r="C560" s="3" t="inlineStr">
        <is>
          <t>대</t>
        </is>
      </c>
      <c r="D560" s="3" t="inlineStr">
        <is>
          <t>대</t>
        </is>
      </c>
      <c r="E560" s="3" t="inlineStr">
        <is>
          <t>매매</t>
        </is>
      </c>
      <c r="F560" s="4" t="n">
        <v>128000</v>
      </c>
      <c r="G560" s="4" t="n">
        <v>1346</v>
      </c>
      <c r="H560" s="4" t="n">
        <v>407</v>
      </c>
      <c r="I560" s="5" t="n">
        <v>314.5</v>
      </c>
      <c r="J560" s="4" t="n">
        <v>94.90000000000001</v>
      </c>
      <c r="K560" s="3" t="inlineStr">
        <is>
          <t>nan</t>
        </is>
      </c>
      <c r="L560" s="6">
        <f>HYPERLINK("https://fin.land.naver.com/articles/2650194284", "매물Link")</f>
        <v/>
      </c>
      <c r="M560" s="6">
        <f>HYPERLINK("https://map.naver.com/p/search/세종특별자치시 금남면 원봉리 592-15", "지도Link")</f>
        <v/>
      </c>
      <c r="N560" s="6">
        <f>HYPERLINK("http://www.eum.go.kr/web/ar/lu/luLandDet.jsp?pnu=3611034045105920015&amp;isNoScr=script&amp;mode=search", "토지이음")</f>
        <v/>
      </c>
      <c r="O560" s="3" t="inlineStr">
        <is>
          <t>-</t>
        </is>
      </c>
      <c r="P560" s="3" t="n">
        <v>1</v>
      </c>
      <c r="Q560" s="3" t="n">
        <v>1346</v>
      </c>
      <c r="R560" s="3" t="inlineStr">
        <is>
          <t>지정되지않음</t>
        </is>
      </c>
      <c r="S560" s="3" t="inlineStr">
        <is>
          <t>주거기타</t>
        </is>
      </c>
      <c r="T560" s="3" t="inlineStr">
        <is>
          <t>완경사</t>
        </is>
      </c>
      <c r="U560" s="3" t="inlineStr">
        <is>
          <t>사다리형</t>
        </is>
      </c>
      <c r="V560" s="3" t="inlineStr">
        <is>
          <t>세로한면(가)</t>
        </is>
      </c>
    </row>
    <row r="561">
      <c r="A561" s="3" t="inlineStr">
        <is>
          <t>세종특별자치시 금남면 원봉리 81-2</t>
        </is>
      </c>
      <c r="B561" s="3" t="inlineStr">
        <is>
          <t>계획관리지역</t>
        </is>
      </c>
      <c r="C561" s="3" t="inlineStr">
        <is>
          <t>전</t>
        </is>
      </c>
      <c r="D561" s="3" t="inlineStr">
        <is>
          <t>전</t>
        </is>
      </c>
      <c r="E561" s="3" t="inlineStr">
        <is>
          <t>매매</t>
        </is>
      </c>
      <c r="F561" s="4" t="n">
        <v>45000</v>
      </c>
      <c r="G561" s="4" t="n">
        <v>985</v>
      </c>
      <c r="H561" s="4" t="n">
        <v>298</v>
      </c>
      <c r="I561" s="5" t="n">
        <v>151</v>
      </c>
      <c r="J561" s="4" t="n">
        <v>60.7</v>
      </c>
      <c r="K561" s="3" t="inlineStr">
        <is>
          <t>집짓기 좋은토지 매매</t>
        </is>
      </c>
      <c r="L561" s="6">
        <f>HYPERLINK("https://fin.land.naver.com/articles/2649704560", "매물Link")</f>
        <v/>
      </c>
      <c r="M561" s="6">
        <f>HYPERLINK("https://map.naver.com/p/search/세종특별자치시 금남면 원봉리 81-2", "지도Link")</f>
        <v/>
      </c>
      <c r="N561" s="6">
        <f>HYPERLINK("http://www.eum.go.kr/web/ar/lu/luLandDet.jsp?pnu=3611034045100810002&amp;isNoScr=script&amp;mode=search", "토지이음")</f>
        <v/>
      </c>
      <c r="O561" s="3" t="inlineStr">
        <is>
          <t>THE행복</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세종특별자치시 금남면 원봉리 81-2</t>
        </is>
      </c>
      <c r="B562" s="3" t="inlineStr">
        <is>
          <t>계획관리지역</t>
        </is>
      </c>
      <c r="C562" s="3" t="inlineStr">
        <is>
          <t>전</t>
        </is>
      </c>
      <c r="D562" s="3" t="inlineStr">
        <is>
          <t>전</t>
        </is>
      </c>
      <c r="E562" s="3" t="inlineStr">
        <is>
          <t>매매</t>
        </is>
      </c>
      <c r="F562" s="4" t="n">
        <v>55000</v>
      </c>
      <c r="G562" s="4" t="n">
        <v>925</v>
      </c>
      <c r="H562" s="4" t="n">
        <v>280</v>
      </c>
      <c r="I562" s="5" t="n">
        <v>196.4</v>
      </c>
      <c r="J562" s="4" t="n">
        <v>60.7</v>
      </c>
      <c r="K562" s="3" t="inlineStr">
        <is>
          <t>살기좋은 세종 금남면 전원주택지</t>
        </is>
      </c>
      <c r="L562" s="6">
        <f>HYPERLINK("https://fin.land.naver.com/articles/2646687128", "매물Link")</f>
        <v/>
      </c>
      <c r="M562" s="6">
        <f>HYPERLINK("https://map.naver.com/p/search/세종특별자치시 금남면 원봉리 81-2", "지도Link")</f>
        <v/>
      </c>
      <c r="N562" s="6">
        <f>HYPERLINK("http://www.eum.go.kr/web/ar/lu/luLandDet.jsp?pnu=3611034045100810002&amp;isNoScr=script&amp;mode=search", "토지이음")</f>
        <v/>
      </c>
      <c r="O562" s="3" t="inlineStr">
        <is>
          <t>황소플러스</t>
        </is>
      </c>
      <c r="P562" s="3" t="n">
        <v>1</v>
      </c>
      <c r="Q562" s="3" t="n">
        <v>925</v>
      </c>
      <c r="R562" s="3" t="inlineStr">
        <is>
          <t>지정되지않음</t>
        </is>
      </c>
      <c r="S562" s="3" t="inlineStr">
        <is>
          <t>전</t>
        </is>
      </c>
      <c r="T562" s="3" t="inlineStr">
        <is>
          <t>평지</t>
        </is>
      </c>
      <c r="U562" s="3" t="inlineStr">
        <is>
          <t>부정형</t>
        </is>
      </c>
      <c r="V562" s="3" t="inlineStr">
        <is>
          <t>맹지</t>
        </is>
      </c>
    </row>
    <row r="563">
      <c r="A563" s="3" t="inlineStr">
        <is>
          <t>세종특별자치시 금남면 원봉리 산 17-12</t>
        </is>
      </c>
      <c r="B563" s="3" t="inlineStr">
        <is>
          <t>보전관리지역</t>
        </is>
      </c>
      <c r="C563" s="3" t="inlineStr">
        <is>
          <t>임야</t>
        </is>
      </c>
      <c r="D563" s="3" t="inlineStr">
        <is>
          <t>임야</t>
        </is>
      </c>
      <c r="E563" s="3" t="inlineStr">
        <is>
          <t>매매</t>
        </is>
      </c>
      <c r="F563" s="4" t="n">
        <v>98000</v>
      </c>
      <c r="G563" s="4" t="n">
        <v>3252</v>
      </c>
      <c r="H563" s="4" t="n">
        <v>984</v>
      </c>
      <c r="I563" s="5" t="n">
        <v>99.59999999999999</v>
      </c>
      <c r="J563" s="4" t="n">
        <v>8.300000000000001</v>
      </c>
      <c r="K563" s="3" t="inlineStr">
        <is>
          <t>세종시 원봉리 언덕위 좋은임야</t>
        </is>
      </c>
      <c r="L563" s="6">
        <f>HYPERLINK("https://fin.land.naver.com/articles/2650197681", "매물Link")</f>
        <v/>
      </c>
      <c r="M563" s="6">
        <f>HYPERLINK("https://map.naver.com/p/search/세종특별자치시 금남면 원봉리 산 17-12", "지도Link")</f>
        <v/>
      </c>
      <c r="N563" s="6">
        <f>HYPERLINK("http://www.eum.go.kr/web/ar/lu/luLandDet.jsp?pnu=3611034045200170012&amp;isNoScr=script&amp;mode=search", "토지이음")</f>
        <v/>
      </c>
      <c r="O563" s="3" t="inlineStr">
        <is>
          <t>-</t>
        </is>
      </c>
      <c r="P563" s="3" t="n">
        <v>1</v>
      </c>
      <c r="Q563" s="3" t="n">
        <v>4878</v>
      </c>
      <c r="R563" s="3" t="inlineStr">
        <is>
          <t>지정되지않음</t>
        </is>
      </c>
      <c r="S563" s="3" t="inlineStr">
        <is>
          <t>자연림</t>
        </is>
      </c>
      <c r="T563" s="3" t="inlineStr">
        <is>
          <t>완경사</t>
        </is>
      </c>
      <c r="U563" s="3" t="inlineStr">
        <is>
          <t>부정형</t>
        </is>
      </c>
      <c r="V563" s="3" t="inlineStr">
        <is>
          <t>맹지</t>
        </is>
      </c>
    </row>
    <row r="564">
      <c r="A564" s="3" t="inlineStr">
        <is>
          <t>세종특별자치시 금남면 원봉리 산10-21</t>
        </is>
      </c>
      <c r="B564" s="3" t="inlineStr">
        <is>
          <t>보전관리지역</t>
        </is>
      </c>
      <c r="C564" s="3" t="inlineStr">
        <is>
          <t>임야</t>
        </is>
      </c>
      <c r="D564" s="3" t="inlineStr">
        <is>
          <t>임야</t>
        </is>
      </c>
      <c r="E564" s="3" t="inlineStr">
        <is>
          <t>매매</t>
        </is>
      </c>
      <c r="F564" s="4" t="n">
        <v>22000</v>
      </c>
      <c r="G564" s="4" t="n">
        <v>1653</v>
      </c>
      <c r="H564" s="4" t="n">
        <v>500</v>
      </c>
      <c r="I564" s="5" t="n">
        <v>44</v>
      </c>
      <c r="J564" s="4" t="n">
        <v>8.6</v>
      </c>
      <c r="K564" s="3" t="inlineStr">
        <is>
          <t>급매,임야,평당 50만원대</t>
        </is>
      </c>
      <c r="L564" s="6">
        <f>HYPERLINK("https://fin.land.naver.com/articles/2648702731", "매물Link")</f>
        <v/>
      </c>
      <c r="M564" s="6">
        <f>HYPERLINK("https://map.naver.com/p/search/세종특별자치시 금남면 원봉리 산10-21", "지도Link")</f>
        <v/>
      </c>
      <c r="N564" s="6">
        <f>HYPERLINK("http://www.eum.go.kr/web/ar/lu/luLandDet.jsp?pnu=3611034045200100021&amp;isNoScr=script&amp;mode=search", "토지이음")</f>
        <v/>
      </c>
      <c r="O564" s="3" t="inlineStr">
        <is>
          <t>다산</t>
        </is>
      </c>
      <c r="P564" s="3" t="n">
        <v>2</v>
      </c>
      <c r="Q564" s="3" t="n">
        <v>1653</v>
      </c>
      <c r="R564" s="3" t="inlineStr">
        <is>
          <t>지정되지않음</t>
        </is>
      </c>
      <c r="S564" s="3" t="inlineStr">
        <is>
          <t>자연림</t>
        </is>
      </c>
      <c r="T564" s="3" t="inlineStr">
        <is>
          <t>완경사</t>
        </is>
      </c>
      <c r="U564" s="3" t="inlineStr">
        <is>
          <t>사다리형</t>
        </is>
      </c>
      <c r="V564" s="3" t="inlineStr">
        <is>
          <t>맹지</t>
        </is>
      </c>
    </row>
    <row r="565">
      <c r="A565" s="3" t="inlineStr">
        <is>
          <t>세종특별자치시 금남면 원봉리 산44-3</t>
        </is>
      </c>
      <c r="B565" s="3" t="inlineStr">
        <is>
          <t>농림지역</t>
        </is>
      </c>
      <c r="C565" s="3" t="inlineStr">
        <is>
          <t>임야</t>
        </is>
      </c>
      <c r="D565" s="3" t="inlineStr">
        <is>
          <t>임야</t>
        </is>
      </c>
      <c r="E565" s="3" t="inlineStr">
        <is>
          <t>매매</t>
        </is>
      </c>
      <c r="F565" s="4" t="n">
        <v>105000</v>
      </c>
      <c r="G565" s="4" t="n">
        <v>3880</v>
      </c>
      <c r="H565" s="4" t="n">
        <v>1174</v>
      </c>
      <c r="I565" s="5" t="n">
        <v>89.40000000000001</v>
      </c>
      <c r="J565" s="4" t="n">
        <v>4.9</v>
      </c>
      <c r="K565" s="3" t="inlineStr">
        <is>
          <t>급매 원봉리 2차선에 접한 밭으로 이용중인 임야로서, 분할매매도 가능</t>
        </is>
      </c>
      <c r="L565" s="6">
        <f>HYPERLINK("https://fin.land.naver.com/articles/2648689012", "매물Link")</f>
        <v/>
      </c>
      <c r="M565" s="6">
        <f>HYPERLINK("https://map.naver.com/p/search/세종특별자치시 금남면 원봉리 산44-3", "지도Link")</f>
        <v/>
      </c>
      <c r="N565" s="6">
        <f>HYPERLINK("http://www.eum.go.kr/web/ar/lu/luLandDet.jsp?pnu=3611034045200440003&amp;isNoScr=script&amp;mode=search", "토지이음")</f>
        <v/>
      </c>
      <c r="O565" s="3" t="inlineStr">
        <is>
          <t>스마일세종</t>
        </is>
      </c>
      <c r="P565" s="3" t="n">
        <v>2</v>
      </c>
      <c r="Q565" s="3" t="n">
        <v>3880</v>
      </c>
      <c r="R565" s="3" t="inlineStr">
        <is>
          <t>보전관리지역</t>
        </is>
      </c>
      <c r="S565" s="3" t="inlineStr">
        <is>
          <t>자연림</t>
        </is>
      </c>
      <c r="T565" s="3" t="inlineStr">
        <is>
          <t>완경사</t>
        </is>
      </c>
      <c r="U565" s="3" t="inlineStr">
        <is>
          <t>부정형</t>
        </is>
      </c>
      <c r="V565" s="3" t="inlineStr">
        <is>
          <t>세로한면(가)</t>
        </is>
      </c>
    </row>
    <row r="566">
      <c r="A566" s="3" t="inlineStr">
        <is>
          <t>세종특별자치시 금남면 원봉리 산45-7</t>
        </is>
      </c>
      <c r="B566" s="3" t="inlineStr">
        <is>
          <t>농림지역</t>
        </is>
      </c>
      <c r="C566" s="3" t="inlineStr">
        <is>
          <t>임야</t>
        </is>
      </c>
      <c r="D566" s="3" t="inlineStr">
        <is>
          <t>임야</t>
        </is>
      </c>
      <c r="E566" s="3" t="inlineStr">
        <is>
          <t>매매</t>
        </is>
      </c>
      <c r="F566" s="4" t="n">
        <v>98200</v>
      </c>
      <c r="G566" s="4" t="n">
        <v>9024</v>
      </c>
      <c r="H566" s="4" t="n">
        <v>2730</v>
      </c>
      <c r="I566" s="5" t="n">
        <v>36</v>
      </c>
      <c r="J566" s="4" t="n">
        <v>4</v>
      </c>
      <c r="K566" s="3" t="inlineStr">
        <is>
          <t>전원주택 인접토지</t>
        </is>
      </c>
      <c r="L566" s="6">
        <f>HYPERLINK("https://fin.land.naver.com/articles/2645629823", "매물Link")</f>
        <v/>
      </c>
      <c r="M566" s="6">
        <f>HYPERLINK("https://map.naver.com/p/search/세종특별자치시 금남면 원봉리 산45-7", "지도Link")</f>
        <v/>
      </c>
      <c r="N566" s="6">
        <f>HYPERLINK("http://www.eum.go.kr/web/ar/lu/luLandDet.jsp?pnu=3611034045200450007&amp;isNoScr=script&amp;mode=search", "토지이음")</f>
        <v/>
      </c>
      <c r="O566" s="3" t="inlineStr">
        <is>
          <t>중촌역푸르지오</t>
        </is>
      </c>
      <c r="P566" s="3" t="n">
        <v>1</v>
      </c>
      <c r="Q566" s="3" t="n">
        <v>9006</v>
      </c>
      <c r="R566" s="3" t="inlineStr">
        <is>
          <t>보전관리지역</t>
        </is>
      </c>
      <c r="S566" s="3" t="inlineStr">
        <is>
          <t>조림</t>
        </is>
      </c>
      <c r="T566" s="3" t="inlineStr">
        <is>
          <t>급경사</t>
        </is>
      </c>
      <c r="U566" s="3" t="inlineStr">
        <is>
          <t>부정형</t>
        </is>
      </c>
      <c r="V566" s="3" t="inlineStr">
        <is>
          <t>맹지</t>
        </is>
      </c>
    </row>
    <row r="567">
      <c r="A567" s="3" t="inlineStr">
        <is>
          <t>세종특별자치시 금남면 장재리 185-4</t>
        </is>
      </c>
      <c r="B567" s="3" t="inlineStr">
        <is>
          <t>개발제한구역</t>
        </is>
      </c>
      <c r="C567" s="3" t="inlineStr">
        <is>
          <t>과수원</t>
        </is>
      </c>
      <c r="D567" s="3" t="inlineStr">
        <is>
          <t>과수원</t>
        </is>
      </c>
      <c r="E567" s="3" t="inlineStr">
        <is>
          <t>매매</t>
        </is>
      </c>
      <c r="F567" s="4" t="n">
        <v>157000</v>
      </c>
      <c r="G567" s="4" t="n">
        <v>3355</v>
      </c>
      <c r="H567" s="4" t="n">
        <v>1015</v>
      </c>
      <c r="I567" s="5" t="n">
        <v>154.7</v>
      </c>
      <c r="J567" s="4" t="n">
        <v>58.3</v>
      </c>
      <c r="K567" s="3" t="inlineStr">
        <is>
          <t>추천. 소담동 인근 절대농지</t>
        </is>
      </c>
      <c r="L567" s="6">
        <f>HYPERLINK("https://fin.land.naver.com/articles/2645464726", "매물Link")</f>
        <v/>
      </c>
      <c r="M567" s="6">
        <f>HYPERLINK("https://map.naver.com/p/search/세종특별자치시 금남면 장재리 185-4", "지도Link")</f>
        <v/>
      </c>
      <c r="N567" s="6">
        <f>HYPERLINK("http://www.eum.go.kr/web/ar/lu/luLandDet.jsp?pnu=3611034036101850004&amp;isNoScr=script&amp;mode=search", "토지이음")</f>
        <v/>
      </c>
      <c r="O567" s="3" t="inlineStr">
        <is>
          <t>강아지풀</t>
        </is>
      </c>
      <c r="P567" s="3" t="n">
        <v>1</v>
      </c>
      <c r="Q567" s="3" t="n">
        <v>965</v>
      </c>
      <c r="R567" s="3" t="inlineStr">
        <is>
          <t>지정되지않음</t>
        </is>
      </c>
      <c r="S567" s="3" t="inlineStr">
        <is>
          <t>과수원</t>
        </is>
      </c>
      <c r="T567" s="3" t="inlineStr">
        <is>
          <t>평지</t>
        </is>
      </c>
      <c r="U567" s="3" t="inlineStr">
        <is>
          <t>세로장방</t>
        </is>
      </c>
      <c r="V567" s="3" t="inlineStr">
        <is>
          <t>세로한면(가)</t>
        </is>
      </c>
    </row>
    <row r="568">
      <c r="A568" s="3" t="inlineStr">
        <is>
          <t>세종특별자치시 금남면 장재리 280</t>
        </is>
      </c>
      <c r="B568" s="3" t="inlineStr">
        <is>
          <t>개발제한구역</t>
        </is>
      </c>
      <c r="C568" s="3" t="inlineStr">
        <is>
          <t>전</t>
        </is>
      </c>
      <c r="D568" s="3" t="inlineStr">
        <is>
          <t>전</t>
        </is>
      </c>
      <c r="E568" s="3" t="inlineStr">
        <is>
          <t>매매</t>
        </is>
      </c>
      <c r="F568" s="4" t="n">
        <v>21500</v>
      </c>
      <c r="G568" s="4" t="n">
        <v>833</v>
      </c>
      <c r="H568" s="4" t="n">
        <v>252</v>
      </c>
      <c r="I568" s="5" t="n">
        <v>85.3</v>
      </c>
      <c r="J568" s="4" t="n">
        <v>49.1</v>
      </c>
      <c r="K568" s="3" t="inlineStr">
        <is>
          <t>세종시 3생활권 인접한 자연녹지 토지, 시세대비 저렴, 도로접</t>
        </is>
      </c>
      <c r="L568" s="6">
        <f>HYPERLINK("https://fin.land.naver.com/articles/2647624084", "매물Link")</f>
        <v/>
      </c>
      <c r="M568" s="6">
        <f>HYPERLINK("https://map.naver.com/p/search/세종특별자치시 금남면 장재리 280", "지도Link")</f>
        <v/>
      </c>
      <c r="N568" s="6">
        <f>HYPERLINK("http://www.eum.go.kr/web/ar/lu/luLandDet.jsp?pnu=3611034036102800000&amp;isNoScr=script&amp;mode=search", "토지이음")</f>
        <v/>
      </c>
      <c r="O568" s="3" t="inlineStr">
        <is>
          <t>스카이</t>
        </is>
      </c>
      <c r="P568" s="3" t="n">
        <v>1</v>
      </c>
      <c r="Q568" s="3" t="n">
        <v>833</v>
      </c>
      <c r="R568" s="3" t="inlineStr">
        <is>
          <t>지정되지않음</t>
        </is>
      </c>
      <c r="S568" s="3" t="inlineStr">
        <is>
          <t>전</t>
        </is>
      </c>
      <c r="T568" s="3" t="inlineStr">
        <is>
          <t>완경사</t>
        </is>
      </c>
      <c r="U568" s="3" t="inlineStr">
        <is>
          <t>부정형</t>
        </is>
      </c>
      <c r="V568" s="3" t="inlineStr">
        <is>
          <t>세로한면(가)</t>
        </is>
      </c>
    </row>
    <row r="569">
      <c r="A569" s="3" t="inlineStr">
        <is>
          <t>세종특별자치시 금남면 장재리 288</t>
        </is>
      </c>
      <c r="B569" s="3" t="inlineStr">
        <is>
          <t>개발제한구역</t>
        </is>
      </c>
      <c r="C569" s="3" t="inlineStr">
        <is>
          <t>전</t>
        </is>
      </c>
      <c r="D569" s="3" t="inlineStr">
        <is>
          <t>답</t>
        </is>
      </c>
      <c r="E569" s="3" t="inlineStr">
        <is>
          <t>매매</t>
        </is>
      </c>
      <c r="F569" s="4" t="n">
        <v>60000</v>
      </c>
      <c r="G569" s="4" t="n">
        <v>1974</v>
      </c>
      <c r="H569" s="4" t="n">
        <v>597</v>
      </c>
      <c r="I569" s="5" t="n">
        <v>100.5</v>
      </c>
      <c r="J569" s="4" t="n">
        <v>49.1</v>
      </c>
      <c r="K569" s="3" t="inlineStr">
        <is>
          <t>세종시 금남면 장재리 국제과학비즈니스벨트 인근 개발제한구역 농지</t>
        </is>
      </c>
      <c r="L569" s="6">
        <f>HYPERLINK("https://fin.land.naver.com/articles/2650048798", "매물Link")</f>
        <v/>
      </c>
      <c r="M569" s="6">
        <f>HYPERLINK("https://map.naver.com/p/search/세종특별자치시 금남면 장재리 288", "지도Link")</f>
        <v/>
      </c>
      <c r="N569" s="6">
        <f>HYPERLINK("http://www.eum.go.kr/web/ar/lu/luLandDet.jsp?pnu=3611034036102880000&amp;isNoScr=script&amp;mode=search", "토지이음")</f>
        <v/>
      </c>
      <c r="O569" s="3" t="inlineStr">
        <is>
          <t>하이엔드</t>
        </is>
      </c>
      <c r="P569" s="3" t="n">
        <v>2</v>
      </c>
      <c r="Q569" s="3" t="n">
        <v>1974</v>
      </c>
      <c r="R569" s="3" t="inlineStr">
        <is>
          <t>지정되지않음</t>
        </is>
      </c>
      <c r="S569" s="3" t="inlineStr">
        <is>
          <t>전</t>
        </is>
      </c>
      <c r="T569" s="3" t="inlineStr">
        <is>
          <t>완경사</t>
        </is>
      </c>
      <c r="U569" s="3" t="inlineStr">
        <is>
          <t>부정형</t>
        </is>
      </c>
      <c r="V569" s="3" t="inlineStr">
        <is>
          <t>세로한면(가)</t>
        </is>
      </c>
    </row>
    <row r="570">
      <c r="A570" s="3" t="inlineStr">
        <is>
          <t>세종특별자치시 금남면 장재리 305</t>
        </is>
      </c>
      <c r="B570" s="3" t="inlineStr">
        <is>
          <t>개발제한구역</t>
        </is>
      </c>
      <c r="C570" s="3" t="inlineStr">
        <is>
          <t>답</t>
        </is>
      </c>
      <c r="D570" s="3" t="inlineStr">
        <is>
          <t>답</t>
        </is>
      </c>
      <c r="E570" s="3" t="inlineStr">
        <is>
          <t>매매</t>
        </is>
      </c>
      <c r="F570" s="4" t="n">
        <v>112000</v>
      </c>
      <c r="G570" s="4" t="n">
        <v>3212</v>
      </c>
      <c r="H570" s="4" t="n">
        <v>972</v>
      </c>
      <c r="I570" s="5" t="n">
        <v>115.2</v>
      </c>
      <c r="J570" s="4" t="n">
        <v>67.90000000000001</v>
      </c>
      <c r="K570" s="3" t="inlineStr">
        <is>
          <t>추천,세종 신도시 위치한 귀한 토지,투자가치 높음. 관정설치,조율가능</t>
        </is>
      </c>
      <c r="L570" s="6">
        <f>HYPERLINK("https://fin.land.naver.com/articles/2649677040", "매물Link")</f>
        <v/>
      </c>
      <c r="M570" s="6">
        <f>HYPERLINK("https://map.naver.com/p/search/세종특별자치시 금남면 장재리 305", "지도Link")</f>
        <v/>
      </c>
      <c r="N570" s="6">
        <f>HYPERLINK("http://www.eum.go.kr/web/ar/lu/luLandDet.jsp?pnu=3611034036103050000&amp;isNoScr=script&amp;mode=search", "토지이음")</f>
        <v/>
      </c>
      <c r="O570" s="3" t="inlineStr">
        <is>
          <t>생생</t>
        </is>
      </c>
      <c r="P570" s="3" t="n">
        <v>2</v>
      </c>
      <c r="Q570" s="3" t="n">
        <v>3212</v>
      </c>
      <c r="R570" s="3" t="inlineStr">
        <is>
          <t>지정되지않음</t>
        </is>
      </c>
      <c r="S570" s="3" t="inlineStr">
        <is>
          <t>답</t>
        </is>
      </c>
      <c r="T570" s="3" t="inlineStr">
        <is>
          <t>평지</t>
        </is>
      </c>
      <c r="U570" s="3" t="inlineStr">
        <is>
          <t>부정형</t>
        </is>
      </c>
      <c r="V570" s="3" t="inlineStr">
        <is>
          <t>세로한면(가)</t>
        </is>
      </c>
    </row>
    <row r="571">
      <c r="A571" s="3" t="inlineStr">
        <is>
          <t>세종특별자치시 금남면 장재리 343</t>
        </is>
      </c>
      <c r="B571" s="3" t="inlineStr">
        <is>
          <t>자연녹지지역</t>
        </is>
      </c>
      <c r="C571" s="3" t="inlineStr">
        <is>
          <t>답</t>
        </is>
      </c>
      <c r="D571" s="3" t="inlineStr">
        <is>
          <t>답</t>
        </is>
      </c>
      <c r="E571" s="3" t="inlineStr">
        <is>
          <t>매매</t>
        </is>
      </c>
      <c r="F571" s="4" t="n">
        <v>21000</v>
      </c>
      <c r="G571" s="4" t="n">
        <v>208</v>
      </c>
      <c r="H571" s="4" t="n">
        <v>63</v>
      </c>
      <c r="I571" s="5" t="n">
        <v>333.3</v>
      </c>
      <c r="J571" s="4" t="n">
        <v>198.2</v>
      </c>
      <c r="K571" s="3" t="inlineStr">
        <is>
          <t>세종시 국제과학비즈니스벨트 예정지 인근 자연취락지구 주말농장용 소형 토지</t>
        </is>
      </c>
      <c r="L571" s="6">
        <f>HYPERLINK("https://fin.land.naver.com/articles/2645656403", "매물Link")</f>
        <v/>
      </c>
      <c r="M571" s="6">
        <f>HYPERLINK("https://map.naver.com/p/search/세종특별자치시 금남면 장재리 343", "지도Link")</f>
        <v/>
      </c>
      <c r="N571" s="6">
        <f>HYPERLINK("http://www.eum.go.kr/web/ar/lu/luLandDet.jsp?pnu=3611034036103430000&amp;isNoScr=script&amp;mode=search", "토지이음")</f>
        <v/>
      </c>
      <c r="O571" s="3" t="inlineStr">
        <is>
          <t>하이엔드</t>
        </is>
      </c>
      <c r="P571" s="3" t="n">
        <v>1</v>
      </c>
      <c r="Q571" s="3" t="n">
        <v>208</v>
      </c>
      <c r="R571" s="3" t="inlineStr">
        <is>
          <t>지정되지않음</t>
        </is>
      </c>
      <c r="S571" s="3" t="inlineStr">
        <is>
          <t>답</t>
        </is>
      </c>
      <c r="T571" s="3" t="inlineStr">
        <is>
          <t>평지</t>
        </is>
      </c>
      <c r="U571" s="3" t="inlineStr">
        <is>
          <t>부정형</t>
        </is>
      </c>
      <c r="V571" s="3" t="inlineStr">
        <is>
          <t>세로한면(가)</t>
        </is>
      </c>
    </row>
    <row r="572">
      <c r="A572" s="3" t="inlineStr">
        <is>
          <t>세종특별자치시 금남면 장재리 350-2</t>
        </is>
      </c>
      <c r="B572" s="3" t="inlineStr">
        <is>
          <t>자연녹지지역</t>
        </is>
      </c>
      <c r="C572" s="3" t="inlineStr">
        <is>
          <t>대</t>
        </is>
      </c>
      <c r="D572" s="3" t="inlineStr">
        <is>
          <t>대</t>
        </is>
      </c>
      <c r="E572" s="3" t="inlineStr">
        <is>
          <t>매매</t>
        </is>
      </c>
      <c r="F572" s="4" t="n">
        <v>380000</v>
      </c>
      <c r="G572" s="4" t="n">
        <v>487</v>
      </c>
      <c r="H572" s="4" t="n">
        <v>147</v>
      </c>
      <c r="I572" s="5" t="n">
        <v>2585</v>
      </c>
      <c r="J572" s="4" t="n">
        <v>518.7</v>
      </c>
      <c r="K572" s="3" t="inlineStr">
        <is>
          <t>도시지역, 위치좋은 토지  강추매매, 현2종근생 일반음식점등 운영중</t>
        </is>
      </c>
      <c r="L572" s="6">
        <f>HYPERLINK("https://fin.land.naver.com/articles/2646232204", "매물Link")</f>
        <v/>
      </c>
      <c r="M572" s="6">
        <f>HYPERLINK("https://map.naver.com/p/search/세종특별자치시 금남면 장재리 350-2", "지도Link")</f>
        <v/>
      </c>
      <c r="N572" s="6">
        <f>HYPERLINK("http://www.eum.go.kr/web/ar/lu/luLandDet.jsp?pnu=3611034036103500002&amp;isNoScr=script&amp;mode=search", "토지이음")</f>
        <v/>
      </c>
      <c r="O572" s="3" t="inlineStr">
        <is>
          <t>Home</t>
        </is>
      </c>
      <c r="P572" s="3" t="n">
        <v>1</v>
      </c>
      <c r="Q572" s="3" t="n">
        <v>487</v>
      </c>
      <c r="R572" s="3" t="inlineStr">
        <is>
          <t>지정되지않음</t>
        </is>
      </c>
      <c r="S572" s="3" t="inlineStr">
        <is>
          <t>상업용</t>
        </is>
      </c>
      <c r="T572" s="3" t="inlineStr">
        <is>
          <t>평지</t>
        </is>
      </c>
      <c r="U572" s="3" t="inlineStr">
        <is>
          <t>사다리형</t>
        </is>
      </c>
      <c r="V572" s="3" t="inlineStr">
        <is>
          <t>중로각지</t>
        </is>
      </c>
    </row>
    <row r="573">
      <c r="A573" s="3" t="inlineStr">
        <is>
          <t>세종특별자치시 금남면 장재리 354</t>
        </is>
      </c>
      <c r="B573" s="3" t="inlineStr">
        <is>
          <t>자연녹지지역</t>
        </is>
      </c>
      <c r="C573" s="3" t="inlineStr">
        <is>
          <t>답</t>
        </is>
      </c>
      <c r="D573" s="3" t="inlineStr">
        <is>
          <t>답</t>
        </is>
      </c>
      <c r="E573" s="3" t="inlineStr">
        <is>
          <t>매매</t>
        </is>
      </c>
      <c r="F573" s="4" t="n">
        <v>49500</v>
      </c>
      <c r="G573" s="4" t="n">
        <v>327</v>
      </c>
      <c r="H573" s="4" t="n">
        <v>99</v>
      </c>
      <c r="I573" s="5" t="n">
        <v>500</v>
      </c>
      <c r="J573" s="4" t="n">
        <v>208.2</v>
      </c>
      <c r="K573" s="3" t="inlineStr">
        <is>
          <t>nan</t>
        </is>
      </c>
      <c r="L573" s="6">
        <f>HYPERLINK("https://fin.land.naver.com/articles/2650047457", "매물Link")</f>
        <v/>
      </c>
      <c r="M573" s="6">
        <f>HYPERLINK("https://map.naver.com/p/search/세종특별자치시 금남면 장재리 354", "지도Link")</f>
        <v/>
      </c>
      <c r="N573" s="6">
        <f>HYPERLINK("http://www.eum.go.kr/web/ar/lu/luLandDet.jsp?pnu=3611034036103540000&amp;isNoScr=script&amp;mode=search", "토지이음")</f>
        <v/>
      </c>
      <c r="O573" s="3" t="inlineStr">
        <is>
          <t>하이엔드</t>
        </is>
      </c>
      <c r="P573" s="3" t="n">
        <v>2</v>
      </c>
      <c r="Q573" s="3" t="n">
        <v>327</v>
      </c>
      <c r="R573" s="3" t="inlineStr">
        <is>
          <t>지정되지않음</t>
        </is>
      </c>
      <c r="S573" s="3" t="inlineStr">
        <is>
          <t>답</t>
        </is>
      </c>
      <c r="T573" s="3" t="inlineStr">
        <is>
          <t>평지</t>
        </is>
      </c>
      <c r="U573" s="3" t="inlineStr">
        <is>
          <t>사다리형</t>
        </is>
      </c>
      <c r="V573" s="3" t="inlineStr">
        <is>
          <t>세로한면(가)</t>
        </is>
      </c>
    </row>
    <row r="574">
      <c r="A574" s="3" t="inlineStr">
        <is>
          <t>세종특별자치시 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HYPERLINK("https://map.naver.com/p/search/세종특별자치시 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세종특별자치시 금남면 장재리 373</t>
        </is>
      </c>
      <c r="B575" s="3" t="inlineStr">
        <is>
          <t>자연녹지지역</t>
        </is>
      </c>
      <c r="C575" s="3" t="inlineStr">
        <is>
          <t>전</t>
        </is>
      </c>
      <c r="D575" s="3" t="inlineStr">
        <is>
          <t>전</t>
        </is>
      </c>
      <c r="E575" s="3" t="inlineStr">
        <is>
          <t>매매</t>
        </is>
      </c>
      <c r="F575" s="4" t="n">
        <v>80000</v>
      </c>
      <c r="G575" s="4" t="n">
        <v>664</v>
      </c>
      <c r="H575" s="4" t="n">
        <v>201</v>
      </c>
      <c r="I575" s="5" t="n">
        <v>398</v>
      </c>
      <c r="J575" s="4" t="n">
        <v>189.8</v>
      </c>
      <c r="K575" s="3" t="inlineStr">
        <is>
          <t>급. 금남면 건축가능 토지</t>
        </is>
      </c>
      <c r="L575" s="6">
        <f>HYPERLINK("https://fin.land.naver.com/articles/2645465673", "매물Link")</f>
        <v/>
      </c>
      <c r="M575" s="6">
        <f>HYPERLINK("https://map.naver.com/p/search/세종특별자치시 금남면 장재리 373", "지도Link")</f>
        <v/>
      </c>
      <c r="N575" s="6">
        <f>HYPERLINK("http://www.eum.go.kr/web/ar/lu/luLandDet.jsp?pnu=3611034036103730000&amp;isNoScr=script&amp;mode=search", "토지이음")</f>
        <v/>
      </c>
      <c r="O575" s="3" t="inlineStr">
        <is>
          <t>강아지풀</t>
        </is>
      </c>
      <c r="P575" s="3" t="n">
        <v>1</v>
      </c>
      <c r="Q575" s="3" t="n">
        <v>664</v>
      </c>
      <c r="R575" s="3" t="inlineStr">
        <is>
          <t>지정되지않음</t>
        </is>
      </c>
      <c r="S575" s="3" t="inlineStr">
        <is>
          <t>전</t>
        </is>
      </c>
      <c r="T575" s="3" t="inlineStr">
        <is>
          <t>평지</t>
        </is>
      </c>
      <c r="U575" s="3" t="inlineStr">
        <is>
          <t>부정형</t>
        </is>
      </c>
      <c r="V575" s="3" t="inlineStr">
        <is>
          <t>세로한면(가)</t>
        </is>
      </c>
    </row>
    <row r="576">
      <c r="A576" s="3" t="inlineStr">
        <is>
          <t>세종특별자치시 금남면 장재리 95-2</t>
        </is>
      </c>
      <c r="B576" s="3" t="inlineStr">
        <is>
          <t>개발제한구역</t>
        </is>
      </c>
      <c r="C576" s="3" t="inlineStr">
        <is>
          <t>전</t>
        </is>
      </c>
      <c r="D576" s="3" t="inlineStr">
        <is>
          <t>전</t>
        </is>
      </c>
      <c r="E576" s="3" t="inlineStr">
        <is>
          <t>매매</t>
        </is>
      </c>
      <c r="F576" s="4" t="n">
        <v>130000</v>
      </c>
      <c r="G576" s="4" t="n">
        <v>1043</v>
      </c>
      <c r="H576" s="4" t="n">
        <v>316</v>
      </c>
      <c r="I576" s="5" t="n">
        <v>411.4</v>
      </c>
      <c r="J576" s="4" t="n">
        <v>67.3</v>
      </c>
      <c r="K576" s="3" t="inlineStr">
        <is>
          <t>가격조정가.도로접.세종명성교회뒷편.개발제한구역.자연녹지,장기투자용도</t>
        </is>
      </c>
      <c r="L576" s="6">
        <f>HYPERLINK("https://fin.land.naver.com/articles/2647229563", "매물Link")</f>
        <v/>
      </c>
      <c r="M576" s="6">
        <f>HYPERLINK("https://map.naver.com/p/search/세종특별자치시 금남면 장재리 95-2", "지도Link")</f>
        <v/>
      </c>
      <c r="N576" s="6">
        <f>HYPERLINK("http://www.eum.go.kr/web/ar/lu/luLandDet.jsp?pnu=3611034036100950002&amp;isNoScr=script&amp;mode=search", "토지이음")</f>
        <v/>
      </c>
      <c r="O576" s="3" t="inlineStr">
        <is>
          <t>돈방석</t>
        </is>
      </c>
      <c r="P576" s="3" t="n">
        <v>1</v>
      </c>
      <c r="Q576" s="3" t="n">
        <v>1043</v>
      </c>
      <c r="R576" s="3" t="inlineStr">
        <is>
          <t>지정되지않음</t>
        </is>
      </c>
      <c r="S576" s="3" t="inlineStr">
        <is>
          <t>전</t>
        </is>
      </c>
      <c r="T576" s="3" t="inlineStr">
        <is>
          <t>평지</t>
        </is>
      </c>
      <c r="U576" s="3" t="inlineStr">
        <is>
          <t>부정형</t>
        </is>
      </c>
      <c r="V576" s="3" t="inlineStr">
        <is>
          <t>소로한면</t>
        </is>
      </c>
    </row>
    <row r="577">
      <c r="A577" s="3" t="inlineStr">
        <is>
          <t>세종특별자치시 금남면 축산리 127-2</t>
        </is>
      </c>
      <c r="B577" s="3" t="inlineStr">
        <is>
          <t>개발제한구역</t>
        </is>
      </c>
      <c r="C577" s="3" t="inlineStr">
        <is>
          <t>답</t>
        </is>
      </c>
      <c r="D577" s="3" t="inlineStr">
        <is>
          <t>답</t>
        </is>
      </c>
      <c r="E577" s="3" t="inlineStr">
        <is>
          <t>매매</t>
        </is>
      </c>
      <c r="F577" s="4" t="n">
        <v>100000</v>
      </c>
      <c r="G577" s="4" t="n">
        <v>1673</v>
      </c>
      <c r="H577" s="4" t="n">
        <v>506</v>
      </c>
      <c r="I577" s="5" t="n">
        <v>197.6</v>
      </c>
      <c r="J577" s="4" t="n">
        <v>43.4</v>
      </c>
      <c r="K577" s="3" t="inlineStr">
        <is>
          <t>포장도로 접한 모양 좋은 토지. 하우스 컨테이너 등 시설 포함</t>
        </is>
      </c>
      <c r="L577" s="6">
        <f>HYPERLINK("https://fin.land.naver.com/articles/2649784579", "매물Link")</f>
        <v/>
      </c>
      <c r="M577" s="6">
        <f>HYPERLINK("https://map.naver.com/p/search/세종특별자치시 금남면 축산리 127-2", "지도Link")</f>
        <v/>
      </c>
      <c r="N577" s="6">
        <f>HYPERLINK("http://www.eum.go.kr/web/ar/lu/luLandDet.jsp?pnu=3611034026101270002&amp;isNoScr=script&amp;mode=search", "토지이음")</f>
        <v/>
      </c>
      <c r="O577" s="3" t="inlineStr">
        <is>
          <t>허브</t>
        </is>
      </c>
      <c r="P577" s="3" t="n">
        <v>1</v>
      </c>
      <c r="Q577" s="3" t="n">
        <v>1635</v>
      </c>
      <c r="R577" s="3" t="inlineStr">
        <is>
          <t>지정되지않음</t>
        </is>
      </c>
      <c r="S577" s="3" t="inlineStr">
        <is>
          <t>전</t>
        </is>
      </c>
      <c r="T577" s="3" t="inlineStr">
        <is>
          <t>평지</t>
        </is>
      </c>
      <c r="U577" s="3" t="inlineStr">
        <is>
          <t>사다리형</t>
        </is>
      </c>
      <c r="V577" s="3" t="inlineStr">
        <is>
          <t>소로한면</t>
        </is>
      </c>
    </row>
    <row r="578">
      <c r="A578" s="3" t="inlineStr">
        <is>
          <t>세종특별자치시 금남면 축산리 186</t>
        </is>
      </c>
      <c r="B578" s="3" t="inlineStr">
        <is>
          <t>자연녹지지역</t>
        </is>
      </c>
      <c r="C578" s="3" t="inlineStr">
        <is>
          <t>대</t>
        </is>
      </c>
      <c r="D578" s="3" t="inlineStr">
        <is>
          <t>대</t>
        </is>
      </c>
      <c r="E578" s="3" t="inlineStr">
        <is>
          <t>매매</t>
        </is>
      </c>
      <c r="F578" s="4" t="n">
        <v>83000</v>
      </c>
      <c r="G578" s="4" t="n">
        <v>1769</v>
      </c>
      <c r="H578" s="4" t="n">
        <v>535</v>
      </c>
      <c r="I578" s="5" t="n">
        <v>155.1</v>
      </c>
      <c r="J578" s="4" t="n">
        <v>103.3</v>
      </c>
      <c r="K578" s="3" t="inlineStr">
        <is>
          <t>대지이며 전도 있고 전통찻집및 토속음식점으로 적격함.</t>
        </is>
      </c>
      <c r="L578" s="6">
        <f>HYPERLINK("https://fin.land.naver.com/articles/2648554761", "매물Link")</f>
        <v/>
      </c>
      <c r="M578" s="6">
        <f>HYPERLINK("https://map.naver.com/p/search/세종특별자치시 금남면 축산리 186", "지도Link")</f>
        <v/>
      </c>
      <c r="N578" s="6">
        <f>HYPERLINK("http://www.eum.go.kr/web/ar/lu/luLandDet.jsp?pnu=3611034026101860000&amp;isNoScr=script&amp;mode=search", "토지이음")</f>
        <v/>
      </c>
      <c r="O578" s="3" t="inlineStr">
        <is>
          <t>세종리츠</t>
        </is>
      </c>
      <c r="P578" s="3" t="n">
        <v>1</v>
      </c>
      <c r="Q578" s="3" t="n">
        <v>417</v>
      </c>
      <c r="R578" s="3" t="inlineStr">
        <is>
          <t>지정되지않음</t>
        </is>
      </c>
      <c r="S578" s="3" t="inlineStr">
        <is>
          <t>단독</t>
        </is>
      </c>
      <c r="T578" s="3" t="inlineStr">
        <is>
          <t>완경사</t>
        </is>
      </c>
      <c r="U578" s="3" t="inlineStr">
        <is>
          <t>부정형</t>
        </is>
      </c>
      <c r="V578" s="3" t="inlineStr">
        <is>
          <t>세로한면(가)</t>
        </is>
      </c>
    </row>
    <row r="579">
      <c r="A579" s="3" t="inlineStr">
        <is>
          <t>세종특별자치시 금남면 축산리 188</t>
        </is>
      </c>
      <c r="B579" s="3" t="inlineStr">
        <is>
          <t>자연녹지지역</t>
        </is>
      </c>
      <c r="C579" s="3" t="inlineStr">
        <is>
          <t>대</t>
        </is>
      </c>
      <c r="D579" s="3" t="inlineStr">
        <is>
          <t>대</t>
        </is>
      </c>
      <c r="E579" s="3" t="inlineStr">
        <is>
          <t>매매</t>
        </is>
      </c>
      <c r="F579" s="4" t="n">
        <v>90000</v>
      </c>
      <c r="G579" s="4" t="n">
        <v>1769</v>
      </c>
      <c r="H579" s="4" t="n">
        <v>535</v>
      </c>
      <c r="I579" s="5" t="n">
        <v>168.2</v>
      </c>
      <c r="J579" s="4" t="n">
        <v>103.3</v>
      </c>
      <c r="K579" s="3" t="inlineStr">
        <is>
          <t>녹지지역 내 취락지구 입니다. 세종시 완전 저렴한 대지입니다.급매</t>
        </is>
      </c>
      <c r="L579" s="6">
        <f>HYPERLINK("https://fin.land.naver.com/articles/2647838344", "매물Link")</f>
        <v/>
      </c>
      <c r="M579" s="6">
        <f>HYPERLINK("https://map.naver.com/p/search/세종특별자치시 금남면 축산리 188", "지도Link")</f>
        <v/>
      </c>
      <c r="N579" s="6">
        <f>HYPERLINK("http://www.eum.go.kr/web/ar/lu/luLandDet.jsp?pnu=3611034026101880000&amp;isNoScr=script&amp;mode=search", "토지이음")</f>
        <v/>
      </c>
      <c r="O579" s="3" t="inlineStr">
        <is>
          <t>대박</t>
        </is>
      </c>
      <c r="P579" s="3" t="n">
        <v>1</v>
      </c>
      <c r="Q579" s="3" t="n">
        <v>721</v>
      </c>
      <c r="R579" s="3" t="inlineStr">
        <is>
          <t>지정되지않음</t>
        </is>
      </c>
      <c r="S579" s="3" t="inlineStr">
        <is>
          <t>주거나지</t>
        </is>
      </c>
      <c r="T579" s="3" t="inlineStr">
        <is>
          <t>완경사</t>
        </is>
      </c>
      <c r="U579" s="3" t="inlineStr">
        <is>
          <t>부정형</t>
        </is>
      </c>
      <c r="V579" s="3" t="inlineStr">
        <is>
          <t>세로한면(가)</t>
        </is>
      </c>
    </row>
    <row r="580">
      <c r="A580" s="3" t="inlineStr">
        <is>
          <t>세종특별자치시 금남면 축산리 239</t>
        </is>
      </c>
      <c r="B580" s="3" t="inlineStr">
        <is>
          <t>개발제한구역</t>
        </is>
      </c>
      <c r="C580" s="3" t="inlineStr">
        <is>
          <t>전</t>
        </is>
      </c>
      <c r="D580" s="3" t="inlineStr">
        <is>
          <t>전</t>
        </is>
      </c>
      <c r="E580" s="3" t="inlineStr">
        <is>
          <t>매매</t>
        </is>
      </c>
      <c r="F580" s="4" t="n">
        <v>29000</v>
      </c>
      <c r="G580" s="4" t="n">
        <v>1174</v>
      </c>
      <c r="H580" s="4" t="n">
        <v>355</v>
      </c>
      <c r="I580" s="5" t="n">
        <v>81.7</v>
      </c>
      <c r="J580" s="4" t="n">
        <v>25.2</v>
      </c>
      <c r="K580" s="3" t="inlineStr">
        <is>
          <t>세종도심 가까운 시원한 전망 토지</t>
        </is>
      </c>
      <c r="L580" s="6">
        <f>HYPERLINK("https://fin.land.naver.com/articles/2644609345", "매물Link")</f>
        <v/>
      </c>
      <c r="M580" s="6">
        <f>HYPERLINK("https://map.naver.com/p/search/세종특별자치시 금남면 축산리 239", "지도Link")</f>
        <v/>
      </c>
      <c r="N580" s="6">
        <f>HYPERLINK("http://www.eum.go.kr/web/ar/lu/luLandDet.jsp?pnu=3611034026102390000&amp;isNoScr=script&amp;mode=search", "토지이음")</f>
        <v/>
      </c>
      <c r="O580" s="3" t="inlineStr">
        <is>
          <t>하늘채</t>
        </is>
      </c>
      <c r="P580" s="3" t="n">
        <v>1</v>
      </c>
      <c r="Q580" s="3" t="n">
        <v>1174</v>
      </c>
      <c r="R580" s="3" t="inlineStr">
        <is>
          <t>지정되지않음</t>
        </is>
      </c>
      <c r="S580" s="3" t="inlineStr">
        <is>
          <t>전</t>
        </is>
      </c>
      <c r="T580" s="3" t="inlineStr">
        <is>
          <t>완경사</t>
        </is>
      </c>
      <c r="U580" s="3" t="inlineStr">
        <is>
          <t>부정형</t>
        </is>
      </c>
      <c r="V580" s="3" t="inlineStr">
        <is>
          <t>맹지</t>
        </is>
      </c>
    </row>
    <row r="581">
      <c r="A581" s="3" t="inlineStr">
        <is>
          <t>세종특별자치시 금남면 축산리 487</t>
        </is>
      </c>
      <c r="B581" s="3" t="inlineStr">
        <is>
          <t>개발제한구역</t>
        </is>
      </c>
      <c r="C581" s="3" t="inlineStr">
        <is>
          <t>전</t>
        </is>
      </c>
      <c r="D581" s="3" t="inlineStr">
        <is>
          <t>전</t>
        </is>
      </c>
      <c r="E581" s="3" t="inlineStr">
        <is>
          <t>매매</t>
        </is>
      </c>
      <c r="F581" s="4" t="n">
        <v>35000</v>
      </c>
      <c r="G581" s="4" t="n">
        <v>1402</v>
      </c>
      <c r="H581" s="4" t="n">
        <v>424</v>
      </c>
      <c r="I581" s="5" t="n">
        <v>82.5</v>
      </c>
      <c r="J581" s="4" t="n">
        <v>20.2</v>
      </c>
      <c r="K581" s="3" t="inlineStr">
        <is>
          <t>세종시 도심과 가까운 농막 농장용 토지</t>
        </is>
      </c>
      <c r="L581" s="6">
        <f>HYPERLINK("https://fin.land.naver.com/articles/2644609475", "매물Link")</f>
        <v/>
      </c>
      <c r="M581" s="6">
        <f>HYPERLINK("https://map.naver.com/p/search/세종특별자치시 금남면 축산리 487", "지도Link")</f>
        <v/>
      </c>
      <c r="N581" s="6">
        <f>HYPERLINK("http://www.eum.go.kr/web/ar/lu/luLandDet.jsp?pnu=3611034026104870000&amp;isNoScr=script&amp;mode=search", "토지이음")</f>
        <v/>
      </c>
      <c r="O581" s="3" t="inlineStr">
        <is>
          <t>하늘채</t>
        </is>
      </c>
      <c r="P581" s="3" t="n">
        <v>1</v>
      </c>
      <c r="Q581" s="3" t="n">
        <v>1402</v>
      </c>
      <c r="R581" s="3" t="inlineStr">
        <is>
          <t>지정되지않음</t>
        </is>
      </c>
      <c r="S581" s="3" t="inlineStr">
        <is>
          <t>전</t>
        </is>
      </c>
      <c r="T581" s="3" t="inlineStr">
        <is>
          <t>완경사</t>
        </is>
      </c>
      <c r="U581" s="3" t="inlineStr">
        <is>
          <t>부정형</t>
        </is>
      </c>
      <c r="V581" s="3" t="inlineStr">
        <is>
          <t>세로한면(가)</t>
        </is>
      </c>
    </row>
    <row r="582">
      <c r="A582" s="3" t="inlineStr">
        <is>
          <t>세종특별자치시 금남면 축산리 538-1</t>
        </is>
      </c>
      <c r="B582" s="3" t="inlineStr">
        <is>
          <t>개발제한구역</t>
        </is>
      </c>
      <c r="C582" s="3" t="inlineStr">
        <is>
          <t>답</t>
        </is>
      </c>
      <c r="D582" s="3" t="inlineStr">
        <is>
          <t>답</t>
        </is>
      </c>
      <c r="E582" s="3" t="inlineStr">
        <is>
          <t>매매</t>
        </is>
      </c>
      <c r="F582" s="4" t="n">
        <v>33000</v>
      </c>
      <c r="G582" s="4" t="n">
        <v>1200</v>
      </c>
      <c r="H582" s="4" t="n">
        <v>363</v>
      </c>
      <c r="I582" s="5" t="n">
        <v>90.90000000000001</v>
      </c>
      <c r="J582" s="4" t="n">
        <v>31.7</v>
      </c>
      <c r="K582" s="3" t="inlineStr">
        <is>
          <t>세종,대전 접근성좋은 토지</t>
        </is>
      </c>
      <c r="L582" s="6">
        <f>HYPERLINK("https://fin.land.naver.com/articles/2647278728", "매물Link")</f>
        <v/>
      </c>
      <c r="M582" s="6">
        <f>HYPERLINK("https://map.naver.com/p/search/세종특별자치시 금남면 축산리 538-1", "지도Link")</f>
        <v/>
      </c>
      <c r="N582" s="6">
        <f>HYPERLINK("http://www.eum.go.kr/web/ar/lu/luLandDet.jsp?pnu=3611034026105380001&amp;isNoScr=script&amp;mode=search", "토지이음")</f>
        <v/>
      </c>
      <c r="O582" s="3" t="inlineStr">
        <is>
          <t>가치잇는</t>
        </is>
      </c>
      <c r="P582" s="3" t="n">
        <v>1</v>
      </c>
      <c r="Q582" s="3" t="n">
        <v>1200</v>
      </c>
      <c r="R582" s="3" t="inlineStr">
        <is>
          <t>지정되지않음</t>
        </is>
      </c>
      <c r="S582" s="3" t="inlineStr">
        <is>
          <t>답</t>
        </is>
      </c>
      <c r="T582" s="3" t="inlineStr">
        <is>
          <t>평지</t>
        </is>
      </c>
      <c r="U582" s="3" t="inlineStr">
        <is>
          <t>부정형</t>
        </is>
      </c>
      <c r="V582" s="3" t="inlineStr">
        <is>
          <t>세로한면(불)</t>
        </is>
      </c>
    </row>
    <row r="583">
      <c r="A583" s="3" t="inlineStr">
        <is>
          <t>세종특별자치시 금남면 축산리 566-9</t>
        </is>
      </c>
      <c r="B583" s="3" t="inlineStr">
        <is>
          <t>개발제한구역</t>
        </is>
      </c>
      <c r="C583" s="3" t="inlineStr">
        <is>
          <t>창고용지</t>
        </is>
      </c>
      <c r="D583" s="3" t="inlineStr">
        <is>
          <t>창고용지</t>
        </is>
      </c>
      <c r="E583" s="3" t="inlineStr">
        <is>
          <t>매매</t>
        </is>
      </c>
      <c r="F583" s="4" t="n">
        <v>120000</v>
      </c>
      <c r="G583" s="4" t="n">
        <v>2140</v>
      </c>
      <c r="H583" s="4" t="n">
        <v>647</v>
      </c>
      <c r="I583" s="5" t="n">
        <v>185.5</v>
      </c>
      <c r="J583" s="4" t="n">
        <v>43.7</v>
      </c>
      <c r="K583" s="3" t="inlineStr">
        <is>
          <t>카페 바베큐식당  토지 및 건물 매매 건</t>
        </is>
      </c>
      <c r="L583" s="6">
        <f>HYPERLINK("https://fin.land.naver.com/articles/2648669700", "매물Link")</f>
        <v/>
      </c>
      <c r="M583" s="6">
        <f>HYPERLINK("https://map.naver.com/p/search/세종특별자치시 금남면 축산리 566-9", "지도Link")</f>
        <v/>
      </c>
      <c r="N583" s="6">
        <f>HYPERLINK("http://www.eum.go.kr/web/ar/lu/luLandDet.jsp?pnu=3611034026105660009&amp;isNoScr=script&amp;mode=search", "토지이음")</f>
        <v/>
      </c>
      <c r="O583" s="3" t="inlineStr">
        <is>
          <t>봉담내리지구찐</t>
        </is>
      </c>
      <c r="P583" s="3" t="n">
        <v>1</v>
      </c>
      <c r="Q583" s="3" t="n">
        <v>451</v>
      </c>
      <c r="R583" s="3" t="inlineStr">
        <is>
          <t>지정되지않음</t>
        </is>
      </c>
      <c r="S583" s="3" t="inlineStr">
        <is>
          <t>전창고</t>
        </is>
      </c>
      <c r="T583" s="3" t="inlineStr">
        <is>
          <t>평지</t>
        </is>
      </c>
      <c r="U583" s="3" t="inlineStr">
        <is>
          <t>부정형</t>
        </is>
      </c>
      <c r="V583" s="3" t="inlineStr">
        <is>
          <t>세로한면(가)</t>
        </is>
      </c>
    </row>
    <row r="584">
      <c r="A584" s="3" t="inlineStr">
        <is>
          <t>세종특별자치시 금남면 축산리 86-4</t>
        </is>
      </c>
      <c r="B584" s="3" t="inlineStr">
        <is>
          <t>개발제한구역</t>
        </is>
      </c>
      <c r="C584" s="3" t="inlineStr">
        <is>
          <t>전</t>
        </is>
      </c>
      <c r="D584" s="3" t="inlineStr">
        <is>
          <t>전</t>
        </is>
      </c>
      <c r="E584" s="3" t="inlineStr">
        <is>
          <t>매매</t>
        </is>
      </c>
      <c r="F584" s="4" t="n">
        <v>70000</v>
      </c>
      <c r="G584" s="4" t="n">
        <v>1477</v>
      </c>
      <c r="H584" s="4" t="n">
        <v>447</v>
      </c>
      <c r="I584" s="5" t="n">
        <v>156.6</v>
      </c>
      <c r="J584" s="4" t="n">
        <v>37.2</v>
      </c>
      <c r="K584" s="3" t="inlineStr">
        <is>
          <t>마을입구 마을회관 앞 광장에 접함, 전원주택 등 추천</t>
        </is>
      </c>
      <c r="L584" s="6">
        <f>HYPERLINK("https://fin.land.naver.com/articles/2644482167", "매물Link")</f>
        <v/>
      </c>
      <c r="M584" s="6">
        <f>HYPERLINK("https://map.naver.com/p/search/세종특별자치시 금남면 축산리 86-4", "지도Link")</f>
        <v/>
      </c>
      <c r="N584" s="6">
        <f>HYPERLINK("http://www.eum.go.kr/web/ar/lu/luLandDet.jsp?pnu=3611034026100860004&amp;isNoScr=script&amp;mode=search", "토지이음")</f>
        <v/>
      </c>
      <c r="O584" s="3" t="inlineStr">
        <is>
          <t>세종나라</t>
        </is>
      </c>
      <c r="P584" s="3" t="n">
        <v>1</v>
      </c>
      <c r="Q584" s="3" t="n">
        <v>736</v>
      </c>
      <c r="R584" s="3" t="inlineStr">
        <is>
          <t>자연녹지지역</t>
        </is>
      </c>
      <c r="S584" s="3" t="inlineStr">
        <is>
          <t>전</t>
        </is>
      </c>
      <c r="T584" s="3" t="inlineStr">
        <is>
          <t>평지</t>
        </is>
      </c>
      <c r="U584" s="3" t="inlineStr">
        <is>
          <t>부정형</t>
        </is>
      </c>
      <c r="V584" s="3" t="inlineStr">
        <is>
          <t>세로한면(가)</t>
        </is>
      </c>
    </row>
    <row r="585">
      <c r="A585" s="3" t="inlineStr">
        <is>
          <t>세종특별자치시 금남면 호탄리 122</t>
        </is>
      </c>
      <c r="B585" s="3" t="inlineStr">
        <is>
          <t>제1종일반주거지역</t>
        </is>
      </c>
      <c r="C585" s="3" t="inlineStr">
        <is>
          <t>대</t>
        </is>
      </c>
      <c r="D585" s="3" t="inlineStr">
        <is>
          <t>대</t>
        </is>
      </c>
      <c r="E585" s="3" t="inlineStr">
        <is>
          <t>매매</t>
        </is>
      </c>
      <c r="F585" s="4" t="n">
        <v>150000</v>
      </c>
      <c r="G585" s="4" t="n">
        <v>952</v>
      </c>
      <c r="H585" s="4" t="n">
        <v>288</v>
      </c>
      <c r="I585" s="5" t="n">
        <v>520.8</v>
      </c>
      <c r="J585" s="4" t="n">
        <v>239.6</v>
      </c>
      <c r="K585" s="3" t="inlineStr">
        <is>
          <t>세종의 숨은 노른자 호탄리 건축 가능 대지</t>
        </is>
      </c>
      <c r="L585" s="6">
        <f>HYPERLINK("https://fin.land.naver.com/articles/2646718259", "매물Link")</f>
        <v/>
      </c>
      <c r="M585" s="6">
        <f>HYPERLINK("https://map.naver.com/p/search/세종특별자치시 금남면 호탄리 122", "지도Link")</f>
        <v/>
      </c>
      <c r="N585" s="6">
        <f>HYPERLINK("http://www.eum.go.kr/web/ar/lu/luLandDet.jsp?pnu=3611034037101220000&amp;isNoScr=script&amp;mode=search", "토지이음")</f>
        <v/>
      </c>
      <c r="O585" s="3" t="inlineStr">
        <is>
          <t>삼복</t>
        </is>
      </c>
      <c r="P585" s="3" t="n">
        <v>1</v>
      </c>
      <c r="Q585" s="3" t="n">
        <v>572</v>
      </c>
      <c r="R585" s="3" t="inlineStr">
        <is>
          <t>지정되지않음</t>
        </is>
      </c>
      <c r="S585" s="3" t="inlineStr">
        <is>
          <t>단독</t>
        </is>
      </c>
      <c r="T585" s="3" t="inlineStr">
        <is>
          <t>평지</t>
        </is>
      </c>
      <c r="U585" s="3" t="inlineStr">
        <is>
          <t>부정형</t>
        </is>
      </c>
      <c r="V585" s="3" t="inlineStr">
        <is>
          <t>세로한면(가)</t>
        </is>
      </c>
    </row>
    <row r="586">
      <c r="A586" s="3" t="inlineStr">
        <is>
          <t>세종특별자치시 금남면 호탄리 135</t>
        </is>
      </c>
      <c r="B586" s="3" t="inlineStr">
        <is>
          <t>제1종일반주거지역</t>
        </is>
      </c>
      <c r="C586" s="3" t="inlineStr">
        <is>
          <t>답</t>
        </is>
      </c>
      <c r="D586" s="3" t="inlineStr">
        <is>
          <t>답</t>
        </is>
      </c>
      <c r="E586" s="3" t="inlineStr">
        <is>
          <t>매매</t>
        </is>
      </c>
      <c r="F586" s="4" t="n">
        <v>385000</v>
      </c>
      <c r="G586" s="4" t="n">
        <v>1701</v>
      </c>
      <c r="H586" s="4" t="n">
        <v>515</v>
      </c>
      <c r="I586" s="5" t="n">
        <v>747.6</v>
      </c>
      <c r="J586" s="4" t="n">
        <v>361.7</v>
      </c>
      <c r="K586" s="3" t="inlineStr">
        <is>
          <t>금남면 호탄리 도로 옆 바로 접해있는 1종일반주거 토지, 3생활권 인근</t>
        </is>
      </c>
      <c r="L586" s="6">
        <f>HYPERLINK("https://fin.land.naver.com/articles/2647628728", "매물Link")</f>
        <v/>
      </c>
      <c r="M586" s="6">
        <f>HYPERLINK("https://map.naver.com/p/search/세종특별자치시 금남면 호탄리 135", "지도Link")</f>
        <v/>
      </c>
      <c r="N586" s="6">
        <f>HYPERLINK("http://www.eum.go.kr/web/ar/lu/luLandDet.jsp?pnu=3611034037101350000&amp;isNoScr=script&amp;mode=search", "토지이음")</f>
        <v/>
      </c>
      <c r="O586" s="3" t="inlineStr">
        <is>
          <t>스카이</t>
        </is>
      </c>
      <c r="P586" s="3" t="n">
        <v>2</v>
      </c>
      <c r="Q586" s="3" t="n">
        <v>1701</v>
      </c>
      <c r="R586" s="3" t="inlineStr">
        <is>
          <t>지정되지않음</t>
        </is>
      </c>
      <c r="S586" s="3" t="inlineStr">
        <is>
          <t>답</t>
        </is>
      </c>
      <c r="T586" s="3" t="inlineStr">
        <is>
          <t>평지</t>
        </is>
      </c>
      <c r="U586" s="3" t="inlineStr">
        <is>
          <t>부정형</t>
        </is>
      </c>
      <c r="V586" s="3" t="inlineStr">
        <is>
          <t>소로한면</t>
        </is>
      </c>
    </row>
    <row r="587">
      <c r="A587" s="3" t="inlineStr">
        <is>
          <t>세종특별자치시 금남면 호탄리 152-7</t>
        </is>
      </c>
      <c r="B587" s="3" t="inlineStr">
        <is>
          <t>제1종일반주거지역</t>
        </is>
      </c>
      <c r="C587" s="3" t="inlineStr">
        <is>
          <t>답</t>
        </is>
      </c>
      <c r="D587" s="3" t="inlineStr">
        <is>
          <t>답</t>
        </is>
      </c>
      <c r="E587" s="3" t="inlineStr">
        <is>
          <t>매매</t>
        </is>
      </c>
      <c r="F587" s="4" t="n">
        <v>295000</v>
      </c>
      <c r="G587" s="4" t="n">
        <v>1157</v>
      </c>
      <c r="H587" s="4" t="n">
        <v>350</v>
      </c>
      <c r="I587" s="5" t="n">
        <v>842.9</v>
      </c>
      <c r="J587" s="4" t="n">
        <v>380.8</v>
      </c>
      <c r="K587" s="3" t="inlineStr">
        <is>
          <t>추천. 호탄리 좋은 땅</t>
        </is>
      </c>
      <c r="L587" s="6">
        <f>HYPERLINK("https://fin.land.naver.com/articles/2645464813", "매물Link")</f>
        <v/>
      </c>
      <c r="M587" s="6">
        <f>HYPERLINK("https://map.naver.com/p/search/세종특별자치시 금남면 호탄리 152-7", "지도Link")</f>
        <v/>
      </c>
      <c r="N587" s="6">
        <f>HYPERLINK("http://www.eum.go.kr/web/ar/lu/luLandDet.jsp?pnu=3611034037101520007&amp;isNoScr=script&amp;mode=search", "토지이음")</f>
        <v/>
      </c>
      <c r="O587" s="3" t="inlineStr">
        <is>
          <t>강아지풀</t>
        </is>
      </c>
      <c r="P587" s="3" t="n">
        <v>3</v>
      </c>
      <c r="Q587" s="3" t="n">
        <v>1157</v>
      </c>
      <c r="R587" s="3" t="inlineStr">
        <is>
          <t>지정되지않음</t>
        </is>
      </c>
      <c r="S587" s="3" t="inlineStr">
        <is>
          <t>과수원</t>
        </is>
      </c>
      <c r="T587" s="3" t="inlineStr">
        <is>
          <t>평지</t>
        </is>
      </c>
      <c r="U587" s="3" t="inlineStr">
        <is>
          <t>사다리형</t>
        </is>
      </c>
      <c r="V587" s="3" t="inlineStr">
        <is>
          <t>소로한면</t>
        </is>
      </c>
    </row>
    <row r="588">
      <c r="A588" s="3" t="inlineStr">
        <is>
          <t>세종특별자치시 금남면 호탄리 152-8</t>
        </is>
      </c>
      <c r="B588" s="3" t="inlineStr">
        <is>
          <t>제1종일반주거지역</t>
        </is>
      </c>
      <c r="C588" s="3" t="inlineStr">
        <is>
          <t>답</t>
        </is>
      </c>
      <c r="D588" s="3" t="inlineStr">
        <is>
          <t>답</t>
        </is>
      </c>
      <c r="E588" s="3" t="inlineStr">
        <is>
          <t>매매</t>
        </is>
      </c>
      <c r="F588" s="4" t="n">
        <v>55000</v>
      </c>
      <c r="G588" s="4" t="n">
        <v>264</v>
      </c>
      <c r="H588" s="4" t="n">
        <v>80</v>
      </c>
      <c r="I588" s="5" t="n">
        <v>687.5</v>
      </c>
      <c r="J588" s="4" t="n">
        <v>380.8</v>
      </c>
      <c r="K588" s="3" t="inlineStr">
        <is>
          <t>세종 남부권 접근 좋은 도로접 주거지역 소형토지</t>
        </is>
      </c>
      <c r="L588" s="6">
        <f>HYPERLINK("https://fin.land.naver.com/articles/2648408766", "매물Link")</f>
        <v/>
      </c>
      <c r="M588" s="6">
        <f>HYPERLINK("https://map.naver.com/p/search/세종특별자치시 금남면 호탄리 152-8", "지도Link")</f>
        <v/>
      </c>
      <c r="N588" s="6">
        <f>HYPERLINK("http://www.eum.go.kr/web/ar/lu/luLandDet.jsp?pnu=3611034037101520008&amp;isNoScr=script&amp;mode=search", "토지이음")</f>
        <v/>
      </c>
      <c r="O588" s="3" t="inlineStr">
        <is>
          <t>세종소담황금</t>
        </is>
      </c>
      <c r="P588" s="3" t="n">
        <v>1</v>
      </c>
      <c r="Q588" s="3" t="n">
        <v>264</v>
      </c>
      <c r="R588" s="3" t="inlineStr">
        <is>
          <t>지정되지않음</t>
        </is>
      </c>
      <c r="S588" s="3" t="inlineStr">
        <is>
          <t>전</t>
        </is>
      </c>
      <c r="T588" s="3" t="inlineStr">
        <is>
          <t>평지</t>
        </is>
      </c>
      <c r="U588" s="3" t="inlineStr">
        <is>
          <t>사다리형</t>
        </is>
      </c>
      <c r="V588" s="3" t="inlineStr">
        <is>
          <t>소로한면</t>
        </is>
      </c>
    </row>
    <row r="589">
      <c r="A589" s="3" t="inlineStr">
        <is>
          <t>세종특별자치시 금남면 호탄리 170</t>
        </is>
      </c>
      <c r="B589" s="3" t="inlineStr">
        <is>
          <t>제1종일반주거지역</t>
        </is>
      </c>
      <c r="C589" s="3" t="inlineStr">
        <is>
          <t>대</t>
        </is>
      </c>
      <c r="D589" s="3" t="inlineStr">
        <is>
          <t>대</t>
        </is>
      </c>
      <c r="E589" s="3" t="inlineStr">
        <is>
          <t>매매</t>
        </is>
      </c>
      <c r="F589" s="4" t="n">
        <v>35000</v>
      </c>
      <c r="G589" s="4" t="n">
        <v>344</v>
      </c>
      <c r="H589" s="4" t="n">
        <v>104</v>
      </c>
      <c r="I589" s="5" t="n">
        <v>336.5</v>
      </c>
      <c r="J589" s="4" t="n">
        <v>242</v>
      </c>
      <c r="K589" s="3" t="inlineStr">
        <is>
          <t>세종시 인근 상권이 형성되기 시작하는 곳에 위치</t>
        </is>
      </c>
      <c r="L589" s="6">
        <f>HYPERLINK("https://fin.land.naver.com/articles/2646204899", "매물Link")</f>
        <v/>
      </c>
      <c r="M589" s="6">
        <f>HYPERLINK("https://map.naver.com/p/search/세종특별자치시 금남면 호탄리 170", "지도Link")</f>
        <v/>
      </c>
      <c r="N589" s="6">
        <f>HYPERLINK("http://www.eum.go.kr/web/ar/lu/luLandDet.jsp?pnu=3611034037101700000&amp;isNoScr=script&amp;mode=search", "토지이음")</f>
        <v/>
      </c>
      <c r="O589" s="3" t="inlineStr">
        <is>
          <t>해들일번지</t>
        </is>
      </c>
      <c r="P589" s="3" t="n">
        <v>1</v>
      </c>
      <c r="Q589" s="3" t="n">
        <v>344</v>
      </c>
      <c r="R589" s="3" t="inlineStr">
        <is>
          <t>지정되지않음</t>
        </is>
      </c>
      <c r="S589" s="3" t="inlineStr">
        <is>
          <t>단독</t>
        </is>
      </c>
      <c r="T589" s="3" t="inlineStr">
        <is>
          <t>평지</t>
        </is>
      </c>
      <c r="U589" s="3" t="inlineStr">
        <is>
          <t>사다리형</t>
        </is>
      </c>
      <c r="V589" s="3" t="inlineStr">
        <is>
          <t>세로한면(가)</t>
        </is>
      </c>
    </row>
    <row r="590">
      <c r="A590" s="3" t="inlineStr">
        <is>
          <t>세종특별자치시 금남면 호탄리 208</t>
        </is>
      </c>
      <c r="B590" s="3" t="inlineStr">
        <is>
          <t>개발제한구역</t>
        </is>
      </c>
      <c r="C590" s="3" t="inlineStr">
        <is>
          <t>전</t>
        </is>
      </c>
      <c r="D590" s="3" t="inlineStr">
        <is>
          <t>전</t>
        </is>
      </c>
      <c r="E590" s="3" t="inlineStr">
        <is>
          <t>매매</t>
        </is>
      </c>
      <c r="F590" s="4" t="n">
        <v>55000</v>
      </c>
      <c r="G590" s="4" t="n">
        <v>613</v>
      </c>
      <c r="H590" s="4" t="n">
        <v>185</v>
      </c>
      <c r="I590" s="5" t="n">
        <v>297.3</v>
      </c>
      <c r="J590" s="4" t="n">
        <v>61.2</v>
      </c>
      <c r="K590" s="3" t="inlineStr">
        <is>
          <t>금남면 호탄리 농지 매매</t>
        </is>
      </c>
      <c r="L590" s="6">
        <f>HYPERLINK("https://fin.land.naver.com/articles/2648407990", "매물Link")</f>
        <v/>
      </c>
      <c r="M590" s="6">
        <f>HYPERLINK("https://map.naver.com/p/search/세종특별자치시 금남면 호탄리 208", "지도Link")</f>
        <v/>
      </c>
      <c r="N590" s="6">
        <f>HYPERLINK("http://www.eum.go.kr/web/ar/lu/luLandDet.jsp?pnu=3611034037102080000&amp;isNoScr=script&amp;mode=search", "토지이음")</f>
        <v/>
      </c>
      <c r="O590" s="3" t="inlineStr">
        <is>
          <t>비전</t>
        </is>
      </c>
      <c r="P590" s="3" t="n">
        <v>1</v>
      </c>
      <c r="Q590" s="3" t="n">
        <v>613</v>
      </c>
      <c r="R590" s="3" t="inlineStr">
        <is>
          <t>지정되지않음</t>
        </is>
      </c>
      <c r="S590" s="3" t="inlineStr">
        <is>
          <t>전</t>
        </is>
      </c>
      <c r="T590" s="3" t="inlineStr">
        <is>
          <t>완경사</t>
        </is>
      </c>
      <c r="U590" s="3" t="inlineStr">
        <is>
          <t>사다리형</t>
        </is>
      </c>
      <c r="V590" s="3" t="inlineStr">
        <is>
          <t>세로한면(가)</t>
        </is>
      </c>
    </row>
    <row r="591">
      <c r="A591" s="3" t="inlineStr">
        <is>
          <t>세종특별자치시 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세종 도심과 가까운 위치</t>
        </is>
      </c>
      <c r="L591" s="6">
        <f>HYPERLINK("https://fin.land.naver.com/articles/2646476521", "매물Link")</f>
        <v/>
      </c>
      <c r="M591" s="6">
        <f>HYPERLINK("https://map.naver.com/p/search/세종특별자치시 금남면 호탄리 217", "지도Link")</f>
        <v/>
      </c>
      <c r="N591" s="6">
        <f>HYPERLINK("http://www.eum.go.kr/web/ar/lu/luLandDet.jsp?pnu=3611034037102170000&amp;isNoScr=script&amp;mode=search", "토지이음")</f>
        <v/>
      </c>
      <c r="O591" s="3" t="inlineStr">
        <is>
          <t>세종대평</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세종특별자치시 금남면 호탄리 217</t>
        </is>
      </c>
      <c r="B592" s="3" t="inlineStr">
        <is>
          <t>개발제한구역</t>
        </is>
      </c>
      <c r="C592" s="3" t="inlineStr">
        <is>
          <t>답</t>
        </is>
      </c>
      <c r="D592" s="3" t="inlineStr">
        <is>
          <t>답</t>
        </is>
      </c>
      <c r="E592" s="3" t="inlineStr">
        <is>
          <t>매매</t>
        </is>
      </c>
      <c r="F592" s="4" t="n">
        <v>25000</v>
      </c>
      <c r="G592" s="4" t="n">
        <v>516</v>
      </c>
      <c r="H592" s="4" t="n">
        <v>156</v>
      </c>
      <c r="I592" s="5" t="n">
        <v>160.3</v>
      </c>
      <c r="J592" s="4" t="n">
        <v>48.3</v>
      </c>
      <c r="K592" s="3" t="inlineStr">
        <is>
          <t>호탄리 마을 인근에 시멘트 포장도로 잘 접함</t>
        </is>
      </c>
      <c r="L592" s="6">
        <f>HYPERLINK("https://fin.land.naver.com/articles/2649643275", "매물Link")</f>
        <v/>
      </c>
      <c r="M592" s="6">
        <f>HYPERLINK("https://map.naver.com/p/search/세종특별자치시 금남면 호탄리 217", "지도Link")</f>
        <v/>
      </c>
      <c r="N592" s="6">
        <f>HYPERLINK("http://www.eum.go.kr/web/ar/lu/luLandDet.jsp?pnu=3611034037102170000&amp;isNoScr=script&amp;mode=search", "토지이음")</f>
        <v/>
      </c>
      <c r="O592" s="3" t="inlineStr">
        <is>
          <t>신안</t>
        </is>
      </c>
      <c r="P592" s="3" t="n">
        <v>1</v>
      </c>
      <c r="Q592" s="3" t="n">
        <v>516</v>
      </c>
      <c r="R592" s="3" t="inlineStr">
        <is>
          <t>지정되지않음</t>
        </is>
      </c>
      <c r="S592" s="3" t="inlineStr">
        <is>
          <t>답</t>
        </is>
      </c>
      <c r="T592" s="3" t="inlineStr">
        <is>
          <t>완경사</t>
        </is>
      </c>
      <c r="U592" s="3" t="inlineStr">
        <is>
          <t>부정형</t>
        </is>
      </c>
      <c r="V592" s="3" t="inlineStr">
        <is>
          <t>맹지</t>
        </is>
      </c>
    </row>
    <row r="593">
      <c r="A593" s="3" t="inlineStr">
        <is>
          <t>세종특별자치시 금남면 호탄리 229-2</t>
        </is>
      </c>
      <c r="B593" s="3" t="inlineStr">
        <is>
          <t>개발제한구역</t>
        </is>
      </c>
      <c r="C593" s="3" t="inlineStr">
        <is>
          <t>전</t>
        </is>
      </c>
      <c r="D593" s="3" t="inlineStr">
        <is>
          <t>임야</t>
        </is>
      </c>
      <c r="E593" s="3" t="inlineStr">
        <is>
          <t>매매</t>
        </is>
      </c>
      <c r="F593" s="4" t="n">
        <v>250000</v>
      </c>
      <c r="G593" s="4" t="n">
        <v>5370</v>
      </c>
      <c r="H593" s="4" t="n">
        <v>1624</v>
      </c>
      <c r="I593" s="5" t="n">
        <v>153.9</v>
      </c>
      <c r="J593" s="4" t="n">
        <v>52.9</v>
      </c>
      <c r="K593" s="3" t="inlineStr">
        <is>
          <t>세종시 3생활권과 근접거리에 있어 향후 지가상승이 기대되는 급매입니다</t>
        </is>
      </c>
      <c r="L593" s="6">
        <f>HYPERLINK("https://fin.land.naver.com/articles/2646320075", "매물Link")</f>
        <v/>
      </c>
      <c r="M593" s="6">
        <f>HYPERLINK("https://map.naver.com/p/search/세종특별자치시 금남면 호탄리 229-2", "지도Link")</f>
        <v/>
      </c>
      <c r="N593" s="6">
        <f>HYPERLINK("http://www.eum.go.kr/web/ar/lu/luLandDet.jsp?pnu=3611034037102290002&amp;isNoScr=script&amp;mode=search", "토지이음")</f>
        <v/>
      </c>
      <c r="O593" s="3" t="inlineStr">
        <is>
          <t>스마일세종</t>
        </is>
      </c>
      <c r="P593" s="3" t="n">
        <v>1</v>
      </c>
      <c r="Q593" s="3" t="n">
        <v>1693</v>
      </c>
      <c r="R593" s="3" t="inlineStr">
        <is>
          <t>지정되지않음</t>
        </is>
      </c>
      <c r="S593" s="3" t="inlineStr">
        <is>
          <t>전</t>
        </is>
      </c>
      <c r="T593" s="3" t="inlineStr">
        <is>
          <t>완경사</t>
        </is>
      </c>
      <c r="U593" s="3" t="inlineStr">
        <is>
          <t>부정형</t>
        </is>
      </c>
      <c r="V593" s="3" t="inlineStr">
        <is>
          <t>맹지</t>
        </is>
      </c>
    </row>
    <row r="594">
      <c r="A594" s="3" t="inlineStr">
        <is>
          <t>세종특별자치시 금남면 호탄리 87</t>
        </is>
      </c>
      <c r="B594" s="3" t="inlineStr">
        <is>
          <t>개발제한구역</t>
        </is>
      </c>
      <c r="C594" s="3" t="inlineStr">
        <is>
          <t>전</t>
        </is>
      </c>
      <c r="D594" s="3" t="inlineStr">
        <is>
          <t>전</t>
        </is>
      </c>
      <c r="E594" s="3" t="inlineStr">
        <is>
          <t>매매</t>
        </is>
      </c>
      <c r="F594" s="4" t="n">
        <v>70000</v>
      </c>
      <c r="G594" s="4" t="n">
        <v>1421</v>
      </c>
      <c r="H594" s="4" t="n">
        <v>430</v>
      </c>
      <c r="I594" s="5" t="n">
        <v>162.8</v>
      </c>
      <c r="J594" s="4" t="n">
        <v>55.7</v>
      </c>
      <c r="K594" s="3" t="inlineStr">
        <is>
          <t>보람동 도보 10분이내 접근 가능한 농지. 투자 유망. 그린벨트.</t>
        </is>
      </c>
      <c r="L594" s="6">
        <f>HYPERLINK("https://fin.land.naver.com/articles/2644426814", "매물Link")</f>
        <v/>
      </c>
      <c r="M594" s="6">
        <f>HYPERLINK("https://map.naver.com/p/search/세종특별자치시 금남면 호탄리 87", "지도Link")</f>
        <v/>
      </c>
      <c r="N594" s="6">
        <f>HYPERLINK("http://www.eum.go.kr/web/ar/lu/luLandDet.jsp?pnu=3611034037100870000&amp;isNoScr=script&amp;mode=search", "토지이음")</f>
        <v/>
      </c>
      <c r="O594" s="3" t="inlineStr">
        <is>
          <t>세종소담114</t>
        </is>
      </c>
      <c r="P594" s="3" t="n">
        <v>1</v>
      </c>
      <c r="Q594" s="3" t="n">
        <v>1421</v>
      </c>
      <c r="R594" s="3" t="inlineStr">
        <is>
          <t>지정되지않음</t>
        </is>
      </c>
      <c r="S594" s="3" t="inlineStr">
        <is>
          <t>전</t>
        </is>
      </c>
      <c r="T594" s="3" t="inlineStr">
        <is>
          <t>완경사</t>
        </is>
      </c>
      <c r="U594" s="3" t="inlineStr">
        <is>
          <t>부정형</t>
        </is>
      </c>
      <c r="V594" s="3" t="inlineStr">
        <is>
          <t>세로한면(불)</t>
        </is>
      </c>
    </row>
    <row r="595">
      <c r="A595" s="3" t="inlineStr">
        <is>
          <t>세종특별자치시 금남면 호탄리 91-2</t>
        </is>
      </c>
      <c r="B595" s="3" t="inlineStr">
        <is>
          <t>제1종일반주거지역</t>
        </is>
      </c>
      <c r="C595" s="3" t="inlineStr">
        <is>
          <t>전</t>
        </is>
      </c>
      <c r="D595" s="3" t="inlineStr">
        <is>
          <t>전</t>
        </is>
      </c>
      <c r="E595" s="3" t="inlineStr">
        <is>
          <t>매매</t>
        </is>
      </c>
      <c r="F595" s="4" t="n">
        <v>110000</v>
      </c>
      <c r="G595" s="4" t="n">
        <v>860</v>
      </c>
      <c r="H595" s="4" t="n">
        <v>260</v>
      </c>
      <c r="I595" s="5" t="n">
        <v>423.1</v>
      </c>
      <c r="J595" s="4" t="n">
        <v>158</v>
      </c>
      <c r="K595" s="3" t="inlineStr">
        <is>
          <t>호탄리 제1종일반주거지역의 대지와 전 주변시세보다 저렴하게 급매합니다.</t>
        </is>
      </c>
      <c r="L595" s="6">
        <f>HYPERLINK("https://fin.land.naver.com/articles/2645651590", "매물Link")</f>
        <v/>
      </c>
      <c r="M595" s="6">
        <f>HYPERLINK("https://map.naver.com/p/search/세종특별자치시 금남면 호탄리 91-2", "지도Link")</f>
        <v/>
      </c>
      <c r="N595" s="6">
        <f>HYPERLINK("http://www.eum.go.kr/web/ar/lu/luLandDet.jsp?pnu=3611034037100910002&amp;isNoScr=script&amp;mode=search", "토지이음")</f>
        <v/>
      </c>
      <c r="O595" s="3" t="inlineStr">
        <is>
          <t>스마일세종</t>
        </is>
      </c>
      <c r="P595" s="3" t="n">
        <v>1</v>
      </c>
      <c r="Q595" s="3" t="n">
        <v>410</v>
      </c>
      <c r="R595" s="3" t="inlineStr">
        <is>
          <t>지정되지않음</t>
        </is>
      </c>
      <c r="S595" s="3" t="inlineStr">
        <is>
          <t>전기타</t>
        </is>
      </c>
      <c r="T595" s="3" t="inlineStr">
        <is>
          <t>완경사</t>
        </is>
      </c>
      <c r="U595" s="3" t="inlineStr">
        <is>
          <t>부정형</t>
        </is>
      </c>
      <c r="V595" s="3" t="inlineStr">
        <is>
          <t>세로한면(불)</t>
        </is>
      </c>
    </row>
    <row r="596">
      <c r="A596" s="3" t="inlineStr">
        <is>
          <t>세종특별자치시 금남면 황용리 11</t>
        </is>
      </c>
      <c r="B596" s="3" t="inlineStr">
        <is>
          <t>개발제한구역</t>
        </is>
      </c>
      <c r="C596" s="3" t="inlineStr">
        <is>
          <t>임야</t>
        </is>
      </c>
      <c r="D596" s="3" t="inlineStr">
        <is>
          <t>임야</t>
        </is>
      </c>
      <c r="E596" s="3" t="inlineStr">
        <is>
          <t>매매</t>
        </is>
      </c>
      <c r="F596" s="4" t="n">
        <v>40000</v>
      </c>
      <c r="G596" s="4" t="n">
        <v>1732</v>
      </c>
      <c r="H596" s="4" t="n">
        <v>524</v>
      </c>
      <c r="I596" s="5" t="n">
        <v>76.3</v>
      </c>
      <c r="J596" s="4" t="n">
        <v>44</v>
      </c>
      <c r="K596" s="3" t="inlineStr">
        <is>
          <t>급매,협의절충,자연녹지,금남농협 벼 건조장 맞은편, 입지,주위인프라 굿</t>
        </is>
      </c>
      <c r="L596" s="6">
        <f>HYPERLINK("https://fin.land.naver.com/articles/2649122204", "매물Link")</f>
        <v/>
      </c>
      <c r="M596" s="6">
        <f>HYPERLINK("https://map.naver.com/p/search/세종특별자치시 금남면 황용리 11", "지도Link")</f>
        <v/>
      </c>
      <c r="N596" s="6">
        <f>HYPERLINK("http://www.eum.go.kr/web/ar/lu/luLandDet.jsp?pnu=3611034030100110000&amp;isNoScr=script&amp;mode=search", "토지이음")</f>
        <v/>
      </c>
      <c r="O596" s="3" t="inlineStr">
        <is>
          <t>세종한울</t>
        </is>
      </c>
      <c r="P596" s="3" t="n">
        <v>1</v>
      </c>
      <c r="Q596" s="3" t="n">
        <v>1732</v>
      </c>
      <c r="R596" s="3" t="inlineStr">
        <is>
          <t>지정되지않음</t>
        </is>
      </c>
      <c r="S596" s="3" t="inlineStr">
        <is>
          <t>전기타</t>
        </is>
      </c>
      <c r="T596" s="3" t="inlineStr">
        <is>
          <t>평지</t>
        </is>
      </c>
      <c r="U596" s="3" t="inlineStr">
        <is>
          <t>부정형</t>
        </is>
      </c>
      <c r="V596" s="3" t="inlineStr">
        <is>
          <t>소로한면</t>
        </is>
      </c>
    </row>
    <row r="597">
      <c r="A597" s="3" t="inlineStr">
        <is>
          <t>세종특별자치시 금남면 황용리 110-1</t>
        </is>
      </c>
      <c r="B597" s="3" t="inlineStr">
        <is>
          <t>개발제한구역</t>
        </is>
      </c>
      <c r="C597" s="3" t="inlineStr">
        <is>
          <t>답</t>
        </is>
      </c>
      <c r="D597" s="3" t="inlineStr">
        <is>
          <t>답</t>
        </is>
      </c>
      <c r="E597" s="3" t="inlineStr">
        <is>
          <t>매매</t>
        </is>
      </c>
      <c r="F597" s="4" t="n">
        <v>52200</v>
      </c>
      <c r="G597" s="4" t="n">
        <v>3141</v>
      </c>
      <c r="H597" s="4" t="n">
        <v>950</v>
      </c>
      <c r="I597" s="5" t="n">
        <v>54.9</v>
      </c>
      <c r="J597" s="4" t="n">
        <v>29.8</v>
      </c>
      <c r="K597" s="3" t="inlineStr">
        <is>
          <t>급매 세종 대전 접근성좋은 황용리 도로접한 답2필지</t>
        </is>
      </c>
      <c r="L597" s="6">
        <f>HYPERLINK("https://fin.land.naver.com/articles/2649169338", "매물Link")</f>
        <v/>
      </c>
      <c r="M597" s="6">
        <f>HYPERLINK("https://map.naver.com/p/search/세종특별자치시 금남면 황용리 110-1", "지도Link")</f>
        <v/>
      </c>
      <c r="N597" s="6">
        <f>HYPERLINK("http://www.eum.go.kr/web/ar/lu/luLandDet.jsp?pnu=3611034030101100001&amp;isNoScr=script&amp;mode=search", "토지이음")</f>
        <v/>
      </c>
      <c r="O597" s="3" t="inlineStr">
        <is>
          <t>새롬삼둥이</t>
        </is>
      </c>
      <c r="P597" s="3" t="n">
        <v>1</v>
      </c>
      <c r="Q597" s="3" t="n">
        <v>2591</v>
      </c>
      <c r="R597" s="3" t="inlineStr">
        <is>
          <t>지정되지않음</t>
        </is>
      </c>
      <c r="S597" s="3" t="inlineStr">
        <is>
          <t>답</t>
        </is>
      </c>
      <c r="T597" s="3" t="inlineStr">
        <is>
          <t>완경사</t>
        </is>
      </c>
      <c r="U597" s="3" t="inlineStr">
        <is>
          <t>부정형</t>
        </is>
      </c>
      <c r="V597" s="3" t="inlineStr">
        <is>
          <t>세로한면(가)</t>
        </is>
      </c>
    </row>
    <row r="598">
      <c r="A598" s="3" t="inlineStr">
        <is>
          <t>세종특별자치시 금남면 황용리 115-2</t>
        </is>
      </c>
      <c r="B598" s="3" t="inlineStr">
        <is>
          <t>개발제한구역</t>
        </is>
      </c>
      <c r="C598" s="3" t="inlineStr">
        <is>
          <t>답</t>
        </is>
      </c>
      <c r="D598" s="3" t="inlineStr">
        <is>
          <t>답</t>
        </is>
      </c>
      <c r="E598" s="3" t="inlineStr">
        <is>
          <t>매매</t>
        </is>
      </c>
      <c r="F598" s="4" t="n">
        <v>55000</v>
      </c>
      <c r="G598" s="4" t="n">
        <v>3131</v>
      </c>
      <c r="H598" s="4" t="n">
        <v>947</v>
      </c>
      <c r="I598" s="5" t="n">
        <v>58.1</v>
      </c>
      <c r="J598" s="4" t="n">
        <v>25.3</v>
      </c>
      <c r="K598" s="3" t="inlineStr">
        <is>
          <t>nan</t>
        </is>
      </c>
      <c r="L598" s="6">
        <f>HYPERLINK("https://fin.land.naver.com/articles/2647531146", "매물Link")</f>
        <v/>
      </c>
      <c r="M598" s="6">
        <f>HYPERLINK("https://map.naver.com/p/search/세종특별자치시 금남면 황용리 115-2", "지도Link")</f>
        <v/>
      </c>
      <c r="N598" s="6">
        <f>HYPERLINK("http://www.eum.go.kr/web/ar/lu/luLandDet.jsp?pnu=3611034030101150002&amp;isNoScr=script&amp;mode=search", "토지이음")</f>
        <v/>
      </c>
      <c r="O598" s="3" t="inlineStr">
        <is>
          <t>다온</t>
        </is>
      </c>
      <c r="P598" s="3" t="n">
        <v>1</v>
      </c>
      <c r="Q598" s="3" t="n">
        <v>1782</v>
      </c>
      <c r="R598" s="3" t="inlineStr">
        <is>
          <t>지정되지않음</t>
        </is>
      </c>
      <c r="S598" s="3" t="inlineStr">
        <is>
          <t>답</t>
        </is>
      </c>
      <c r="T598" s="3" t="inlineStr">
        <is>
          <t>완경사</t>
        </is>
      </c>
      <c r="U598" s="3" t="inlineStr">
        <is>
          <t>부정형</t>
        </is>
      </c>
      <c r="V598" s="3" t="inlineStr">
        <is>
          <t>세로한면(가)</t>
        </is>
      </c>
    </row>
    <row r="599">
      <c r="A599" s="3" t="inlineStr">
        <is>
          <t>세종특별자치시 금남면 황용리 120-2</t>
        </is>
      </c>
      <c r="B599" s="3" t="inlineStr">
        <is>
          <t>개발제한구역</t>
        </is>
      </c>
      <c r="C599" s="3" t="inlineStr">
        <is>
          <t>대</t>
        </is>
      </c>
      <c r="D599" s="3" t="inlineStr">
        <is>
          <t>대</t>
        </is>
      </c>
      <c r="E599" s="3" t="inlineStr">
        <is>
          <t>매매</t>
        </is>
      </c>
      <c r="F599" s="4" t="n">
        <v>32000</v>
      </c>
      <c r="G599" s="4" t="n">
        <v>527</v>
      </c>
      <c r="H599" s="4" t="n">
        <v>159</v>
      </c>
      <c r="I599" s="5" t="n">
        <v>201.3</v>
      </c>
      <c r="J599" s="4" t="n">
        <v>108.9</v>
      </c>
      <c r="K599" s="3" t="inlineStr">
        <is>
          <t>nan</t>
        </is>
      </c>
      <c r="L599" s="6">
        <f>HYPERLINK("https://fin.land.naver.com/articles/2647158251", "매물Link")</f>
        <v/>
      </c>
      <c r="M599" s="6">
        <f>HYPERLINK("https://map.naver.com/p/search/세종특별자치시 금남면 황용리 120-2", "지도Link")</f>
        <v/>
      </c>
      <c r="N599" s="6">
        <f>HYPERLINK("http://www.eum.go.kr/web/ar/lu/luLandDet.jsp?pnu=3611034030101200002&amp;isNoScr=script&amp;mode=search", "토지이음")</f>
        <v/>
      </c>
      <c r="O599" s="3" t="inlineStr">
        <is>
          <t>다온</t>
        </is>
      </c>
      <c r="P599" s="3" t="n">
        <v>2</v>
      </c>
      <c r="Q599" s="3" t="n">
        <v>527</v>
      </c>
      <c r="R599" s="3" t="inlineStr">
        <is>
          <t>지정되지않음</t>
        </is>
      </c>
      <c r="S599" s="3" t="inlineStr">
        <is>
          <t>단독</t>
        </is>
      </c>
      <c r="T599" s="3" t="inlineStr">
        <is>
          <t>완경사</t>
        </is>
      </c>
      <c r="U599" s="3" t="inlineStr">
        <is>
          <t>사다리형</t>
        </is>
      </c>
      <c r="V599" s="3" t="inlineStr">
        <is>
          <t>세로한면(가)</t>
        </is>
      </c>
    </row>
    <row r="600">
      <c r="A600" s="3" t="inlineStr">
        <is>
          <t>세종특별자치시 금남면 황용리 166</t>
        </is>
      </c>
      <c r="B600" s="3" t="inlineStr">
        <is>
          <t>개발제한구역</t>
        </is>
      </c>
      <c r="C600" s="3" t="inlineStr">
        <is>
          <t>답</t>
        </is>
      </c>
      <c r="D600" s="3" t="inlineStr">
        <is>
          <t>답</t>
        </is>
      </c>
      <c r="E600" s="3" t="inlineStr">
        <is>
          <t>매매</t>
        </is>
      </c>
      <c r="F600" s="4" t="n">
        <v>34000</v>
      </c>
      <c r="G600" s="4" t="n">
        <v>2873</v>
      </c>
      <c r="H600" s="4" t="n">
        <v>869</v>
      </c>
      <c r="I600" s="5" t="n">
        <v>39.1</v>
      </c>
      <c r="J600" s="4" t="n">
        <v>22.5</v>
      </c>
      <c r="K600" s="3" t="inlineStr">
        <is>
          <t>세종시 4생활권 인근 토지 매매</t>
        </is>
      </c>
      <c r="L600" s="6">
        <f>HYPERLINK("https://fin.land.naver.com/articles/2645317264", "매물Link")</f>
        <v/>
      </c>
      <c r="M600" s="6">
        <f>HYPERLINK("https://map.naver.com/p/search/세종특별자치시 금남면 황용리 166", "지도Link")</f>
        <v/>
      </c>
      <c r="N600" s="6">
        <f>HYPERLINK("http://www.eum.go.kr/web/ar/lu/luLandDet.jsp?pnu=3611034030101660000&amp;isNoScr=script&amp;mode=search", "토지이음")</f>
        <v/>
      </c>
      <c r="O600" s="3" t="inlineStr">
        <is>
          <t>유성대박</t>
        </is>
      </c>
      <c r="P600" s="3" t="n">
        <v>1</v>
      </c>
      <c r="Q600" s="3" t="n">
        <v>2873</v>
      </c>
      <c r="R600" s="3" t="inlineStr">
        <is>
          <t>지정되지않음</t>
        </is>
      </c>
      <c r="S600" s="3" t="inlineStr">
        <is>
          <t>답</t>
        </is>
      </c>
      <c r="T600" s="3" t="inlineStr">
        <is>
          <t>완경사</t>
        </is>
      </c>
      <c r="U600" s="3" t="inlineStr">
        <is>
          <t>부정형</t>
        </is>
      </c>
      <c r="V600" s="3" t="inlineStr">
        <is>
          <t>세로한면(가)</t>
        </is>
      </c>
    </row>
    <row r="601">
      <c r="A601" s="3" t="inlineStr">
        <is>
          <t>세종특별자치시 금남면 황용리 172</t>
        </is>
      </c>
      <c r="B601" s="3" t="inlineStr">
        <is>
          <t>개발제한구역</t>
        </is>
      </c>
      <c r="C601" s="3" t="inlineStr">
        <is>
          <t>답</t>
        </is>
      </c>
      <c r="D601" s="3" t="inlineStr">
        <is>
          <t>답</t>
        </is>
      </c>
      <c r="E601" s="3" t="inlineStr">
        <is>
          <t>매매</t>
        </is>
      </c>
      <c r="F601" s="4" t="n">
        <v>27300</v>
      </c>
      <c r="G601" s="4" t="n">
        <v>2376</v>
      </c>
      <c r="H601" s="4" t="n">
        <v>719</v>
      </c>
      <c r="I601" s="5" t="n">
        <v>38</v>
      </c>
      <c r="J601" s="4" t="n">
        <v>22.5</v>
      </c>
      <c r="K601" s="3" t="inlineStr">
        <is>
          <t>도시근접 도로접한 토지 자연녹지지역 도시지역</t>
        </is>
      </c>
      <c r="L601" s="6">
        <f>HYPERLINK("https://fin.land.naver.com/articles/2646141180", "매물Link")</f>
        <v/>
      </c>
      <c r="M601" s="6">
        <f>HYPERLINK("https://map.naver.com/p/search/세종특별자치시 금남면 황용리 172", "지도Link")</f>
        <v/>
      </c>
      <c r="N601" s="6">
        <f>HYPERLINK("http://www.eum.go.kr/web/ar/lu/luLandDet.jsp?pnu=3611034030101720000&amp;isNoScr=script&amp;mode=search", "토지이음")</f>
        <v/>
      </c>
      <c r="O601" s="3" t="inlineStr">
        <is>
          <t>새롬삼둥이</t>
        </is>
      </c>
      <c r="P601" s="3" t="n">
        <v>1</v>
      </c>
      <c r="Q601" s="3" t="n">
        <v>1074</v>
      </c>
      <c r="R601" s="3" t="inlineStr">
        <is>
          <t>지정되지않음</t>
        </is>
      </c>
      <c r="S601" s="3" t="inlineStr">
        <is>
          <t>답</t>
        </is>
      </c>
      <c r="T601" s="3" t="inlineStr">
        <is>
          <t>완경사</t>
        </is>
      </c>
      <c r="U601" s="3" t="inlineStr">
        <is>
          <t>부정형</t>
        </is>
      </c>
      <c r="V601" s="3" t="inlineStr">
        <is>
          <t>세로한면(가)</t>
        </is>
      </c>
    </row>
    <row r="602">
      <c r="A602" s="3" t="inlineStr">
        <is>
          <t>세종특별자치시 금남면 황용리 185</t>
        </is>
      </c>
      <c r="B602" s="3" t="inlineStr">
        <is>
          <t>개발제한구역</t>
        </is>
      </c>
      <c r="C602" s="3" t="inlineStr">
        <is>
          <t>전</t>
        </is>
      </c>
      <c r="D602" s="3" t="inlineStr">
        <is>
          <t>전</t>
        </is>
      </c>
      <c r="E602" s="3" t="inlineStr">
        <is>
          <t>매매</t>
        </is>
      </c>
      <c r="F602" s="4" t="n">
        <v>57000</v>
      </c>
      <c r="G602" s="4" t="n">
        <v>2688</v>
      </c>
      <c r="H602" s="4" t="n">
        <v>813</v>
      </c>
      <c r="I602" s="5" t="n">
        <v>70.09999999999999</v>
      </c>
      <c r="J602" s="4" t="n">
        <v>22.2</v>
      </c>
      <c r="K602" s="3" t="inlineStr">
        <is>
          <t>장기보유 가치 있는 자연녹지 토지</t>
        </is>
      </c>
      <c r="L602" s="6">
        <f>HYPERLINK("https://fin.land.naver.com/articles/2649738658", "매물Link")</f>
        <v/>
      </c>
      <c r="M602" s="6">
        <f>HYPERLINK("https://map.naver.com/p/search/세종특별자치시 금남면 황용리 185", "지도Link")</f>
        <v/>
      </c>
      <c r="N602" s="6">
        <f>HYPERLINK("http://www.eum.go.kr/web/ar/lu/luLandDet.jsp?pnu=3611034030101850000&amp;isNoScr=script&amp;mode=search", "토지이음")</f>
        <v/>
      </c>
      <c r="O602" s="3" t="inlineStr">
        <is>
          <t>세종몽땅</t>
        </is>
      </c>
      <c r="P602" s="3" t="n">
        <v>1</v>
      </c>
      <c r="Q602" s="3" t="n">
        <v>2334</v>
      </c>
      <c r="R602" s="3" t="inlineStr">
        <is>
          <t>지정되지않음</t>
        </is>
      </c>
      <c r="S602" s="3" t="inlineStr">
        <is>
          <t>전</t>
        </is>
      </c>
      <c r="T602" s="3" t="inlineStr">
        <is>
          <t>완경사</t>
        </is>
      </c>
      <c r="U602" s="3" t="inlineStr">
        <is>
          <t>부정형</t>
        </is>
      </c>
      <c r="V602" s="3" t="inlineStr">
        <is>
          <t>세로한면(불)</t>
        </is>
      </c>
    </row>
    <row r="603">
      <c r="A603" s="3" t="inlineStr">
        <is>
          <t>세종특별자치시 금남면 황용리 204</t>
        </is>
      </c>
      <c r="B603" s="3" t="inlineStr">
        <is>
          <t>개발제한구역</t>
        </is>
      </c>
      <c r="C603" s="3" t="inlineStr">
        <is>
          <t>답</t>
        </is>
      </c>
      <c r="D603" s="3" t="inlineStr">
        <is>
          <t>답</t>
        </is>
      </c>
      <c r="E603" s="3" t="inlineStr">
        <is>
          <t>매매</t>
        </is>
      </c>
      <c r="F603" s="4" t="n">
        <v>106700</v>
      </c>
      <c r="G603" s="4" t="n">
        <v>7054</v>
      </c>
      <c r="H603" s="4" t="n">
        <v>2134</v>
      </c>
      <c r="I603" s="5" t="n">
        <v>50</v>
      </c>
      <c r="J603" s="4" t="n">
        <v>26.2</v>
      </c>
      <c r="K603" s="3" t="inlineStr">
        <is>
          <t>세종 인접 농지,답 여섯개필지</t>
        </is>
      </c>
      <c r="L603" s="6">
        <f>HYPERLINK("https://fin.land.naver.com/articles/2648735877", "매물Link")</f>
        <v/>
      </c>
      <c r="M603" s="6">
        <f>HYPERLINK("https://map.naver.com/p/search/세종특별자치시 금남면 황용리 204", "지도Link")</f>
        <v/>
      </c>
      <c r="N603" s="6">
        <f>HYPERLINK("http://www.eum.go.kr/web/ar/lu/luLandDet.jsp?pnu=3611034030102040000&amp;isNoScr=script&amp;mode=search", "토지이음")</f>
        <v/>
      </c>
      <c r="O603" s="3" t="inlineStr">
        <is>
          <t>다산</t>
        </is>
      </c>
      <c r="P603" s="3" t="n">
        <v>1</v>
      </c>
      <c r="Q603" s="3" t="n">
        <v>767</v>
      </c>
      <c r="R603" s="3" t="inlineStr">
        <is>
          <t>지정되지않음</t>
        </is>
      </c>
      <c r="S603" s="3" t="inlineStr">
        <is>
          <t>답</t>
        </is>
      </c>
      <c r="T603" s="3" t="inlineStr">
        <is>
          <t>완경사</t>
        </is>
      </c>
      <c r="U603" s="3" t="inlineStr">
        <is>
          <t>부정형</t>
        </is>
      </c>
      <c r="V603" s="3" t="inlineStr">
        <is>
          <t>세로한면(불)</t>
        </is>
      </c>
    </row>
    <row r="604">
      <c r="A604" s="3" t="inlineStr">
        <is>
          <t>세종특별자치시 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마을인근밭.6미터도로접.신도시지근거리지역.장기적투자관점.토지거래허가구역</t>
        </is>
      </c>
      <c r="L604" s="6">
        <f>HYPERLINK("https://fin.land.naver.com/articles/2649220963", "매물Link")</f>
        <v/>
      </c>
      <c r="M604" s="6">
        <f>HYPERLINK("https://map.naver.com/p/search/세종특별자치시 금남면 황용리 251-1", "지도Link")</f>
        <v/>
      </c>
      <c r="N604" s="6">
        <f>HYPERLINK("http://www.eum.go.kr/web/ar/lu/luLandDet.jsp?pnu=3611034030102510001&amp;isNoScr=script&amp;mode=search", "토지이음")</f>
        <v/>
      </c>
      <c r="O604" s="3" t="inlineStr">
        <is>
          <t>돈방석</t>
        </is>
      </c>
      <c r="P604" s="3" t="n">
        <v>3</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세종특별자치시 금남면 황용리 251-1</t>
        </is>
      </c>
      <c r="B605" s="3" t="inlineStr">
        <is>
          <t>개발제한구역</t>
        </is>
      </c>
      <c r="C605" s="3" t="inlineStr">
        <is>
          <t>전</t>
        </is>
      </c>
      <c r="D605" s="3" t="inlineStr">
        <is>
          <t>전</t>
        </is>
      </c>
      <c r="E605" s="3" t="inlineStr">
        <is>
          <t>매매</t>
        </is>
      </c>
      <c r="F605" s="4" t="n">
        <v>49000</v>
      </c>
      <c r="G605" s="4" t="n">
        <v>1035</v>
      </c>
      <c r="H605" s="4" t="n">
        <v>313</v>
      </c>
      <c r="I605" s="5" t="n">
        <v>156.5</v>
      </c>
      <c r="J605" s="4" t="n">
        <v>39.8</v>
      </c>
      <c r="K605" s="3" t="inlineStr">
        <is>
          <t>도시지역,자연녹지,버섯하우스포함일괄매매</t>
        </is>
      </c>
      <c r="L605" s="6">
        <f>HYPERLINK("https://fin.land.naver.com/articles/2649526886", "매물Link")</f>
        <v/>
      </c>
      <c r="M605" s="6">
        <f>HYPERLINK("https://map.naver.com/p/search/세종특별자치시 금남면 황용리 251-1", "지도Link")</f>
        <v/>
      </c>
      <c r="N605" s="6">
        <f>HYPERLINK("http://www.eum.go.kr/web/ar/lu/luLandDet.jsp?pnu=3611034030102510001&amp;isNoScr=script&amp;mode=search", "토지이음")</f>
        <v/>
      </c>
      <c r="O605" s="3" t="inlineStr">
        <is>
          <t>힐스테이트행복</t>
        </is>
      </c>
      <c r="P605" s="3" t="n">
        <v>1</v>
      </c>
      <c r="Q605" s="3" t="n">
        <v>1035</v>
      </c>
      <c r="R605" s="3" t="inlineStr">
        <is>
          <t>지정되지않음</t>
        </is>
      </c>
      <c r="S605" s="3" t="inlineStr">
        <is>
          <t>전</t>
        </is>
      </c>
      <c r="T605" s="3" t="inlineStr">
        <is>
          <t>완경사</t>
        </is>
      </c>
      <c r="U605" s="3" t="inlineStr">
        <is>
          <t>부정형</t>
        </is>
      </c>
      <c r="V605" s="3" t="inlineStr">
        <is>
          <t>세로한면(가)</t>
        </is>
      </c>
    </row>
    <row r="606">
      <c r="A606" s="3" t="inlineStr">
        <is>
          <t>세종특별자치시 금남면 황용리 252-1</t>
        </is>
      </c>
      <c r="B606" s="3" t="inlineStr">
        <is>
          <t>개발제한구역</t>
        </is>
      </c>
      <c r="C606" s="3" t="inlineStr">
        <is>
          <t>전</t>
        </is>
      </c>
      <c r="D606" s="3" t="inlineStr">
        <is>
          <t>전</t>
        </is>
      </c>
      <c r="E606" s="3" t="inlineStr">
        <is>
          <t>매매</t>
        </is>
      </c>
      <c r="F606" s="4" t="n">
        <v>50000</v>
      </c>
      <c r="G606" s="4" t="n">
        <v>3464</v>
      </c>
      <c r="H606" s="4" t="n">
        <v>1048</v>
      </c>
      <c r="I606" s="5" t="n">
        <v>47.7</v>
      </c>
      <c r="J606" s="4" t="n">
        <v>33.2</v>
      </c>
      <c r="K606" s="3" t="inlineStr">
        <is>
          <t>급매 자연녹지지역 마을인접토지</t>
        </is>
      </c>
      <c r="L606" s="6">
        <f>HYPERLINK("https://fin.land.naver.com/articles/2645720219", "매물Link")</f>
        <v/>
      </c>
      <c r="M606" s="6">
        <f>HYPERLINK("https://map.naver.com/p/search/세종특별자치시 금남면 황용리 252-1", "지도Link")</f>
        <v/>
      </c>
      <c r="N606" s="6">
        <f>HYPERLINK("http://www.eum.go.kr/web/ar/lu/luLandDet.jsp?pnu=3611034030102520001&amp;isNoScr=script&amp;mode=search", "토지이음")</f>
        <v/>
      </c>
      <c r="O606" s="3" t="inlineStr">
        <is>
          <t>레몬</t>
        </is>
      </c>
      <c r="P606" s="3" t="n">
        <v>1</v>
      </c>
      <c r="Q606" s="3" t="n">
        <v>1255</v>
      </c>
      <c r="R606" s="3" t="inlineStr">
        <is>
          <t>지정되지않음</t>
        </is>
      </c>
      <c r="S606" s="3" t="inlineStr">
        <is>
          <t>전</t>
        </is>
      </c>
      <c r="T606" s="3" t="inlineStr">
        <is>
          <t>완경사</t>
        </is>
      </c>
      <c r="U606" s="3" t="inlineStr">
        <is>
          <t>부정형</t>
        </is>
      </c>
      <c r="V606" s="3" t="inlineStr">
        <is>
          <t>맹지</t>
        </is>
      </c>
    </row>
    <row r="607">
      <c r="A607" s="3" t="inlineStr">
        <is>
          <t>세종특별자치시 금남면 황용리 253-2</t>
        </is>
      </c>
      <c r="B607" s="3" t="inlineStr">
        <is>
          <t>개발제한구역</t>
        </is>
      </c>
      <c r="C607" s="3" t="inlineStr">
        <is>
          <t>전</t>
        </is>
      </c>
      <c r="D607" s="3" t="inlineStr">
        <is>
          <t>전</t>
        </is>
      </c>
      <c r="E607" s="3" t="inlineStr">
        <is>
          <t>매매</t>
        </is>
      </c>
      <c r="F607" s="4" t="n">
        <v>80450</v>
      </c>
      <c r="G607" s="4" t="n">
        <v>5319</v>
      </c>
      <c r="H607" s="4" t="n">
        <v>1609</v>
      </c>
      <c r="I607" s="5" t="n">
        <v>50</v>
      </c>
      <c r="J607" s="4" t="n">
        <v>41.4</v>
      </c>
      <c r="K607" s="3" t="inlineStr">
        <is>
          <t>nan</t>
        </is>
      </c>
      <c r="L607" s="6">
        <f>HYPERLINK("https://fin.land.naver.com/articles/2648769318", "매물Link")</f>
        <v/>
      </c>
      <c r="M607" s="6">
        <f>HYPERLINK("https://map.naver.com/p/search/세종특별자치시 금남면 황용리 253-2", "지도Link")</f>
        <v/>
      </c>
      <c r="N607" s="6">
        <f>HYPERLINK("http://www.eum.go.kr/web/ar/lu/luLandDet.jsp?pnu=3611034030102530002&amp;isNoScr=script&amp;mode=search", "토지이음")</f>
        <v/>
      </c>
      <c r="O607" s="3" t="inlineStr">
        <is>
          <t>이서방</t>
        </is>
      </c>
      <c r="P607" s="3" t="n">
        <v>1</v>
      </c>
      <c r="Q607" s="3" t="n">
        <v>1180</v>
      </c>
      <c r="R607" s="3" t="inlineStr">
        <is>
          <t>지정되지않음</t>
        </is>
      </c>
      <c r="S607" s="3" t="inlineStr">
        <is>
          <t>전</t>
        </is>
      </c>
      <c r="T607" s="3" t="inlineStr">
        <is>
          <t>평지</t>
        </is>
      </c>
      <c r="U607" s="3" t="inlineStr">
        <is>
          <t>부정형</t>
        </is>
      </c>
      <c r="V607" s="3" t="inlineStr">
        <is>
          <t>세로한면(불)</t>
        </is>
      </c>
    </row>
    <row r="608">
      <c r="A608" s="3" t="inlineStr">
        <is>
          <t>세종특별자치시 금남면 황용리 254-4</t>
        </is>
      </c>
      <c r="B608" s="3" t="inlineStr">
        <is>
          <t>자연녹지지역</t>
        </is>
      </c>
      <c r="C608" s="3" t="inlineStr">
        <is>
          <t>대</t>
        </is>
      </c>
      <c r="D608" s="3" t="inlineStr">
        <is>
          <t>대</t>
        </is>
      </c>
      <c r="E608" s="3" t="inlineStr">
        <is>
          <t>매매</t>
        </is>
      </c>
      <c r="F608" s="4" t="n">
        <v>45000</v>
      </c>
      <c r="G608" s="4" t="n">
        <v>478</v>
      </c>
      <c r="H608" s="4" t="n">
        <v>145</v>
      </c>
      <c r="I608" s="5" t="n">
        <v>310.3</v>
      </c>
      <c r="J608" s="4" t="n">
        <v>133.9</v>
      </c>
      <c r="K608" s="3" t="inlineStr">
        <is>
          <t>사진첨부 세종시 금남면 황용리 당미서복마을 전원주택지 매매</t>
        </is>
      </c>
      <c r="L608" s="6">
        <f>HYPERLINK("https://fin.land.naver.com/articles/2646492820", "매물Link")</f>
        <v/>
      </c>
      <c r="M608" s="6">
        <f>HYPERLINK("https://map.naver.com/p/search/세종특별자치시 금남면 황용리 254-4", "지도Link")</f>
        <v/>
      </c>
      <c r="N608" s="6">
        <f>HYPERLINK("http://www.eum.go.kr/web/ar/lu/luLandDet.jsp?pnu=3611034030102540004&amp;isNoScr=script&amp;mode=search", "토지이음")</f>
        <v/>
      </c>
      <c r="O608" s="3" t="inlineStr">
        <is>
          <t>셀리</t>
        </is>
      </c>
      <c r="P608" s="3" t="n">
        <v>1</v>
      </c>
      <c r="Q608" s="3" t="n">
        <v>478</v>
      </c>
      <c r="R608" s="3" t="inlineStr">
        <is>
          <t>지정되지않음</t>
        </is>
      </c>
      <c r="S608" s="3" t="inlineStr">
        <is>
          <t>단독</t>
        </is>
      </c>
      <c r="T608" s="3" t="inlineStr">
        <is>
          <t>평지</t>
        </is>
      </c>
      <c r="U608" s="3" t="inlineStr">
        <is>
          <t>부정형</t>
        </is>
      </c>
      <c r="V608" s="3" t="inlineStr">
        <is>
          <t>세로한면(가)</t>
        </is>
      </c>
    </row>
    <row r="609">
      <c r="A609" s="3" t="inlineStr">
        <is>
          <t>세종특별자치시 금남면 황용리 268</t>
        </is>
      </c>
      <c r="B609" s="3" t="inlineStr">
        <is>
          <t>개발제한구역</t>
        </is>
      </c>
      <c r="C609" s="3" t="inlineStr">
        <is>
          <t>전</t>
        </is>
      </c>
      <c r="D609" s="3" t="inlineStr">
        <is>
          <t>전</t>
        </is>
      </c>
      <c r="E609" s="3" t="inlineStr">
        <is>
          <t>매매</t>
        </is>
      </c>
      <c r="F609" s="4" t="n">
        <v>20000</v>
      </c>
      <c r="G609" s="4" t="n">
        <v>1583</v>
      </c>
      <c r="H609" s="4" t="n">
        <v>479</v>
      </c>
      <c r="I609" s="5" t="n">
        <v>41.8</v>
      </c>
      <c r="J609" s="4" t="n">
        <v>31</v>
      </c>
      <c r="K609" s="3" t="inlineStr">
        <is>
          <t>조율가능 분할가능 주말농장 농막 물탱크 잔디마당</t>
        </is>
      </c>
      <c r="L609" s="6">
        <f>HYPERLINK("https://fin.land.naver.com/articles/2648716256", "매물Link")</f>
        <v/>
      </c>
      <c r="M609" s="6">
        <f>HYPERLINK("https://map.naver.com/p/search/세종특별자치시 금남면 황용리 268", "지도Link")</f>
        <v/>
      </c>
      <c r="N609" s="6">
        <f>HYPERLINK("http://www.eum.go.kr/web/ar/lu/luLandDet.jsp?pnu=3611034030102680000&amp;isNoScr=script&amp;mode=search", "토지이음")</f>
        <v/>
      </c>
      <c r="O609" s="3" t="inlineStr">
        <is>
          <t>세종스타</t>
        </is>
      </c>
      <c r="P609" s="3" t="n">
        <v>1</v>
      </c>
      <c r="Q609" s="3" t="n">
        <v>1583</v>
      </c>
      <c r="R609" s="3" t="inlineStr">
        <is>
          <t>지정되지않음</t>
        </is>
      </c>
      <c r="S609" s="3" t="inlineStr">
        <is>
          <t>전</t>
        </is>
      </c>
      <c r="T609" s="3" t="inlineStr">
        <is>
          <t>완경사</t>
        </is>
      </c>
      <c r="U609" s="3" t="inlineStr">
        <is>
          <t>부정형</t>
        </is>
      </c>
      <c r="V609" s="3" t="inlineStr">
        <is>
          <t>맹지</t>
        </is>
      </c>
    </row>
    <row r="610">
      <c r="A610" s="3" t="inlineStr">
        <is>
          <t>세종특별자치시 금남면 황용리 284</t>
        </is>
      </c>
      <c r="B610" s="3" t="inlineStr">
        <is>
          <t>자연녹지지역</t>
        </is>
      </c>
      <c r="C610" s="3" t="inlineStr">
        <is>
          <t>전</t>
        </is>
      </c>
      <c r="D610" s="3" t="inlineStr">
        <is>
          <t>전</t>
        </is>
      </c>
      <c r="E610" s="3" t="inlineStr">
        <is>
          <t>매매</t>
        </is>
      </c>
      <c r="F610" s="4" t="n">
        <v>30000</v>
      </c>
      <c r="G610" s="4" t="n">
        <v>750</v>
      </c>
      <c r="H610" s="4" t="n">
        <v>227</v>
      </c>
      <c r="I610" s="5" t="n">
        <v>132.2</v>
      </c>
      <c r="J610" s="4" t="n">
        <v>100.5</v>
      </c>
      <c r="K610" s="3" t="inlineStr">
        <is>
          <t>대지전환 후, 전원주택가</t>
        </is>
      </c>
      <c r="L610" s="6">
        <f>HYPERLINK("https://fin.land.naver.com/articles/2649561477", "매물Link")</f>
        <v/>
      </c>
      <c r="M610" s="6">
        <f>HYPERLINK("https://map.naver.com/p/search/세종특별자치시 금남면 황용리 284", "지도Link")</f>
        <v/>
      </c>
      <c r="N610" s="6">
        <f>HYPERLINK("http://www.eum.go.kr/web/ar/lu/luLandDet.jsp?pnu=3611034030102840000&amp;isNoScr=script&amp;mode=search", "토지이음")</f>
        <v/>
      </c>
      <c r="O610" s="3" t="inlineStr">
        <is>
          <t>원효</t>
        </is>
      </c>
      <c r="P610" s="3" t="n">
        <v>1</v>
      </c>
      <c r="Q610" s="3" t="n">
        <v>750</v>
      </c>
      <c r="R610" s="3" t="inlineStr">
        <is>
          <t>지정되지않음</t>
        </is>
      </c>
      <c r="S610" s="3" t="inlineStr">
        <is>
          <t>과수원</t>
        </is>
      </c>
      <c r="T610" s="3" t="inlineStr">
        <is>
          <t>평지</t>
        </is>
      </c>
      <c r="U610" s="3" t="inlineStr">
        <is>
          <t>부정형</t>
        </is>
      </c>
      <c r="V610" s="3" t="inlineStr">
        <is>
          <t>세로한면(가)</t>
        </is>
      </c>
    </row>
    <row r="611">
      <c r="A611" s="3" t="inlineStr">
        <is>
          <t>세종특별자치시 금남면 황용리 338</t>
        </is>
      </c>
      <c r="B611" s="3" t="inlineStr">
        <is>
          <t>개발제한구역</t>
        </is>
      </c>
      <c r="C611" s="3" t="inlineStr">
        <is>
          <t>답</t>
        </is>
      </c>
      <c r="D611" s="3" t="inlineStr">
        <is>
          <t>답</t>
        </is>
      </c>
      <c r="E611" s="3" t="inlineStr">
        <is>
          <t>매매</t>
        </is>
      </c>
      <c r="F611" s="4" t="n">
        <v>15000</v>
      </c>
      <c r="G611" s="4" t="n">
        <v>497</v>
      </c>
      <c r="H611" s="4" t="n">
        <v>150</v>
      </c>
      <c r="I611" s="5" t="n">
        <v>100</v>
      </c>
      <c r="J611" s="4" t="n">
        <v>46.8</v>
      </c>
      <c r="K611" s="3" t="inlineStr">
        <is>
          <t>현 지목은 답 되어있으며 도시접근성및 세종인근 지역으로 투지가치가도 있음</t>
        </is>
      </c>
      <c r="L611" s="6">
        <f>HYPERLINK("https://fin.land.naver.com/articles/2647576690", "매물Link")</f>
        <v/>
      </c>
      <c r="M611" s="6">
        <f>HYPERLINK("https://map.naver.com/p/search/세종특별자치시 금남면 황용리 338", "지도Link")</f>
        <v/>
      </c>
      <c r="N611" s="6">
        <f>HYPERLINK("http://www.eum.go.kr/web/ar/lu/luLandDet.jsp?pnu=3611034030103380000&amp;isNoScr=script&amp;mode=search", "토지이음")</f>
        <v/>
      </c>
      <c r="O611" s="3" t="inlineStr">
        <is>
          <t>은어송하늘채무소</t>
        </is>
      </c>
      <c r="P611" s="3" t="n">
        <v>1</v>
      </c>
      <c r="Q611" s="3" t="n">
        <v>497</v>
      </c>
      <c r="R611" s="3" t="inlineStr">
        <is>
          <t>지정되지않음</t>
        </is>
      </c>
      <c r="S611" s="3" t="inlineStr">
        <is>
          <t>답</t>
        </is>
      </c>
      <c r="T611" s="3" t="inlineStr">
        <is>
          <t>평지</t>
        </is>
      </c>
      <c r="U611" s="3" t="inlineStr">
        <is>
          <t>부정형</t>
        </is>
      </c>
      <c r="V611" s="3" t="inlineStr">
        <is>
          <t>세로한면(가)</t>
        </is>
      </c>
    </row>
    <row r="612">
      <c r="A612" s="3" t="inlineStr">
        <is>
          <t>세종특별자치시 금남면 황용리 364</t>
        </is>
      </c>
      <c r="B612" s="3" t="inlineStr">
        <is>
          <t>개발제한구역</t>
        </is>
      </c>
      <c r="C612" s="3" t="inlineStr">
        <is>
          <t>전</t>
        </is>
      </c>
      <c r="D612" s="3" t="inlineStr">
        <is>
          <t>전</t>
        </is>
      </c>
      <c r="E612" s="3" t="inlineStr">
        <is>
          <t>매매</t>
        </is>
      </c>
      <c r="F612" s="4" t="n">
        <v>15600</v>
      </c>
      <c r="G612" s="4" t="n">
        <v>737</v>
      </c>
      <c r="H612" s="4" t="n">
        <v>223</v>
      </c>
      <c r="I612" s="5" t="n">
        <v>70</v>
      </c>
      <c r="J612" s="4" t="n">
        <v>32.7</v>
      </c>
      <c r="K612" s="3" t="inlineStr">
        <is>
          <t>세종시청 약 10분, 구즉세종로 인접 및 차량진입 가능한 도시근교 농지</t>
        </is>
      </c>
      <c r="L612" s="6">
        <f>HYPERLINK("https://fin.land.naver.com/articles/2648832642", "매물Link")</f>
        <v/>
      </c>
      <c r="M612" s="6">
        <f>HYPERLINK("https://map.naver.com/p/search/세종특별자치시 금남면 황용리 364", "지도Link")</f>
        <v/>
      </c>
      <c r="N612" s="6">
        <f>HYPERLINK("http://www.eum.go.kr/web/ar/lu/luLandDet.jsp?pnu=3611034030103640000&amp;isNoScr=script&amp;mode=search", "토지이음")</f>
        <v/>
      </c>
      <c r="O612" s="3" t="inlineStr">
        <is>
          <t>세종소담황금</t>
        </is>
      </c>
      <c r="P612" s="3" t="n">
        <v>1</v>
      </c>
      <c r="Q612" s="3" t="n">
        <v>737</v>
      </c>
      <c r="R612" s="3" t="inlineStr">
        <is>
          <t>지정되지않음</t>
        </is>
      </c>
      <c r="S612" s="3" t="inlineStr">
        <is>
          <t>전</t>
        </is>
      </c>
      <c r="T612" s="3" t="inlineStr">
        <is>
          <t>완경사</t>
        </is>
      </c>
      <c r="U612" s="3" t="inlineStr">
        <is>
          <t>사다리형</t>
        </is>
      </c>
      <c r="V612" s="3" t="inlineStr">
        <is>
          <t>맹지</t>
        </is>
      </c>
    </row>
    <row r="613">
      <c r="A613" s="3" t="inlineStr">
        <is>
          <t>세종특별자치시 금남면 황용리 402-16</t>
        </is>
      </c>
      <c r="B613" s="3" t="inlineStr">
        <is>
          <t>개발제한구역</t>
        </is>
      </c>
      <c r="C613" s="3" t="inlineStr">
        <is>
          <t>답</t>
        </is>
      </c>
      <c r="D613" s="3" t="inlineStr">
        <is>
          <t>답</t>
        </is>
      </c>
      <c r="E613" s="3" t="inlineStr">
        <is>
          <t>매매</t>
        </is>
      </c>
      <c r="F613" s="4" t="n">
        <v>16000</v>
      </c>
      <c r="G613" s="4" t="n">
        <v>1046</v>
      </c>
      <c r="H613" s="4" t="n">
        <v>316</v>
      </c>
      <c r="I613" s="5" t="n">
        <v>50.6</v>
      </c>
      <c r="J613" s="4" t="n">
        <v>39.5</v>
      </c>
      <c r="K613" s="3" t="inlineStr">
        <is>
          <t>주말농장,</t>
        </is>
      </c>
      <c r="L613" s="6">
        <f>HYPERLINK("https://fin.land.naver.com/articles/2644061622", "매물Link")</f>
        <v/>
      </c>
      <c r="M613" s="6">
        <f>HYPERLINK("https://map.naver.com/p/search/세종특별자치시 금남면 황용리 402-16", "지도Link")</f>
        <v/>
      </c>
      <c r="N613" s="6">
        <f>HYPERLINK("http://www.eum.go.kr/web/ar/lu/luLandDet.jsp?pnu=3611034030104020016&amp;isNoScr=script&amp;mode=search", "토지이음")</f>
        <v/>
      </c>
      <c r="O613" s="3" t="inlineStr">
        <is>
          <t>원효</t>
        </is>
      </c>
      <c r="P613" s="3" t="n">
        <v>1</v>
      </c>
      <c r="Q613" s="3" t="n">
        <v>1644</v>
      </c>
      <c r="R613" s="3" t="inlineStr">
        <is>
          <t>지정되지않음</t>
        </is>
      </c>
      <c r="S613" s="3" t="inlineStr">
        <is>
          <t>답</t>
        </is>
      </c>
      <c r="T613" s="3" t="inlineStr">
        <is>
          <t>평지</t>
        </is>
      </c>
      <c r="U613" s="3" t="inlineStr">
        <is>
          <t>세로장방</t>
        </is>
      </c>
      <c r="V613" s="3" t="inlineStr">
        <is>
          <t>세로한면(가)</t>
        </is>
      </c>
    </row>
    <row r="614">
      <c r="A614" s="3" t="inlineStr">
        <is>
          <t>세종특별자치시 금남면 황용리 403-10</t>
        </is>
      </c>
      <c r="B614" s="3" t="inlineStr">
        <is>
          <t>개발제한구역</t>
        </is>
      </c>
      <c r="C614" s="3" t="inlineStr">
        <is>
          <t>답</t>
        </is>
      </c>
      <c r="D614" s="3" t="inlineStr">
        <is>
          <t>답</t>
        </is>
      </c>
      <c r="E614" s="3" t="inlineStr">
        <is>
          <t>매매</t>
        </is>
      </c>
      <c r="F614" s="4" t="n">
        <v>22000</v>
      </c>
      <c r="G614" s="4" t="n">
        <v>723</v>
      </c>
      <c r="H614" s="4" t="n">
        <v>219</v>
      </c>
      <c r="I614" s="5" t="n">
        <v>100.5</v>
      </c>
      <c r="J614" s="4" t="n">
        <v>43.8</v>
      </c>
      <c r="K614" s="3" t="inlineStr">
        <is>
          <t>명성공인, 전용220, 금남면 황용리 답 추천 매물</t>
        </is>
      </c>
      <c r="L614" s="6">
        <f>HYPERLINK("https://fin.land.naver.com/articles/2648045218", "매물Link")</f>
        <v/>
      </c>
      <c r="M614" s="6">
        <f>HYPERLINK("https://map.naver.com/p/search/세종특별자치시 금남면 황용리 403-10", "지도Link")</f>
        <v/>
      </c>
      <c r="N614" s="6">
        <f>HYPERLINK("http://www.eum.go.kr/web/ar/lu/luLandDet.jsp?pnu=3611034030104030010&amp;isNoScr=script&amp;mode=search", "토지이음")</f>
        <v/>
      </c>
      <c r="O614" s="3" t="inlineStr">
        <is>
          <t>명성</t>
        </is>
      </c>
      <c r="P614" s="3" t="n">
        <v>1</v>
      </c>
      <c r="Q614" s="3" t="n">
        <v>723</v>
      </c>
      <c r="R614" s="3" t="inlineStr">
        <is>
          <t>지정되지않음</t>
        </is>
      </c>
      <c r="S614" s="3" t="inlineStr">
        <is>
          <t>답</t>
        </is>
      </c>
      <c r="T614" s="3" t="inlineStr">
        <is>
          <t>평지</t>
        </is>
      </c>
      <c r="U614" s="3" t="inlineStr">
        <is>
          <t>사다리형</t>
        </is>
      </c>
      <c r="V614" s="3" t="inlineStr">
        <is>
          <t>세로한면(가)</t>
        </is>
      </c>
    </row>
    <row r="615">
      <c r="A615" s="3" t="inlineStr">
        <is>
          <t>세종특별자치시 금남면 황용리 404-13</t>
        </is>
      </c>
      <c r="B615" s="3" t="inlineStr">
        <is>
          <t>개발제한구역</t>
        </is>
      </c>
      <c r="C615" s="3" t="inlineStr">
        <is>
          <t>답</t>
        </is>
      </c>
      <c r="D615" s="3" t="inlineStr">
        <is>
          <t>답</t>
        </is>
      </c>
      <c r="E615" s="3" t="inlineStr">
        <is>
          <t>매매</t>
        </is>
      </c>
      <c r="F615" s="4" t="n">
        <v>36000</v>
      </c>
      <c r="G615" s="4" t="n">
        <v>2971</v>
      </c>
      <c r="H615" s="4" t="n">
        <v>899</v>
      </c>
      <c r="I615" s="5" t="n">
        <v>40</v>
      </c>
      <c r="J615" s="4" t="n">
        <v>39.5</v>
      </c>
      <c r="K615" s="3" t="inlineStr">
        <is>
          <t>급매,</t>
        </is>
      </c>
      <c r="L615" s="6">
        <f>HYPERLINK("https://fin.land.naver.com/articles/2649207914", "매물Link")</f>
        <v/>
      </c>
      <c r="M615" s="6">
        <f>HYPERLINK("https://map.naver.com/p/search/세종특별자치시 금남면 황용리 404-13", "지도Link")</f>
        <v/>
      </c>
      <c r="N615" s="6">
        <f>HYPERLINK("http://www.eum.go.kr/web/ar/lu/luLandDet.jsp?pnu=3611034030104040013&amp;isNoScr=script&amp;mode=search", "토지이음")</f>
        <v/>
      </c>
      <c r="O615" s="3" t="inlineStr">
        <is>
          <t>원효</t>
        </is>
      </c>
      <c r="P615" s="3" t="n">
        <v>1</v>
      </c>
      <c r="Q615" s="3" t="n">
        <v>2971</v>
      </c>
      <c r="R615" s="3" t="inlineStr">
        <is>
          <t>지정되지않음</t>
        </is>
      </c>
      <c r="S615" s="3" t="inlineStr">
        <is>
          <t>답</t>
        </is>
      </c>
      <c r="T615" s="3" t="inlineStr">
        <is>
          <t>평지</t>
        </is>
      </c>
      <c r="U615" s="3" t="inlineStr">
        <is>
          <t>세로장방</t>
        </is>
      </c>
      <c r="V615" s="3" t="inlineStr">
        <is>
          <t>세로한면(가)</t>
        </is>
      </c>
    </row>
    <row r="616">
      <c r="A616" s="3" t="inlineStr">
        <is>
          <t>세종특별자치시 금남면 황용리 414-6</t>
        </is>
      </c>
      <c r="B616" s="3" t="inlineStr">
        <is>
          <t>개발제한구역</t>
        </is>
      </c>
      <c r="C616" s="3" t="inlineStr">
        <is>
          <t>답</t>
        </is>
      </c>
      <c r="D616" s="3" t="inlineStr">
        <is>
          <t>답</t>
        </is>
      </c>
      <c r="E616" s="3" t="inlineStr">
        <is>
          <t>매매</t>
        </is>
      </c>
      <c r="F616" s="4" t="n">
        <v>25000</v>
      </c>
      <c r="G616" s="4" t="n">
        <v>762</v>
      </c>
      <c r="H616" s="4" t="n">
        <v>231</v>
      </c>
      <c r="I616" s="5" t="n">
        <v>108.2</v>
      </c>
      <c r="J616" s="4" t="n">
        <v>39.6</v>
      </c>
      <c r="K616" s="3" t="inlineStr">
        <is>
          <t>답.자연녹지.행복도시인접지역.</t>
        </is>
      </c>
      <c r="L616" s="6">
        <f>HYPERLINK("https://fin.land.naver.com/articles/2648919540", "매물Link")</f>
        <v/>
      </c>
      <c r="M616" s="6">
        <f>HYPERLINK("https://map.naver.com/p/search/세종특별자치시 금남면 황용리 414-6", "지도Link")</f>
        <v/>
      </c>
      <c r="N616" s="6">
        <f>HYPERLINK("http://www.eum.go.kr/web/ar/lu/luLandDet.jsp?pnu=3611034030104140006&amp;isNoScr=script&amp;mode=search", "토지이음")</f>
        <v/>
      </c>
      <c r="O616" s="3" t="inlineStr">
        <is>
          <t>소담베스트</t>
        </is>
      </c>
      <c r="P616" s="3" t="n">
        <v>1</v>
      </c>
      <c r="Q616" s="3" t="n">
        <v>762</v>
      </c>
      <c r="R616" s="3" t="inlineStr">
        <is>
          <t>지정되지않음</t>
        </is>
      </c>
      <c r="S616" s="3" t="inlineStr">
        <is>
          <t>답</t>
        </is>
      </c>
      <c r="T616" s="3" t="inlineStr">
        <is>
          <t>평지</t>
        </is>
      </c>
      <c r="U616" s="3" t="inlineStr">
        <is>
          <t>세로장방</t>
        </is>
      </c>
      <c r="V616" s="3" t="inlineStr">
        <is>
          <t>세로한면(가)</t>
        </is>
      </c>
    </row>
    <row r="617">
      <c r="A617" s="3" t="inlineStr">
        <is>
          <t>세종특별자치시 금남면 황용리 414-9</t>
        </is>
      </c>
      <c r="B617" s="3" t="inlineStr">
        <is>
          <t>개발제한구역</t>
        </is>
      </c>
      <c r="C617" s="3" t="inlineStr">
        <is>
          <t>답</t>
        </is>
      </c>
      <c r="D617" s="3" t="inlineStr">
        <is>
          <t>답</t>
        </is>
      </c>
      <c r="E617" s="3" t="inlineStr">
        <is>
          <t>매매</t>
        </is>
      </c>
      <c r="F617" s="4" t="n">
        <v>34900</v>
      </c>
      <c r="G617" s="4" t="n">
        <v>1153</v>
      </c>
      <c r="H617" s="4" t="n">
        <v>349</v>
      </c>
      <c r="I617" s="5" t="n">
        <v>100</v>
      </c>
      <c r="J617" s="4" t="n">
        <v>39.6</v>
      </c>
      <c r="K617" s="3" t="inlineStr">
        <is>
          <t>nan</t>
        </is>
      </c>
      <c r="L617" s="6">
        <f>HYPERLINK("https://fin.land.naver.com/articles/2645371826", "매물Link")</f>
        <v/>
      </c>
      <c r="M617" s="6">
        <f>HYPERLINK("https://map.naver.com/p/search/세종특별자치시 금남면 황용리 414-9", "지도Link")</f>
        <v/>
      </c>
      <c r="N617" s="6">
        <f>HYPERLINK("http://www.eum.go.kr/web/ar/lu/luLandDet.jsp?pnu=3611034030104140009&amp;isNoScr=script&amp;mode=search", "토지이음")</f>
        <v/>
      </c>
      <c r="O617" s="3" t="inlineStr">
        <is>
          <t>현대엠코</t>
        </is>
      </c>
      <c r="P617" s="3" t="n">
        <v>1</v>
      </c>
      <c r="Q617" s="3" t="n">
        <v>1153</v>
      </c>
      <c r="R617" s="3" t="inlineStr">
        <is>
          <t>지정되지않음</t>
        </is>
      </c>
      <c r="S617" s="3" t="inlineStr">
        <is>
          <t>답</t>
        </is>
      </c>
      <c r="T617" s="3" t="inlineStr">
        <is>
          <t>평지</t>
        </is>
      </c>
      <c r="U617" s="3" t="inlineStr">
        <is>
          <t>사다리형</t>
        </is>
      </c>
      <c r="V617" s="3" t="inlineStr">
        <is>
          <t>세로한면(가)</t>
        </is>
      </c>
    </row>
    <row r="618">
      <c r="A618" s="3" t="inlineStr">
        <is>
          <t>세종특별자치시 금남면 황용리 416-1</t>
        </is>
      </c>
      <c r="B618" s="3" t="inlineStr">
        <is>
          <t>개발제한구역</t>
        </is>
      </c>
      <c r="C618" s="3" t="inlineStr">
        <is>
          <t>답</t>
        </is>
      </c>
      <c r="D618" s="3" t="inlineStr">
        <is>
          <t>답</t>
        </is>
      </c>
      <c r="E618" s="3" t="inlineStr">
        <is>
          <t>매매</t>
        </is>
      </c>
      <c r="F618" s="4" t="n">
        <v>85940</v>
      </c>
      <c r="G618" s="4" t="n">
        <v>2840</v>
      </c>
      <c r="H618" s="4" t="n">
        <v>859</v>
      </c>
      <c r="I618" s="5" t="n">
        <v>100</v>
      </c>
      <c r="J618" s="4" t="n">
        <v>43.7</v>
      </c>
      <c r="K618" s="3" t="inlineStr">
        <is>
          <t>nan</t>
        </is>
      </c>
      <c r="L618" s="6">
        <f>HYPERLINK("https://fin.land.naver.com/articles/2646824034", "매물Link")</f>
        <v/>
      </c>
      <c r="M618" s="6">
        <f>HYPERLINK("https://map.naver.com/p/search/세종특별자치시 금남면 황용리 416-1", "지도Link")</f>
        <v/>
      </c>
      <c r="N618" s="6">
        <f>HYPERLINK("http://www.eum.go.kr/web/ar/lu/luLandDet.jsp?pnu=3611034030104160001&amp;isNoScr=script&amp;mode=search", "토지이음")</f>
        <v/>
      </c>
      <c r="O618" s="3" t="inlineStr">
        <is>
          <t>세종대평</t>
        </is>
      </c>
      <c r="P618" s="3" t="n">
        <v>1</v>
      </c>
      <c r="Q618" s="3" t="n">
        <v>2841</v>
      </c>
      <c r="R618" s="3" t="inlineStr">
        <is>
          <t>지정되지않음</t>
        </is>
      </c>
      <c r="S618" s="3" t="inlineStr">
        <is>
          <t>답</t>
        </is>
      </c>
      <c r="T618" s="3" t="inlineStr">
        <is>
          <t>평지</t>
        </is>
      </c>
      <c r="U618" s="3" t="inlineStr">
        <is>
          <t>부정형</t>
        </is>
      </c>
      <c r="V618" s="3" t="inlineStr">
        <is>
          <t>세로한면(가)</t>
        </is>
      </c>
    </row>
    <row r="619">
      <c r="A619" s="3" t="inlineStr">
        <is>
          <t>세종특별자치시 금남면 황용리 418-18</t>
        </is>
      </c>
      <c r="B619" s="3" t="inlineStr">
        <is>
          <t>개발제한구역</t>
        </is>
      </c>
      <c r="C619" s="3" t="inlineStr">
        <is>
          <t>답</t>
        </is>
      </c>
      <c r="D619" s="3" t="inlineStr">
        <is>
          <t>답</t>
        </is>
      </c>
      <c r="E619" s="3" t="inlineStr">
        <is>
          <t>매매</t>
        </is>
      </c>
      <c r="F619" s="4" t="n">
        <v>21300</v>
      </c>
      <c r="G619" s="4" t="n">
        <v>1007</v>
      </c>
      <c r="H619" s="4" t="n">
        <v>305</v>
      </c>
      <c r="I619" s="5" t="n">
        <v>69.8</v>
      </c>
      <c r="J619" s="4" t="n">
        <v>39.9</v>
      </c>
      <c r="K619" s="3" t="inlineStr">
        <is>
          <t>세종 신도심 가까운 평탄한 농지, 도로배수 양호한 장기보유형 토지</t>
        </is>
      </c>
      <c r="L619" s="6">
        <f>HYPERLINK("https://fin.land.naver.com/articles/2648833123", "매물Link")</f>
        <v/>
      </c>
      <c r="M619" s="6">
        <f>HYPERLINK("https://map.naver.com/p/search/세종특별자치시 금남면 황용리 418-18", "지도Link")</f>
        <v/>
      </c>
      <c r="N619" s="6">
        <f>HYPERLINK("http://www.eum.go.kr/web/ar/lu/luLandDet.jsp?pnu=3611034030104180018&amp;isNoScr=script&amp;mode=search", "토지이음")</f>
        <v/>
      </c>
      <c r="O619" s="3" t="inlineStr">
        <is>
          <t>세종소담황금</t>
        </is>
      </c>
      <c r="P619" s="3" t="n">
        <v>1</v>
      </c>
      <c r="Q619" s="3" t="n">
        <v>1007</v>
      </c>
      <c r="R619" s="3" t="inlineStr">
        <is>
          <t>지정되지않음</t>
        </is>
      </c>
      <c r="S619" s="3" t="inlineStr">
        <is>
          <t>답</t>
        </is>
      </c>
      <c r="T619" s="3" t="inlineStr">
        <is>
          <t>평지</t>
        </is>
      </c>
      <c r="U619" s="3" t="inlineStr">
        <is>
          <t>세로장방</t>
        </is>
      </c>
      <c r="V619" s="3" t="inlineStr">
        <is>
          <t>세로한면(가)</t>
        </is>
      </c>
    </row>
    <row r="620">
      <c r="A620" s="3" t="inlineStr">
        <is>
          <t>세종특별자치시 금남면 황용리 435-6</t>
        </is>
      </c>
      <c r="B620" s="3" t="inlineStr">
        <is>
          <t>계획관리지역</t>
        </is>
      </c>
      <c r="C620" s="3" t="inlineStr">
        <is>
          <t>대</t>
        </is>
      </c>
      <c r="D620" s="3" t="inlineStr">
        <is>
          <t>대</t>
        </is>
      </c>
      <c r="E620" s="3" t="inlineStr">
        <is>
          <t>매매</t>
        </is>
      </c>
      <c r="F620" s="4" t="n">
        <v>200000</v>
      </c>
      <c r="G620" s="4" t="n">
        <v>661</v>
      </c>
      <c r="H620" s="4" t="n">
        <v>200</v>
      </c>
      <c r="I620" s="5" t="n">
        <v>1000</v>
      </c>
      <c r="J620" s="4" t="n">
        <v>446</v>
      </c>
      <c r="K620" s="3" t="inlineStr">
        <is>
          <t>OK  계획관리. 성장관리계획구역. 대로변 인접. 접근성 좋음</t>
        </is>
      </c>
      <c r="L620" s="6">
        <f>HYPERLINK("https://fin.land.naver.com/articles/2647858905", "매물Link")</f>
        <v/>
      </c>
      <c r="M620" s="6">
        <f>HYPERLINK("https://map.naver.com/p/search/세종특별자치시 금남면 황용리 435-6", "지도Link")</f>
        <v/>
      </c>
      <c r="N620" s="6">
        <f>HYPERLINK("http://www.eum.go.kr/web/ar/lu/luLandDet.jsp?pnu=3611034030104350006&amp;isNoScr=script&amp;mode=search", "토지이음")</f>
        <v/>
      </c>
      <c r="O620" s="3" t="inlineStr">
        <is>
          <t>OK</t>
        </is>
      </c>
      <c r="P620" s="3" t="n">
        <v>1</v>
      </c>
      <c r="Q620" s="3" t="n">
        <v>661</v>
      </c>
      <c r="R620" s="3" t="inlineStr">
        <is>
          <t>지정되지않음</t>
        </is>
      </c>
      <c r="S620" s="3" t="inlineStr">
        <is>
          <t>업무용</t>
        </is>
      </c>
      <c r="T620" s="3" t="inlineStr">
        <is>
          <t>평지</t>
        </is>
      </c>
      <c r="U620" s="3" t="inlineStr">
        <is>
          <t>사다리형</t>
        </is>
      </c>
      <c r="V620" s="3" t="inlineStr">
        <is>
          <t>소로한면</t>
        </is>
      </c>
    </row>
    <row r="621">
      <c r="A621" s="3" t="inlineStr">
        <is>
          <t>세종특별자치시 금남면 황용리 438-1</t>
        </is>
      </c>
      <c r="B621" s="3" t="inlineStr">
        <is>
          <t>생산관리지역</t>
        </is>
      </c>
      <c r="C621" s="3" t="inlineStr">
        <is>
          <t>대</t>
        </is>
      </c>
      <c r="D621" s="3" t="inlineStr">
        <is>
          <t>대</t>
        </is>
      </c>
      <c r="E621" s="3" t="inlineStr">
        <is>
          <t>매매</t>
        </is>
      </c>
      <c r="F621" s="4" t="n">
        <v>220000</v>
      </c>
      <c r="G621" s="4" t="n">
        <v>909</v>
      </c>
      <c r="H621" s="4" t="n">
        <v>275</v>
      </c>
      <c r="I621" s="5" t="n">
        <v>800</v>
      </c>
      <c r="J621" s="4" t="n">
        <v>324.6</v>
      </c>
      <c r="K621" s="3" t="inlineStr">
        <is>
          <t>nan</t>
        </is>
      </c>
      <c r="L621" s="6">
        <f>HYPERLINK("https://fin.land.naver.com/articles/2647216340", "매물Link")</f>
        <v/>
      </c>
      <c r="M621" s="6">
        <f>HYPERLINK("https://map.naver.com/p/search/세종특별자치시 금남면 황용리 438-1", "지도Link")</f>
        <v/>
      </c>
      <c r="N621" s="6">
        <f>HYPERLINK("http://www.eum.go.kr/web/ar/lu/luLandDet.jsp?pnu=3611034030104380001&amp;isNoScr=script&amp;mode=search", "토지이음")</f>
        <v/>
      </c>
      <c r="O621" s="3" t="inlineStr">
        <is>
          <t>장수</t>
        </is>
      </c>
      <c r="P621" s="3" t="n">
        <v>2</v>
      </c>
      <c r="Q621" s="3" t="n">
        <v>853</v>
      </c>
      <c r="R621" s="3" t="inlineStr">
        <is>
          <t>지정되지않음</t>
        </is>
      </c>
      <c r="S621" s="3" t="inlineStr">
        <is>
          <t>상업용</t>
        </is>
      </c>
      <c r="T621" s="3" t="inlineStr">
        <is>
          <t>평지</t>
        </is>
      </c>
      <c r="U621" s="3" t="inlineStr">
        <is>
          <t>사다리형</t>
        </is>
      </c>
      <c r="V621" s="3" t="inlineStr">
        <is>
          <t>세로한면(가)</t>
        </is>
      </c>
    </row>
    <row r="622">
      <c r="A622" s="3" t="inlineStr">
        <is>
          <t>세종특별자치시 금남면 황용리 438-2</t>
        </is>
      </c>
      <c r="B622" s="3" t="inlineStr">
        <is>
          <t>생산관리지역</t>
        </is>
      </c>
      <c r="C622" s="3" t="inlineStr">
        <is>
          <t>대</t>
        </is>
      </c>
      <c r="D622" s="3" t="inlineStr">
        <is>
          <t>대</t>
        </is>
      </c>
      <c r="E622" s="3" t="inlineStr">
        <is>
          <t>매매</t>
        </is>
      </c>
      <c r="F622" s="4" t="n">
        <v>200000</v>
      </c>
      <c r="G622" s="4" t="n">
        <v>840</v>
      </c>
      <c r="H622" s="4" t="n">
        <v>254</v>
      </c>
      <c r="I622" s="5" t="n">
        <v>787.4</v>
      </c>
      <c r="J622" s="4" t="n">
        <v>324.6</v>
      </c>
      <c r="K622" s="3" t="inlineStr">
        <is>
          <t>세종과 과학밸트 약10분내위치, 도로접, 다양업종가능해요</t>
        </is>
      </c>
      <c r="L622" s="6">
        <f>HYPERLINK("https://fin.land.naver.com/articles/2644385493", "매물Link")</f>
        <v/>
      </c>
      <c r="M622" s="6">
        <f>HYPERLINK("https://map.naver.com/p/search/세종특별자치시 금남면 황용리 438-2", "지도Link")</f>
        <v/>
      </c>
      <c r="N622" s="6">
        <f>HYPERLINK("http://www.eum.go.kr/web/ar/lu/luLandDet.jsp?pnu=3611034030104380002&amp;isNoScr=script&amp;mode=search", "토지이음")</f>
        <v/>
      </c>
      <c r="O622" s="3" t="inlineStr">
        <is>
          <t>큰길</t>
        </is>
      </c>
      <c r="P622" s="3" t="n">
        <v>1</v>
      </c>
      <c r="Q622" s="3" t="n">
        <v>804</v>
      </c>
      <c r="R622" s="3" t="inlineStr">
        <is>
          <t>지정되지않음</t>
        </is>
      </c>
      <c r="S622" s="3" t="inlineStr">
        <is>
          <t>상업용</t>
        </is>
      </c>
      <c r="T622" s="3" t="inlineStr">
        <is>
          <t>평지</t>
        </is>
      </c>
      <c r="U622" s="3" t="inlineStr">
        <is>
          <t>사다리형</t>
        </is>
      </c>
      <c r="V622" s="3" t="inlineStr">
        <is>
          <t>세로한면(가)</t>
        </is>
      </c>
    </row>
    <row r="623">
      <c r="A623" s="3" t="inlineStr">
        <is>
          <t>세종특별자치시 금남면 황용리 438-5</t>
        </is>
      </c>
      <c r="B623" s="3" t="inlineStr">
        <is>
          <t>생산관리지역</t>
        </is>
      </c>
      <c r="C623" s="3" t="inlineStr">
        <is>
          <t>대</t>
        </is>
      </c>
      <c r="D623" s="3" t="inlineStr">
        <is>
          <t>대</t>
        </is>
      </c>
      <c r="E623" s="3" t="inlineStr">
        <is>
          <t>매매</t>
        </is>
      </c>
      <c r="F623" s="4" t="n">
        <v>220000</v>
      </c>
      <c r="G623" s="4" t="n">
        <v>860</v>
      </c>
      <c r="H623" s="4" t="n">
        <v>260</v>
      </c>
      <c r="I623" s="5" t="n">
        <v>846.2</v>
      </c>
      <c r="J623" s="4" t="n">
        <v>305</v>
      </c>
      <c r="K623" s="3" t="inlineStr">
        <is>
          <t>세종과 과학밸트 약10분내거리, 다양한용도 가능해요</t>
        </is>
      </c>
      <c r="L623" s="6">
        <f>HYPERLINK("https://fin.land.naver.com/articles/2644528726", "매물Link")</f>
        <v/>
      </c>
      <c r="M623" s="6">
        <f>HYPERLINK("https://map.naver.com/p/search/세종특별자치시 금남면 황용리 438-5", "지도Link")</f>
        <v/>
      </c>
      <c r="N623" s="6">
        <f>HYPERLINK("http://www.eum.go.kr/web/ar/lu/luLandDet.jsp?pnu=3611034030104380005&amp;isNoScr=script&amp;mode=search", "토지이음")</f>
        <v/>
      </c>
      <c r="O623" s="3" t="inlineStr">
        <is>
          <t>큰길</t>
        </is>
      </c>
      <c r="P623" s="3" t="n">
        <v>1</v>
      </c>
      <c r="Q623" s="3" t="n">
        <v>825</v>
      </c>
      <c r="R623" s="3" t="inlineStr">
        <is>
          <t>지정되지않음</t>
        </is>
      </c>
      <c r="S623" s="3" t="inlineStr">
        <is>
          <t>상업용</t>
        </is>
      </c>
      <c r="T623" s="3" t="inlineStr">
        <is>
          <t>평지</t>
        </is>
      </c>
      <c r="U623" s="3" t="inlineStr">
        <is>
          <t>자루형</t>
        </is>
      </c>
      <c r="V623" s="3" t="inlineStr">
        <is>
          <t>세로한면(가)</t>
        </is>
      </c>
    </row>
    <row r="624">
      <c r="A624" s="3" t="inlineStr">
        <is>
          <t>세종특별자치시 금남면 황용리 439-1</t>
        </is>
      </c>
      <c r="B624" s="3" t="inlineStr">
        <is>
          <t>생산관리지역</t>
        </is>
      </c>
      <c r="C624" s="3" t="inlineStr">
        <is>
          <t>답</t>
        </is>
      </c>
      <c r="D624" s="3" t="inlineStr">
        <is>
          <t>답</t>
        </is>
      </c>
      <c r="E624" s="3" t="inlineStr">
        <is>
          <t>매매</t>
        </is>
      </c>
      <c r="F624" s="4" t="n">
        <v>227500</v>
      </c>
      <c r="G624" s="4" t="n">
        <v>2150</v>
      </c>
      <c r="H624" s="4" t="n">
        <v>650</v>
      </c>
      <c r="I624" s="5" t="n">
        <v>350</v>
      </c>
      <c r="J624" s="4" t="n">
        <v>141.8</v>
      </c>
      <c r="K624" s="3" t="inlineStr">
        <is>
          <t>농지, 좋은 위치</t>
        </is>
      </c>
      <c r="L624" s="6">
        <f>HYPERLINK("https://fin.land.naver.com/articles/2644598890", "매물Link")</f>
        <v/>
      </c>
      <c r="M624" s="6">
        <f>HYPERLINK("https://map.naver.com/p/search/세종특별자치시 금남면 황용리 439-1", "지도Link")</f>
        <v/>
      </c>
      <c r="N624" s="6">
        <f>HYPERLINK("http://www.eum.go.kr/web/ar/lu/luLandDet.jsp?pnu=3611034030104390001&amp;isNoScr=script&amp;mode=search", "토지이음")</f>
        <v/>
      </c>
      <c r="O624" s="3" t="inlineStr">
        <is>
          <t>세종몽땅</t>
        </is>
      </c>
      <c r="P624" s="3" t="n">
        <v>1</v>
      </c>
      <c r="Q624" s="3" t="n">
        <v>2150</v>
      </c>
      <c r="R624" s="3" t="inlineStr">
        <is>
          <t>지정되지않음</t>
        </is>
      </c>
      <c r="S624" s="3" t="inlineStr">
        <is>
          <t>전</t>
        </is>
      </c>
      <c r="T624" s="3" t="inlineStr">
        <is>
          <t>평지</t>
        </is>
      </c>
      <c r="U624" s="3" t="inlineStr">
        <is>
          <t>부정형</t>
        </is>
      </c>
      <c r="V624" s="3" t="inlineStr">
        <is>
          <t>세로한면(가)</t>
        </is>
      </c>
    </row>
    <row r="625">
      <c r="A625" s="3" t="inlineStr">
        <is>
          <t>세종특별자치시 금남면 황용리 445</t>
        </is>
      </c>
      <c r="B625" s="3" t="inlineStr">
        <is>
          <t>생산관리지역</t>
        </is>
      </c>
      <c r="C625" s="3" t="inlineStr">
        <is>
          <t>답</t>
        </is>
      </c>
      <c r="D625" s="3" t="inlineStr">
        <is>
          <t>답</t>
        </is>
      </c>
      <c r="E625" s="3" t="inlineStr">
        <is>
          <t>매매</t>
        </is>
      </c>
      <c r="F625" s="4" t="n">
        <v>309200</v>
      </c>
      <c r="G625" s="4" t="n">
        <v>2555</v>
      </c>
      <c r="H625" s="4" t="n">
        <v>773</v>
      </c>
      <c r="I625" s="5" t="n">
        <v>400</v>
      </c>
      <c r="J625" s="4" t="n">
        <v>141.8</v>
      </c>
      <c r="K625" s="3" t="inlineStr">
        <is>
          <t>행복도시 인접, 생산관리지역 도로접한 토지</t>
        </is>
      </c>
      <c r="L625" s="6">
        <f>HYPERLINK("https://fin.land.naver.com/articles/2645276691", "매물Link")</f>
        <v/>
      </c>
      <c r="M625" s="6">
        <f>HYPERLINK("https://map.naver.com/p/search/세종특별자치시 금남면 황용리 445", "지도Link")</f>
        <v/>
      </c>
      <c r="N625" s="6">
        <f>HYPERLINK("http://www.eum.go.kr/web/ar/lu/luLandDet.jsp?pnu=3611034030104450000&amp;isNoScr=script&amp;mode=search", "토지이음")</f>
        <v/>
      </c>
      <c r="O625" s="3" t="inlineStr">
        <is>
          <t>부엉이</t>
        </is>
      </c>
      <c r="P625" s="3" t="n">
        <v>1</v>
      </c>
      <c r="Q625" s="3" t="n">
        <v>2118</v>
      </c>
      <c r="R625" s="3" t="inlineStr">
        <is>
          <t>지정되지않음</t>
        </is>
      </c>
      <c r="S625" s="3" t="inlineStr">
        <is>
          <t>답</t>
        </is>
      </c>
      <c r="T625" s="3" t="inlineStr">
        <is>
          <t>평지</t>
        </is>
      </c>
      <c r="U625" s="3" t="inlineStr">
        <is>
          <t>부정형</t>
        </is>
      </c>
      <c r="V625" s="3" t="inlineStr">
        <is>
          <t>세로한면(가)</t>
        </is>
      </c>
    </row>
    <row r="626">
      <c r="A626" s="3" t="inlineStr">
        <is>
          <t>세종특별자치시 금남면 황용리 451</t>
        </is>
      </c>
      <c r="B626" s="3" t="inlineStr">
        <is>
          <t>생산관리지역</t>
        </is>
      </c>
      <c r="C626" s="3" t="inlineStr">
        <is>
          <t>답</t>
        </is>
      </c>
      <c r="D626" s="3" t="inlineStr">
        <is>
          <t>답</t>
        </is>
      </c>
      <c r="E626" s="3" t="inlineStr">
        <is>
          <t>매매</t>
        </is>
      </c>
      <c r="F626" s="4" t="n">
        <v>240000</v>
      </c>
      <c r="G626" s="4" t="n">
        <v>1918</v>
      </c>
      <c r="H626" s="4" t="n">
        <v>580</v>
      </c>
      <c r="I626" s="5" t="n">
        <v>413.8</v>
      </c>
      <c r="J626" s="4" t="n">
        <v>143.2</v>
      </c>
      <c r="K626" s="3" t="inlineStr">
        <is>
          <t>보기드문 황용리 계획관리,생산관리 땅입니다.</t>
        </is>
      </c>
      <c r="L626" s="6">
        <f>HYPERLINK("https://fin.land.naver.com/articles/2647844100", "매물Link")</f>
        <v/>
      </c>
      <c r="M626" s="6">
        <f>HYPERLINK("https://map.naver.com/p/search/세종특별자치시 금남면 황용리 451", "지도Link")</f>
        <v/>
      </c>
      <c r="N626" s="6">
        <f>HYPERLINK("http://www.eum.go.kr/web/ar/lu/luLandDet.jsp?pnu=3611034030104510000&amp;isNoScr=script&amp;mode=search", "토지이음")</f>
        <v/>
      </c>
      <c r="O626" s="3" t="inlineStr">
        <is>
          <t>대박</t>
        </is>
      </c>
      <c r="P626" s="3" t="n">
        <v>1</v>
      </c>
      <c r="Q626" s="3" t="n">
        <v>736</v>
      </c>
      <c r="R626" s="3" t="inlineStr">
        <is>
          <t>지정되지않음</t>
        </is>
      </c>
      <c r="S626" s="3" t="inlineStr">
        <is>
          <t>답기타</t>
        </is>
      </c>
      <c r="T626" s="3" t="inlineStr">
        <is>
          <t>평지</t>
        </is>
      </c>
      <c r="U626" s="3" t="inlineStr">
        <is>
          <t>부정형</t>
        </is>
      </c>
      <c r="V626" s="3" t="inlineStr">
        <is>
          <t>세로한면(가)</t>
        </is>
      </c>
    </row>
    <row r="627">
      <c r="A627" s="3" t="inlineStr">
        <is>
          <t>세종특별자치시 나성동 783</t>
        </is>
      </c>
      <c r="B627" s="3" t="inlineStr">
        <is>
          <t>중심상업지역</t>
        </is>
      </c>
      <c r="C627" s="3" t="inlineStr">
        <is>
          <t>대</t>
        </is>
      </c>
      <c r="D627" s="3" t="inlineStr">
        <is>
          <t>대</t>
        </is>
      </c>
      <c r="E627" s="3" t="inlineStr">
        <is>
          <t>매매</t>
        </is>
      </c>
      <c r="F627" s="4" t="n">
        <v>1300000</v>
      </c>
      <c r="G627" s="4" t="n">
        <v>1585</v>
      </c>
      <c r="H627" s="4" t="n">
        <v>479</v>
      </c>
      <c r="I627" s="5" t="n">
        <v>2714</v>
      </c>
      <c r="J627" s="4" t="n">
        <v>1544.8</v>
      </c>
      <c r="K627" s="3" t="inlineStr">
        <is>
          <t>상업지역 코너 각지 땅으로 가격 협의가능</t>
        </is>
      </c>
      <c r="L627" s="6">
        <f>HYPERLINK("https://fin.land.naver.com/articles/2645811395", "매물Link")</f>
        <v/>
      </c>
      <c r="M627" s="6">
        <f>HYPERLINK("https://map.naver.com/p/search/세종특별자치시 나성동 783", "지도Link")</f>
        <v/>
      </c>
      <c r="N627" s="6">
        <f>HYPERLINK("http://www.eum.go.kr/web/ar/lu/luLandDet.jsp?pnu=3611010700107830000&amp;isNoScr=script&amp;mode=search", "토지이음")</f>
        <v/>
      </c>
      <c r="O627" s="3" t="inlineStr">
        <is>
          <t>IPARK멘토</t>
        </is>
      </c>
      <c r="P627" s="3" t="n">
        <v>1</v>
      </c>
      <c r="Q627" s="3" t="n">
        <v>1585.2</v>
      </c>
      <c r="R627" s="3" t="inlineStr">
        <is>
          <t>지정되지않음</t>
        </is>
      </c>
      <c r="S627" s="3" t="inlineStr">
        <is>
          <t>상업나지</t>
        </is>
      </c>
      <c r="T627" s="3" t="inlineStr">
        <is>
          <t>평지</t>
        </is>
      </c>
      <c r="U627" s="3" t="inlineStr">
        <is>
          <t>가로장방</t>
        </is>
      </c>
      <c r="V627" s="3" t="inlineStr">
        <is>
          <t>중로각지</t>
        </is>
      </c>
    </row>
    <row r="628">
      <c r="A628" s="3" t="inlineStr">
        <is>
          <t>세종특별자치시 나성동 829</t>
        </is>
      </c>
      <c r="B628" s="3" t="inlineStr">
        <is>
          <t>중심상업지역</t>
        </is>
      </c>
      <c r="C628" s="3" t="inlineStr">
        <is>
          <t>대</t>
        </is>
      </c>
      <c r="D628" s="3" t="inlineStr">
        <is>
          <t>임야</t>
        </is>
      </c>
      <c r="E628" s="3" t="inlineStr">
        <is>
          <t>매매</t>
        </is>
      </c>
      <c r="F628" s="4" t="n">
        <v>92280</v>
      </c>
      <c r="G628" s="4" t="n">
        <v>2542</v>
      </c>
      <c r="H628" s="4" t="n">
        <v>769</v>
      </c>
      <c r="I628" s="5" t="n">
        <v>120</v>
      </c>
      <c r="J628" s="4" t="n">
        <v>747.8</v>
      </c>
      <c r="K628" s="3" t="inlineStr">
        <is>
          <t>도로인접한 매물  자연 녹지지역이라 어떤 용도로든 가능</t>
        </is>
      </c>
      <c r="L628" s="6">
        <f>HYPERLINK("https://fin.land.naver.com/articles/2648208314", "매물Link")</f>
        <v/>
      </c>
      <c r="M628" s="6">
        <f>HYPERLINK("https://map.naver.com/p/search/세종특별자치시 나성동 829", "지도Link")</f>
        <v/>
      </c>
      <c r="N628" s="6">
        <f>HYPERLINK("http://www.eum.go.kr/web/ar/lu/luLandDet.jsp?pnu=3611010700108290000&amp;isNoScr=script&amp;mode=search", "토지이음")</f>
        <v/>
      </c>
      <c r="O628" s="3" t="inlineStr">
        <is>
          <t>굿모닝</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세종특별자치시 나성동 829</t>
        </is>
      </c>
      <c r="B629" s="3" t="inlineStr">
        <is>
          <t>중심상업지역</t>
        </is>
      </c>
      <c r="C629" s="3" t="inlineStr">
        <is>
          <t>대</t>
        </is>
      </c>
      <c r="D629" s="3" t="inlineStr">
        <is>
          <t>답</t>
        </is>
      </c>
      <c r="E629" s="3" t="inlineStr">
        <is>
          <t>매매</t>
        </is>
      </c>
      <c r="F629" s="4" t="n">
        <v>90000</v>
      </c>
      <c r="G629" s="4" t="n">
        <v>2173</v>
      </c>
      <c r="H629" s="4" t="n">
        <v>657</v>
      </c>
      <c r="I629" s="5" t="n">
        <v>137</v>
      </c>
      <c r="J629" s="4" t="n">
        <v>747.8</v>
      </c>
      <c r="K629" s="3" t="inlineStr">
        <is>
          <t>도로 좋고 주변 환경이 공장이나 근생용지로 최적입니다</t>
        </is>
      </c>
      <c r="L629" s="6">
        <f>HYPERLINK("https://fin.land.naver.com/articles/2645313491", "매물Link")</f>
        <v/>
      </c>
      <c r="M629" s="6">
        <f>HYPERLINK("https://map.naver.com/p/search/세종특별자치시 나성동 829", "지도Link")</f>
        <v/>
      </c>
      <c r="N629" s="6">
        <f>HYPERLINK("http://www.eum.go.kr/web/ar/lu/luLandDet.jsp?pnu=3611010700108290000&amp;isNoScr=script&amp;mode=search", "토지이음")</f>
        <v/>
      </c>
      <c r="O629" s="3" t="inlineStr">
        <is>
          <t>사랑</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세종특별자치시 나성동 829</t>
        </is>
      </c>
      <c r="B630" s="3" t="inlineStr">
        <is>
          <t>중심상업지역</t>
        </is>
      </c>
      <c r="C630" s="3" t="inlineStr">
        <is>
          <t>대</t>
        </is>
      </c>
      <c r="D630" s="3" t="inlineStr">
        <is>
          <t>답</t>
        </is>
      </c>
      <c r="E630" s="3" t="inlineStr">
        <is>
          <t>매매</t>
        </is>
      </c>
      <c r="F630" s="4" t="n">
        <v>82680</v>
      </c>
      <c r="G630" s="4" t="n">
        <v>2279</v>
      </c>
      <c r="H630" s="4" t="n">
        <v>689</v>
      </c>
      <c r="I630" s="5" t="n">
        <v>120</v>
      </c>
      <c r="J630" s="4" t="n">
        <v>747.8</v>
      </c>
      <c r="K630" s="3" t="inlineStr">
        <is>
          <t>서청주ic에서 가까운곳</t>
        </is>
      </c>
      <c r="L630" s="6">
        <f>HYPERLINK("https://fin.land.naver.com/articles/2646982377", "매물Link")</f>
        <v/>
      </c>
      <c r="M630" s="6">
        <f>HYPERLINK("https://map.naver.com/p/search/세종특별자치시 나성동 829", "지도Link")</f>
        <v/>
      </c>
      <c r="N630" s="6">
        <f>HYPERLINK("http://www.eum.go.kr/web/ar/lu/luLandDet.jsp?pnu=3611010700108290000&amp;isNoScr=script&amp;mode=search", "토지이음")</f>
        <v/>
      </c>
      <c r="O630" s="3" t="inlineStr">
        <is>
          <t>채움</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세종특별자치시 나성동 829</t>
        </is>
      </c>
      <c r="B631" s="3" t="inlineStr">
        <is>
          <t>중심상업지역</t>
        </is>
      </c>
      <c r="C631" s="3" t="inlineStr">
        <is>
          <t>대</t>
        </is>
      </c>
      <c r="D631" s="3" t="inlineStr">
        <is>
          <t>전</t>
        </is>
      </c>
      <c r="E631" s="3" t="inlineStr">
        <is>
          <t>매매</t>
        </is>
      </c>
      <c r="F631" s="4" t="n">
        <v>252000</v>
      </c>
      <c r="G631" s="4" t="n">
        <v>2082</v>
      </c>
      <c r="H631" s="4" t="n">
        <v>630</v>
      </c>
      <c r="I631" s="5" t="n">
        <v>400</v>
      </c>
      <c r="J631" s="4" t="n">
        <v>747.8</v>
      </c>
      <c r="K631" s="3" t="inlineStr">
        <is>
          <t>nan</t>
        </is>
      </c>
      <c r="L631" s="6">
        <f>HYPERLINK("https://fin.land.naver.com/articles/2647465082", "매물Link")</f>
        <v/>
      </c>
      <c r="M631" s="6">
        <f>HYPERLINK("https://map.naver.com/p/search/세종특별자치시 나성동 829", "지도Link")</f>
        <v/>
      </c>
      <c r="N631" s="6">
        <f>HYPERLINK("http://www.eum.go.kr/web/ar/lu/luLandDet.jsp?pnu=3611010700108290000&amp;isNoScr=script&amp;mode=search", "토지이음")</f>
        <v/>
      </c>
      <c r="O631" s="3" t="inlineStr">
        <is>
          <t>좋은터</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세종특별자치시 나성동 829</t>
        </is>
      </c>
      <c r="B632" s="3" t="inlineStr">
        <is>
          <t>중심상업지역</t>
        </is>
      </c>
      <c r="C632" s="3" t="inlineStr">
        <is>
          <t>대</t>
        </is>
      </c>
      <c r="D632" s="3" t="inlineStr">
        <is>
          <t>대</t>
        </is>
      </c>
      <c r="E632" s="3" t="inlineStr">
        <is>
          <t>매매</t>
        </is>
      </c>
      <c r="F632" s="4" t="n">
        <v>22000</v>
      </c>
      <c r="G632" s="4" t="n">
        <v>696</v>
      </c>
      <c r="H632" s="4" t="n">
        <v>211</v>
      </c>
      <c r="I632" s="5" t="n">
        <v>104.3</v>
      </c>
      <c r="J632" s="4" t="n">
        <v>747.8</v>
      </c>
      <c r="K632" s="3" t="inlineStr">
        <is>
          <t>신성동 것대마을 자연취락지구</t>
        </is>
      </c>
      <c r="L632" s="6">
        <f>HYPERLINK("https://fin.land.naver.com/articles/2646187295", "매물Link")</f>
        <v/>
      </c>
      <c r="M632" s="6">
        <f>HYPERLINK("https://map.naver.com/p/search/세종특별자치시 나성동 829", "지도Link")</f>
        <v/>
      </c>
      <c r="N632" s="6">
        <f>HYPERLINK("http://www.eum.go.kr/web/ar/lu/luLandDet.jsp?pnu=3611010700108290000&amp;isNoScr=script&amp;mode=search", "토지이음")</f>
        <v/>
      </c>
      <c r="O632" s="3" t="inlineStr">
        <is>
          <t>사랑</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세종특별자치시 나성동 829</t>
        </is>
      </c>
      <c r="B633" s="3" t="inlineStr">
        <is>
          <t>중심상업지역</t>
        </is>
      </c>
      <c r="C633" s="3" t="inlineStr">
        <is>
          <t>대</t>
        </is>
      </c>
      <c r="D633" s="3" t="inlineStr">
        <is>
          <t>전</t>
        </is>
      </c>
      <c r="E633" s="3" t="inlineStr">
        <is>
          <t>매매</t>
        </is>
      </c>
      <c r="F633" s="4" t="n">
        <v>150000</v>
      </c>
      <c r="G633" s="4" t="n">
        <v>3143</v>
      </c>
      <c r="H633" s="4" t="n">
        <v>951</v>
      </c>
      <c r="I633" s="5" t="n">
        <v>157.7</v>
      </c>
      <c r="J633" s="4" t="n">
        <v>747.8</v>
      </c>
      <c r="K633" s="3" t="inlineStr">
        <is>
          <t>nan</t>
        </is>
      </c>
      <c r="L633" s="6">
        <f>HYPERLINK("https://fin.land.naver.com/articles/2648229066", "매물Link")</f>
        <v/>
      </c>
      <c r="M633" s="6">
        <f>HYPERLINK("https://map.naver.com/p/search/세종특별자치시 나성동 829", "지도Link")</f>
        <v/>
      </c>
      <c r="N633" s="6">
        <f>HYPERLINK("http://www.eum.go.kr/web/ar/lu/luLandDet.jsp?pnu=3611010700108290000&amp;isNoScr=script&amp;mode=search", "토지이음")</f>
        <v/>
      </c>
      <c r="O633" s="3" t="inlineStr">
        <is>
          <t>좋은터</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세종특별자치시 나성동 829</t>
        </is>
      </c>
      <c r="B634" s="3" t="inlineStr">
        <is>
          <t>중심상업지역</t>
        </is>
      </c>
      <c r="C634" s="3" t="inlineStr">
        <is>
          <t>대</t>
        </is>
      </c>
      <c r="D634" s="3" t="inlineStr">
        <is>
          <t>대</t>
        </is>
      </c>
      <c r="E634" s="3" t="inlineStr">
        <is>
          <t>매매</t>
        </is>
      </c>
      <c r="F634" s="4" t="n">
        <v>110000</v>
      </c>
      <c r="G634" s="4" t="n">
        <v>1041</v>
      </c>
      <c r="H634" s="4" t="n">
        <v>315</v>
      </c>
      <c r="I634" s="5" t="n">
        <v>349.2</v>
      </c>
      <c r="J634" s="4" t="n">
        <v>747.8</v>
      </c>
      <c r="K634" s="3" t="inlineStr">
        <is>
          <t>대지약500㎡ 전약500㎡</t>
        </is>
      </c>
      <c r="L634" s="6">
        <f>HYPERLINK("https://fin.land.naver.com/articles/2648298592", "매물Link")</f>
        <v/>
      </c>
      <c r="M634" s="6">
        <f>HYPERLINK("https://map.naver.com/p/search/세종특별자치시 나성동 829", "지도Link")</f>
        <v/>
      </c>
      <c r="N634" s="6">
        <f>HYPERLINK("http://www.eum.go.kr/web/ar/lu/luLandDet.jsp?pnu=3611010700108290000&amp;isNoScr=script&amp;mode=search", "토지이음")</f>
        <v/>
      </c>
      <c r="O634" s="3" t="inlineStr">
        <is>
          <t>지웰대림</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세종특별자치시 나성동 829</t>
        </is>
      </c>
      <c r="B635" s="3" t="inlineStr">
        <is>
          <t>중심상업지역</t>
        </is>
      </c>
      <c r="C635" s="3" t="inlineStr">
        <is>
          <t>대</t>
        </is>
      </c>
      <c r="D635" s="3" t="inlineStr">
        <is>
          <t>유지</t>
        </is>
      </c>
      <c r="E635" s="3" t="inlineStr">
        <is>
          <t>매매</t>
        </is>
      </c>
      <c r="F635" s="4" t="n">
        <v>470000</v>
      </c>
      <c r="G635" s="4" t="n">
        <v>11166</v>
      </c>
      <c r="H635" s="4" t="n">
        <v>3378</v>
      </c>
      <c r="I635" s="5" t="n">
        <v>139.1</v>
      </c>
      <c r="J635" s="4" t="n">
        <v>747.8</v>
      </c>
      <c r="K635" s="3" t="inlineStr">
        <is>
          <t>2차선포장도로 접한 토지로 대형차 차고지,공장,창고등 추천</t>
        </is>
      </c>
      <c r="L635" s="6">
        <f>HYPERLINK("https://fin.land.naver.com/articles/2646140684", "매물Link")</f>
        <v/>
      </c>
      <c r="M635" s="6">
        <f>HYPERLINK("https://map.naver.com/p/search/세종특별자치시 나성동 829", "지도Link")</f>
        <v/>
      </c>
      <c r="N635" s="6">
        <f>HYPERLINK("http://www.eum.go.kr/web/ar/lu/luLandDet.jsp?pnu=3611010700108290000&amp;isNoScr=script&amp;mode=search", "토지이음")</f>
        <v/>
      </c>
      <c r="O635" s="3" t="inlineStr">
        <is>
          <t>고은</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세종특별자치시 나성동 829</t>
        </is>
      </c>
      <c r="B636" s="3" t="inlineStr">
        <is>
          <t>중심상업지역</t>
        </is>
      </c>
      <c r="C636" s="3" t="inlineStr">
        <is>
          <t>대</t>
        </is>
      </c>
      <c r="D636" s="3" t="inlineStr">
        <is>
          <t>임야</t>
        </is>
      </c>
      <c r="E636" s="3" t="inlineStr">
        <is>
          <t>매매</t>
        </is>
      </c>
      <c r="F636" s="4" t="n">
        <v>180000</v>
      </c>
      <c r="G636" s="4" t="n">
        <v>2343</v>
      </c>
      <c r="H636" s="4" t="n">
        <v>709</v>
      </c>
      <c r="I636" s="5" t="n">
        <v>253.9</v>
      </c>
      <c r="J636" s="4" t="n">
        <v>747.8</v>
      </c>
      <c r="K636" s="3" t="inlineStr">
        <is>
          <t>공장용지,저렴</t>
        </is>
      </c>
      <c r="L636" s="6">
        <f>HYPERLINK("https://fin.land.naver.com/articles/2646406400", "매물Link")</f>
        <v/>
      </c>
      <c r="M636" s="6">
        <f>HYPERLINK("https://map.naver.com/p/search/세종특별자치시 나성동 829", "지도Link")</f>
        <v/>
      </c>
      <c r="N636" s="6">
        <f>HYPERLINK("http://www.eum.go.kr/web/ar/lu/luLandDet.jsp?pnu=3611010700108290000&amp;isNoScr=script&amp;mode=search", "토지이음")</f>
        <v/>
      </c>
      <c r="O636" s="3" t="inlineStr">
        <is>
          <t>명동</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세종특별자치시 나성동 829</t>
        </is>
      </c>
      <c r="B637" s="3" t="inlineStr">
        <is>
          <t>중심상업지역</t>
        </is>
      </c>
      <c r="C637" s="3" t="inlineStr">
        <is>
          <t>대</t>
        </is>
      </c>
      <c r="D637" s="3" t="inlineStr">
        <is>
          <t>답</t>
        </is>
      </c>
      <c r="E637" s="3" t="inlineStr">
        <is>
          <t>매매</t>
        </is>
      </c>
      <c r="F637" s="4" t="n">
        <v>75936</v>
      </c>
      <c r="G637" s="4" t="n">
        <v>8965</v>
      </c>
      <c r="H637" s="4" t="n">
        <v>2712</v>
      </c>
      <c r="I637" s="5" t="n">
        <v>28</v>
      </c>
      <c r="J637" s="4" t="n">
        <v>747.8</v>
      </c>
      <c r="K637" s="3" t="inlineStr">
        <is>
          <t>청주역 북측에 소재하는 농지임</t>
        </is>
      </c>
      <c r="L637" s="6">
        <f>HYPERLINK("https://fin.land.naver.com/articles/2646979717", "매물Link")</f>
        <v/>
      </c>
      <c r="M637" s="6">
        <f>HYPERLINK("https://map.naver.com/p/search/세종특별자치시 나성동 829", "지도Link")</f>
        <v/>
      </c>
      <c r="N637" s="6">
        <f>HYPERLINK("http://www.eum.go.kr/web/ar/lu/luLandDet.jsp?pnu=3611010700108290000&amp;isNoScr=script&amp;mode=search", "토지이음")</f>
        <v/>
      </c>
      <c r="O637" s="3" t="inlineStr">
        <is>
          <t>교차로</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세종특별자치시 나성동 829</t>
        </is>
      </c>
      <c r="B638" s="3" t="inlineStr">
        <is>
          <t>중심상업지역</t>
        </is>
      </c>
      <c r="C638" s="3" t="inlineStr">
        <is>
          <t>대</t>
        </is>
      </c>
      <c r="D638" s="3" t="inlineStr">
        <is>
          <t>전</t>
        </is>
      </c>
      <c r="E638" s="3" t="inlineStr">
        <is>
          <t>매매</t>
        </is>
      </c>
      <c r="F638" s="4" t="n">
        <v>520000</v>
      </c>
      <c r="G638" s="4" t="n">
        <v>11166</v>
      </c>
      <c r="H638" s="4" t="n">
        <v>3378</v>
      </c>
      <c r="I638" s="5" t="n">
        <v>153.9</v>
      </c>
      <c r="J638" s="4" t="n">
        <v>747.8</v>
      </c>
      <c r="K638" s="3" t="inlineStr">
        <is>
          <t>nan</t>
        </is>
      </c>
      <c r="L638" s="6">
        <f>HYPERLINK("https://fin.land.naver.com/articles/2647119058", "매물Link")</f>
        <v/>
      </c>
      <c r="M638" s="6">
        <f>HYPERLINK("https://map.naver.com/p/search/세종특별자치시 나성동 829", "지도Link")</f>
        <v/>
      </c>
      <c r="N638" s="6">
        <f>HYPERLINK("http://www.eum.go.kr/web/ar/lu/luLandDet.jsp?pnu=3611010700108290000&amp;isNoScr=script&amp;mode=search", "토지이음")</f>
        <v/>
      </c>
      <c r="O638" s="3" t="inlineStr">
        <is>
          <t>삼성사무소</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세종특별자치시 나성동 829</t>
        </is>
      </c>
      <c r="B639" s="3" t="inlineStr">
        <is>
          <t>중심상업지역</t>
        </is>
      </c>
      <c r="C639" s="3" t="inlineStr">
        <is>
          <t>대</t>
        </is>
      </c>
      <c r="D639" s="3" t="inlineStr">
        <is>
          <t>답</t>
        </is>
      </c>
      <c r="E639" s="3" t="inlineStr">
        <is>
          <t>매매</t>
        </is>
      </c>
      <c r="F639" s="4" t="n">
        <v>38140</v>
      </c>
      <c r="G639" s="4" t="n">
        <v>4275</v>
      </c>
      <c r="H639" s="4" t="n">
        <v>1293</v>
      </c>
      <c r="I639" s="5" t="n">
        <v>29.5</v>
      </c>
      <c r="J639" s="4" t="n">
        <v>747.8</v>
      </c>
      <c r="K639" s="3" t="inlineStr">
        <is>
          <t>현재 답으로 사용중</t>
        </is>
      </c>
      <c r="L639" s="6">
        <f>HYPERLINK("https://fin.land.naver.com/articles/2644292367", "매물Link")</f>
        <v/>
      </c>
      <c r="M639" s="6">
        <f>HYPERLINK("https://map.naver.com/p/search/세종특별자치시 나성동 829", "지도Link")</f>
        <v/>
      </c>
      <c r="N639" s="6">
        <f>HYPERLINK("http://www.eum.go.kr/web/ar/lu/luLandDet.jsp?pnu=3611010700108290000&amp;isNoScr=script&amp;mode=search", "토지이음")</f>
        <v/>
      </c>
      <c r="O639" s="3" t="inlineStr">
        <is>
          <t>늘푸른</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세종특별자치시 나성동 829</t>
        </is>
      </c>
      <c r="B640" s="3" t="inlineStr">
        <is>
          <t>중심상업지역</t>
        </is>
      </c>
      <c r="C640" s="3" t="inlineStr">
        <is>
          <t>대</t>
        </is>
      </c>
      <c r="D640" s="3" t="inlineStr">
        <is>
          <t>전</t>
        </is>
      </c>
      <c r="E640" s="3" t="inlineStr">
        <is>
          <t>매매</t>
        </is>
      </c>
      <c r="F640" s="4" t="n">
        <v>73000</v>
      </c>
      <c r="G640" s="4" t="n">
        <v>1609</v>
      </c>
      <c r="H640" s="4" t="n">
        <v>487</v>
      </c>
      <c r="I640" s="5" t="n">
        <v>149.9</v>
      </c>
      <c r="J640" s="4" t="n">
        <v>747.8</v>
      </c>
      <c r="K640" s="3" t="inlineStr">
        <is>
          <t>서청주I.C 4분거리. 제2종근생제조 허가가능. 소형공장추천</t>
        </is>
      </c>
      <c r="L640" s="6">
        <f>HYPERLINK("https://fin.land.naver.com/articles/2644808264", "매물Link")</f>
        <v/>
      </c>
      <c r="M640" s="6">
        <f>HYPERLINK("https://map.naver.com/p/search/세종특별자치시 나성동 829", "지도Link")</f>
        <v/>
      </c>
      <c r="N640" s="6">
        <f>HYPERLINK("http://www.eum.go.kr/web/ar/lu/luLandDet.jsp?pnu=3611010700108290000&amp;isNoScr=script&amp;mode=search", "토지이음")</f>
        <v/>
      </c>
      <c r="O640" s="3" t="inlineStr">
        <is>
          <t>플러스자이합동</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세종특별자치시 나성동 829</t>
        </is>
      </c>
      <c r="B641" s="3" t="inlineStr">
        <is>
          <t>중심상업지역</t>
        </is>
      </c>
      <c r="C641" s="3" t="inlineStr">
        <is>
          <t>대</t>
        </is>
      </c>
      <c r="D641" s="3" t="inlineStr">
        <is>
          <t>전</t>
        </is>
      </c>
      <c r="E641" s="3" t="inlineStr">
        <is>
          <t>매매</t>
        </is>
      </c>
      <c r="F641" s="4" t="n">
        <v>99000</v>
      </c>
      <c r="G641" s="4" t="n">
        <v>1937</v>
      </c>
      <c r="H641" s="4" t="n">
        <v>586</v>
      </c>
      <c r="I641" s="5" t="n">
        <v>168.9</v>
      </c>
      <c r="J641" s="4" t="n">
        <v>747.8</v>
      </c>
      <c r="K641" s="3" t="inlineStr">
        <is>
          <t>자연녹지 매매</t>
        </is>
      </c>
      <c r="L641" s="6">
        <f>HYPERLINK("https://fin.land.naver.com/articles/2649459398", "매물Link")</f>
        <v/>
      </c>
      <c r="M641" s="6">
        <f>HYPERLINK("https://map.naver.com/p/search/세종특별자치시 나성동 829", "지도Link")</f>
        <v/>
      </c>
      <c r="N641" s="6">
        <f>HYPERLINK("http://www.eum.go.kr/web/ar/lu/luLandDet.jsp?pnu=3611010700108290000&amp;isNoScr=script&amp;mode=search", "토지이음")</f>
        <v/>
      </c>
      <c r="O641" s="3" t="inlineStr">
        <is>
          <t>청주합동</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세종특별자치시 나성동 829</t>
        </is>
      </c>
      <c r="B642" s="3" t="inlineStr">
        <is>
          <t>중심상업지역</t>
        </is>
      </c>
      <c r="C642" s="3" t="inlineStr">
        <is>
          <t>대</t>
        </is>
      </c>
      <c r="D642" s="3" t="inlineStr">
        <is>
          <t>답</t>
        </is>
      </c>
      <c r="E642" s="3" t="inlineStr">
        <is>
          <t>매매</t>
        </is>
      </c>
      <c r="F642" s="4" t="n">
        <v>99000</v>
      </c>
      <c r="G642" s="4" t="n">
        <v>2721</v>
      </c>
      <c r="H642" s="4" t="n">
        <v>823</v>
      </c>
      <c r="I642" s="5" t="n">
        <v>120.3</v>
      </c>
      <c r="J642" s="4" t="n">
        <v>747.8</v>
      </c>
      <c r="K642" s="3" t="inlineStr">
        <is>
          <t>nan</t>
        </is>
      </c>
      <c r="L642" s="6">
        <f>HYPERLINK("https://fin.land.naver.com/articles/2647759231", "매물Link")</f>
        <v/>
      </c>
      <c r="M642" s="6">
        <f>HYPERLINK("https://map.naver.com/p/search/세종특별자치시 나성동 829", "지도Link")</f>
        <v/>
      </c>
      <c r="N642" s="6">
        <f>HYPERLINK("http://www.eum.go.kr/web/ar/lu/luLandDet.jsp?pnu=3611010700108290000&amp;isNoScr=script&amp;mode=search", "토지이음")</f>
        <v/>
      </c>
      <c r="O642" s="3" t="inlineStr">
        <is>
          <t>청주합동</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세종특별자치시 나성동 829</t>
        </is>
      </c>
      <c r="B643" s="3" t="inlineStr">
        <is>
          <t>중심상업지역</t>
        </is>
      </c>
      <c r="C643" s="3" t="inlineStr">
        <is>
          <t>대</t>
        </is>
      </c>
      <c r="D643" s="3" t="inlineStr">
        <is>
          <t>임야</t>
        </is>
      </c>
      <c r="E643" s="3" t="inlineStr">
        <is>
          <t>매매</t>
        </is>
      </c>
      <c r="F643" s="4" t="n">
        <v>60000</v>
      </c>
      <c r="G643" s="4" t="n">
        <v>2490</v>
      </c>
      <c r="H643" s="4" t="n">
        <v>753</v>
      </c>
      <c r="I643" s="5" t="n">
        <v>79.7</v>
      </c>
      <c r="J643" s="4" t="n">
        <v>747.8</v>
      </c>
      <c r="K643" s="3" t="inlineStr">
        <is>
          <t>동막동 토지 매매</t>
        </is>
      </c>
      <c r="L643" s="6">
        <f>HYPERLINK("https://fin.land.naver.com/articles/2645094337", "매물Link")</f>
        <v/>
      </c>
      <c r="M643" s="6">
        <f>HYPERLINK("https://map.naver.com/p/search/세종특별자치시 나성동 829", "지도Link")</f>
        <v/>
      </c>
      <c r="N643" s="6">
        <f>HYPERLINK("http://www.eum.go.kr/web/ar/lu/luLandDet.jsp?pnu=3611010700108290000&amp;isNoScr=script&amp;mode=search", "토지이음")</f>
        <v/>
      </c>
      <c r="O643" s="3" t="inlineStr">
        <is>
          <t>사거리</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세종특별자치시 나성동 829</t>
        </is>
      </c>
      <c r="B644" s="3" t="inlineStr">
        <is>
          <t>중심상업지역</t>
        </is>
      </c>
      <c r="C644" s="3" t="inlineStr">
        <is>
          <t>대</t>
        </is>
      </c>
      <c r="D644" s="3" t="inlineStr">
        <is>
          <t>답</t>
        </is>
      </c>
      <c r="E644" s="3" t="inlineStr">
        <is>
          <t>매매</t>
        </is>
      </c>
      <c r="F644" s="4" t="n">
        <v>38600</v>
      </c>
      <c r="G644" s="4" t="n">
        <v>1965</v>
      </c>
      <c r="H644" s="4" t="n">
        <v>594</v>
      </c>
      <c r="I644" s="5" t="n">
        <v>65</v>
      </c>
      <c r="J644" s="4" t="n">
        <v>747.8</v>
      </c>
      <c r="K644" s="3" t="inlineStr">
        <is>
          <t>동막동 토지 매매</t>
        </is>
      </c>
      <c r="L644" s="6">
        <f>HYPERLINK("https://fin.land.naver.com/articles/2647317151", "매물Link")</f>
        <v/>
      </c>
      <c r="M644" s="6">
        <f>HYPERLINK("https://map.naver.com/p/search/세종특별자치시 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세종특별자치시 나성동 829</t>
        </is>
      </c>
      <c r="B645" s="3" t="inlineStr">
        <is>
          <t>중심상업지역</t>
        </is>
      </c>
      <c r="C645" s="3" t="inlineStr">
        <is>
          <t>대</t>
        </is>
      </c>
      <c r="D645" s="3" t="inlineStr">
        <is>
          <t>답</t>
        </is>
      </c>
      <c r="E645" s="3" t="inlineStr">
        <is>
          <t>매매</t>
        </is>
      </c>
      <c r="F645" s="4" t="n">
        <v>70000</v>
      </c>
      <c r="G645" s="4" t="n">
        <v>3415</v>
      </c>
      <c r="H645" s="4" t="n">
        <v>1033</v>
      </c>
      <c r="I645" s="5" t="n">
        <v>67.8</v>
      </c>
      <c r="J645" s="4" t="n">
        <v>747.8</v>
      </c>
      <c r="K645" s="3" t="inlineStr">
        <is>
          <t>동막동 토지 매매</t>
        </is>
      </c>
      <c r="L645" s="6">
        <f>HYPERLINK("https://fin.land.naver.com/articles/2648220807", "매물Link")</f>
        <v/>
      </c>
      <c r="M645" s="6">
        <f>HYPERLINK("https://map.naver.com/p/search/세종특별자치시 나성동 829", "지도Link")</f>
        <v/>
      </c>
      <c r="N645" s="6">
        <f>HYPERLINK("http://www.eum.go.kr/web/ar/lu/luLandDet.jsp?pnu=3611010700108290000&amp;isNoScr=script&amp;mode=search", "토지이음")</f>
        <v/>
      </c>
      <c r="O645" s="3" t="inlineStr">
        <is>
          <t>사거리</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세종특별자치시 나성동 829</t>
        </is>
      </c>
      <c r="B646" s="3" t="inlineStr">
        <is>
          <t>중심상업지역</t>
        </is>
      </c>
      <c r="C646" s="3" t="inlineStr">
        <is>
          <t>대</t>
        </is>
      </c>
      <c r="D646" s="3" t="inlineStr">
        <is>
          <t>답</t>
        </is>
      </c>
      <c r="E646" s="3" t="inlineStr">
        <is>
          <t>매매</t>
        </is>
      </c>
      <c r="F646" s="4" t="n">
        <v>35500</v>
      </c>
      <c r="G646" s="4" t="n">
        <v>1679</v>
      </c>
      <c r="H646" s="4" t="n">
        <v>508</v>
      </c>
      <c r="I646" s="5" t="n">
        <v>69.90000000000001</v>
      </c>
      <c r="J646" s="4" t="n">
        <v>747.8</v>
      </c>
      <c r="K646" s="3" t="inlineStr">
        <is>
          <t>지목은 답이지만 현재는 전으로 사용하고 있는 토지입니다</t>
        </is>
      </c>
      <c r="L646" s="6">
        <f>HYPERLINK("https://fin.land.naver.com/articles/2649304148", "매물Link")</f>
        <v/>
      </c>
      <c r="M646" s="6">
        <f>HYPERLINK("https://map.naver.com/p/search/세종특별자치시 나성동 829", "지도Link")</f>
        <v/>
      </c>
      <c r="N646" s="6">
        <f>HYPERLINK("http://www.eum.go.kr/web/ar/lu/luLandDet.jsp?pnu=3611010700108290000&amp;isNoScr=script&amp;mode=search", "토지이음")</f>
        <v/>
      </c>
      <c r="O646" s="3" t="inlineStr">
        <is>
          <t>대창</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세종특별자치시 나성동 829</t>
        </is>
      </c>
      <c r="B647" s="3" t="inlineStr">
        <is>
          <t>중심상업지역</t>
        </is>
      </c>
      <c r="C647" s="3" t="inlineStr">
        <is>
          <t>대</t>
        </is>
      </c>
      <c r="D647" s="3" t="inlineStr">
        <is>
          <t>전</t>
        </is>
      </c>
      <c r="E647" s="3" t="inlineStr">
        <is>
          <t>매매</t>
        </is>
      </c>
      <c r="F647" s="4" t="n">
        <v>62150</v>
      </c>
      <c r="G647" s="4" t="n">
        <v>1868</v>
      </c>
      <c r="H647" s="4" t="n">
        <v>565</v>
      </c>
      <c r="I647" s="5" t="n">
        <v>110</v>
      </c>
      <c r="J647" s="4" t="n">
        <v>747.8</v>
      </c>
      <c r="K647" s="3" t="inlineStr">
        <is>
          <t>투자용 토지 매매</t>
        </is>
      </c>
      <c r="L647" s="6">
        <f>HYPERLINK("https://fin.land.naver.com/articles/2649593826", "매물Link")</f>
        <v/>
      </c>
      <c r="M647" s="6">
        <f>HYPERLINK("https://map.naver.com/p/search/세종특별자치시 나성동 829", "지도Link")</f>
        <v/>
      </c>
      <c r="N647" s="6">
        <f>HYPERLINK("http://www.eum.go.kr/web/ar/lu/luLandDet.jsp?pnu=3611010700108290000&amp;isNoScr=script&amp;mode=search", "토지이음")</f>
        <v/>
      </c>
      <c r="O647" s="3" t="inlineStr">
        <is>
          <t>사거리</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세종특별자치시 나성동 829</t>
        </is>
      </c>
      <c r="B648" s="3" t="inlineStr">
        <is>
          <t>중심상업지역</t>
        </is>
      </c>
      <c r="C648" s="3" t="inlineStr">
        <is>
          <t>대</t>
        </is>
      </c>
      <c r="D648" s="3" t="inlineStr">
        <is>
          <t>답</t>
        </is>
      </c>
      <c r="E648" s="3" t="inlineStr">
        <is>
          <t>매매</t>
        </is>
      </c>
      <c r="F648" s="4" t="n">
        <v>18000</v>
      </c>
      <c r="G648" s="4" t="n">
        <v>671</v>
      </c>
      <c r="H648" s="4" t="n">
        <v>203</v>
      </c>
      <c r="I648" s="5" t="n">
        <v>88.7</v>
      </c>
      <c r="J648" s="4" t="n">
        <v>747.8</v>
      </c>
      <c r="K648" s="3" t="inlineStr">
        <is>
          <t>자연취락지구  도로접</t>
        </is>
      </c>
      <c r="L648" s="6">
        <f>HYPERLINK("https://fin.land.naver.com/articles/2645270599", "매물Link")</f>
        <v/>
      </c>
      <c r="M648" s="6">
        <f>HYPERLINK("https://map.naver.com/p/search/세종특별자치시 나성동 829", "지도Link")</f>
        <v/>
      </c>
      <c r="N648" s="6">
        <f>HYPERLINK("http://www.eum.go.kr/web/ar/lu/luLandDet.jsp?pnu=3611010700108290000&amp;isNoScr=script&amp;mode=search", "토지이음")</f>
        <v/>
      </c>
      <c r="O648" s="3" t="inlineStr">
        <is>
          <t>청담</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세종특별자치시 나성동 829</t>
        </is>
      </c>
      <c r="B649" s="3" t="inlineStr">
        <is>
          <t>중심상업지역</t>
        </is>
      </c>
      <c r="C649" s="3" t="inlineStr">
        <is>
          <t>대</t>
        </is>
      </c>
      <c r="D649" s="3" t="inlineStr">
        <is>
          <t>전</t>
        </is>
      </c>
      <c r="E649" s="3" t="inlineStr">
        <is>
          <t>매매</t>
        </is>
      </c>
      <c r="F649" s="4" t="n">
        <v>30800</v>
      </c>
      <c r="G649" s="4" t="n">
        <v>846</v>
      </c>
      <c r="H649" s="4" t="n">
        <v>256</v>
      </c>
      <c r="I649" s="5" t="n">
        <v>120.3</v>
      </c>
      <c r="J649" s="4" t="n">
        <v>747.8</v>
      </c>
      <c r="K649" s="3" t="inlineStr">
        <is>
          <t>2필지함께매매 컨테이너농막 전기완료 토목공사완료</t>
        </is>
      </c>
      <c r="L649" s="6">
        <f>HYPERLINK("https://fin.land.naver.com/articles/2645352883", "매물Link")</f>
        <v/>
      </c>
      <c r="M649" s="6">
        <f>HYPERLINK("https://map.naver.com/p/search/세종특별자치시 나성동 829", "지도Link")</f>
        <v/>
      </c>
      <c r="N649" s="6">
        <f>HYPERLINK("http://www.eum.go.kr/web/ar/lu/luLandDet.jsp?pnu=3611010700108290000&amp;isNoScr=script&amp;mode=search", "토지이음")</f>
        <v/>
      </c>
      <c r="O649" s="3" t="inlineStr">
        <is>
          <t>다안채</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세종특별자치시 나성동 829</t>
        </is>
      </c>
      <c r="B650" s="3" t="inlineStr">
        <is>
          <t>중심상업지역</t>
        </is>
      </c>
      <c r="C650" s="3" t="inlineStr">
        <is>
          <t>대</t>
        </is>
      </c>
      <c r="D650" s="3" t="inlineStr">
        <is>
          <t>답</t>
        </is>
      </c>
      <c r="E650" s="3" t="inlineStr">
        <is>
          <t>매매</t>
        </is>
      </c>
      <c r="F650" s="4" t="n">
        <v>181000</v>
      </c>
      <c r="G650" s="4" t="n">
        <v>6648</v>
      </c>
      <c r="H650" s="4" t="n">
        <v>2011</v>
      </c>
      <c r="I650" s="5" t="n">
        <v>90</v>
      </c>
      <c r="J650" s="4" t="n">
        <v>747.8</v>
      </c>
      <c r="K650" s="3" t="inlineStr">
        <is>
          <t>nan</t>
        </is>
      </c>
      <c r="L650" s="6">
        <f>HYPERLINK("https://fin.land.naver.com/articles/2647310268", "매물Link")</f>
        <v/>
      </c>
      <c r="M650" s="6">
        <f>HYPERLINK("https://map.naver.com/p/search/세종특별자치시 나성동 829", "지도Link")</f>
        <v/>
      </c>
      <c r="N650" s="6">
        <f>HYPERLINK("http://www.eum.go.kr/web/ar/lu/luLandDet.jsp?pnu=3611010700108290000&amp;isNoScr=script&amp;mode=search", "토지이음")</f>
        <v/>
      </c>
      <c r="O650" s="3" t="inlineStr">
        <is>
          <t>황금</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세종특별자치시 나성동 829</t>
        </is>
      </c>
      <c r="B651" s="3" t="inlineStr">
        <is>
          <t>중심상업지역</t>
        </is>
      </c>
      <c r="C651" s="3" t="inlineStr">
        <is>
          <t>대</t>
        </is>
      </c>
      <c r="D651" s="3" t="inlineStr">
        <is>
          <t>답</t>
        </is>
      </c>
      <c r="E651" s="3" t="inlineStr">
        <is>
          <t>매매</t>
        </is>
      </c>
      <c r="F651" s="4" t="n">
        <v>90000</v>
      </c>
      <c r="G651" s="4" t="n">
        <v>4727</v>
      </c>
      <c r="H651" s="4" t="n">
        <v>1430</v>
      </c>
      <c r="I651" s="5" t="n">
        <v>62.9</v>
      </c>
      <c r="J651" s="4" t="n">
        <v>747.8</v>
      </c>
      <c r="K651" s="3" t="inlineStr">
        <is>
          <t>동막동 하이테크벨리 인근. 창고.대토.투자추천</t>
        </is>
      </c>
      <c r="L651" s="6">
        <f>HYPERLINK("https://fin.land.naver.com/articles/2644808500", "매물Link")</f>
        <v/>
      </c>
      <c r="M651" s="6">
        <f>HYPERLINK("https://map.naver.com/p/search/세종특별자치시 나성동 829", "지도Link")</f>
        <v/>
      </c>
      <c r="N651" s="6">
        <f>HYPERLINK("http://www.eum.go.kr/web/ar/lu/luLandDet.jsp?pnu=3611010700108290000&amp;isNoScr=script&amp;mode=search", "토지이음")</f>
        <v/>
      </c>
      <c r="O651" s="3" t="inlineStr">
        <is>
          <t>플러스자이합동</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세종특별자치시 나성동 829</t>
        </is>
      </c>
      <c r="B652" s="3" t="inlineStr">
        <is>
          <t>중심상업지역</t>
        </is>
      </c>
      <c r="C652" s="3" t="inlineStr">
        <is>
          <t>대</t>
        </is>
      </c>
      <c r="D652" s="3" t="inlineStr">
        <is>
          <t>전</t>
        </is>
      </c>
      <c r="E652" s="3" t="inlineStr">
        <is>
          <t>매매</t>
        </is>
      </c>
      <c r="F652" s="4" t="n">
        <v>75000</v>
      </c>
      <c r="G652" s="4" t="n">
        <v>2460</v>
      </c>
      <c r="H652" s="4" t="n">
        <v>744</v>
      </c>
      <c r="I652" s="5" t="n">
        <v>100.8</v>
      </c>
      <c r="J652" s="4" t="n">
        <v>747.8</v>
      </c>
      <c r="K652" s="3" t="inlineStr">
        <is>
          <t>자연취락지역</t>
        </is>
      </c>
      <c r="L652" s="6">
        <f>HYPERLINK("https://fin.land.naver.com/articles/2647416417", "매물Link")</f>
        <v/>
      </c>
      <c r="M652" s="6">
        <f>HYPERLINK("https://map.naver.com/p/search/세종특별자치시 나성동 829", "지도Link")</f>
        <v/>
      </c>
      <c r="N652" s="6">
        <f>HYPERLINK("http://www.eum.go.kr/web/ar/lu/luLandDet.jsp?pnu=3611010700108290000&amp;isNoScr=script&amp;mode=search", "토지이음")</f>
        <v/>
      </c>
      <c r="O652" s="3" t="inlineStr">
        <is>
          <t>새온누리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세종특별자치시 나성동 829</t>
        </is>
      </c>
      <c r="B653" s="3" t="inlineStr">
        <is>
          <t>중심상업지역</t>
        </is>
      </c>
      <c r="C653" s="3" t="inlineStr">
        <is>
          <t>대</t>
        </is>
      </c>
      <c r="D653" s="3" t="inlineStr">
        <is>
          <t>대</t>
        </is>
      </c>
      <c r="E653" s="3" t="inlineStr">
        <is>
          <t>매매</t>
        </is>
      </c>
      <c r="F653" s="4" t="n">
        <v>5500</v>
      </c>
      <c r="G653" s="4" t="n">
        <v>241</v>
      </c>
      <c r="H653" s="4" t="n">
        <v>73</v>
      </c>
      <c r="I653" s="5" t="n">
        <v>75.3</v>
      </c>
      <c r="J653" s="4" t="n">
        <v>747.8</v>
      </c>
      <c r="K653" s="3" t="inlineStr">
        <is>
          <t>현암동 주택지 매매</t>
        </is>
      </c>
      <c r="L653" s="6">
        <f>HYPERLINK("https://fin.land.naver.com/articles/2647140059", "매물Link")</f>
        <v/>
      </c>
      <c r="M653" s="6">
        <f>HYPERLINK("https://map.naver.com/p/search/세종특별자치시 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세종특별자치시 나성동 829</t>
        </is>
      </c>
      <c r="B654" s="3" t="inlineStr">
        <is>
          <t>중심상업지역</t>
        </is>
      </c>
      <c r="C654" s="3" t="inlineStr">
        <is>
          <t>대</t>
        </is>
      </c>
      <c r="D654" s="3" t="inlineStr">
        <is>
          <t>답</t>
        </is>
      </c>
      <c r="E654" s="3" t="inlineStr">
        <is>
          <t>매매</t>
        </is>
      </c>
      <c r="F654" s="4" t="n">
        <v>22300</v>
      </c>
      <c r="G654" s="4" t="n">
        <v>2450</v>
      </c>
      <c r="H654" s="4" t="n">
        <v>741</v>
      </c>
      <c r="I654" s="5" t="n">
        <v>30.1</v>
      </c>
      <c r="J654" s="4" t="n">
        <v>747.8</v>
      </c>
      <c r="K654" s="3" t="inlineStr">
        <is>
          <t>현암동 토지 매매</t>
        </is>
      </c>
      <c r="L654" s="6">
        <f>HYPERLINK("https://fin.land.naver.com/articles/2647338936", "매물Link")</f>
        <v/>
      </c>
      <c r="M654" s="6">
        <f>HYPERLINK("https://map.naver.com/p/search/세종특별자치시 나성동 829", "지도Link")</f>
        <v/>
      </c>
      <c r="N654" s="6">
        <f>HYPERLINK("http://www.eum.go.kr/web/ar/lu/luLandDet.jsp?pnu=3611010700108290000&amp;isNoScr=script&amp;mode=search", "토지이음")</f>
        <v/>
      </c>
      <c r="O654" s="3" t="inlineStr">
        <is>
          <t>사거리</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세종특별자치시 나성동 829</t>
        </is>
      </c>
      <c r="B655" s="3" t="inlineStr">
        <is>
          <t>중심상업지역</t>
        </is>
      </c>
      <c r="C655" s="3" t="inlineStr">
        <is>
          <t>대</t>
        </is>
      </c>
      <c r="D655" s="3" t="inlineStr">
        <is>
          <t>답</t>
        </is>
      </c>
      <c r="E655" s="3" t="inlineStr">
        <is>
          <t>매매</t>
        </is>
      </c>
      <c r="F655" s="4" t="n">
        <v>30300</v>
      </c>
      <c r="G655" s="4" t="n">
        <v>5537</v>
      </c>
      <c r="H655" s="4" t="n">
        <v>1675</v>
      </c>
      <c r="I655" s="5" t="n">
        <v>18.1</v>
      </c>
      <c r="J655" s="4" t="n">
        <v>747.8</v>
      </c>
      <c r="K655" s="3" t="inlineStr">
        <is>
          <t>현암동 작은 토지 매매</t>
        </is>
      </c>
      <c r="L655" s="6">
        <f>HYPERLINK("https://fin.land.naver.com/articles/2649592116", "매물Link")</f>
        <v/>
      </c>
      <c r="M655" s="6">
        <f>HYPERLINK("https://map.naver.com/p/search/세종특별자치시 나성동 829", "지도Link")</f>
        <v/>
      </c>
      <c r="N655" s="6">
        <f>HYPERLINK("http://www.eum.go.kr/web/ar/lu/luLandDet.jsp?pnu=3611010700108290000&amp;isNoScr=script&amp;mode=search", "토지이음")</f>
        <v/>
      </c>
      <c r="O655" s="3" t="inlineStr">
        <is>
          <t>사거리</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세종특별자치시 나성동 829</t>
        </is>
      </c>
      <c r="B656" s="3" t="inlineStr">
        <is>
          <t>중심상업지역</t>
        </is>
      </c>
      <c r="C656" s="3" t="inlineStr">
        <is>
          <t>대</t>
        </is>
      </c>
      <c r="D656" s="3" t="inlineStr">
        <is>
          <t>대</t>
        </is>
      </c>
      <c r="E656" s="3" t="inlineStr">
        <is>
          <t>매매</t>
        </is>
      </c>
      <c r="F656" s="4" t="n">
        <v>30000</v>
      </c>
      <c r="G656" s="4" t="n">
        <v>1000</v>
      </c>
      <c r="H656" s="4" t="n">
        <v>302</v>
      </c>
      <c r="I656" s="5" t="n">
        <v>99.3</v>
      </c>
      <c r="J656" s="4" t="n">
        <v>747.8</v>
      </c>
      <c r="K656" s="3" t="inlineStr">
        <is>
          <t>현암동 주택 지을 토지 매매</t>
        </is>
      </c>
      <c r="L656" s="6">
        <f>HYPERLINK("https://fin.land.naver.com/articles/2649595256", "매물Link")</f>
        <v/>
      </c>
      <c r="M656" s="6">
        <f>HYPERLINK("https://map.naver.com/p/search/세종특별자치시 나성동 829", "지도Link")</f>
        <v/>
      </c>
      <c r="N656" s="6">
        <f>HYPERLINK("http://www.eum.go.kr/web/ar/lu/luLandDet.jsp?pnu=3611010700108290000&amp;isNoScr=script&amp;mode=search", "토지이음")</f>
        <v/>
      </c>
      <c r="O656" s="3" t="inlineStr">
        <is>
          <t>사거리</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세종특별자치시 나성동 829</t>
        </is>
      </c>
      <c r="B657" s="3" t="inlineStr">
        <is>
          <t>중심상업지역</t>
        </is>
      </c>
      <c r="C657" s="3" t="inlineStr">
        <is>
          <t>대</t>
        </is>
      </c>
      <c r="D657" s="3" t="inlineStr">
        <is>
          <t>전</t>
        </is>
      </c>
      <c r="E657" s="3" t="inlineStr">
        <is>
          <t>매매</t>
        </is>
      </c>
      <c r="F657" s="4" t="n">
        <v>80360</v>
      </c>
      <c r="G657" s="4" t="n">
        <v>1897</v>
      </c>
      <c r="H657" s="4" t="n">
        <v>574</v>
      </c>
      <c r="I657" s="5" t="n">
        <v>140</v>
      </c>
      <c r="J657" s="4" t="n">
        <v>747.8</v>
      </c>
      <c r="K657" s="3" t="inlineStr">
        <is>
          <t>nan</t>
        </is>
      </c>
      <c r="L657" s="6">
        <f>HYPERLINK("https://fin.land.naver.com/articles/2649774972", "매물Link")</f>
        <v/>
      </c>
      <c r="M657" s="6">
        <f>HYPERLINK("https://map.naver.com/p/search/세종특별자치시 나성동 829", "지도Link")</f>
        <v/>
      </c>
      <c r="N657" s="6">
        <f>HYPERLINK("http://www.eum.go.kr/web/ar/lu/luLandDet.jsp?pnu=3611010700108290000&amp;isNoScr=script&amp;mode=search", "토지이음")</f>
        <v/>
      </c>
      <c r="O657" s="3" t="inlineStr">
        <is>
          <t>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세종특별자치시 나성동 829</t>
        </is>
      </c>
      <c r="B658" s="3" t="inlineStr">
        <is>
          <t>중심상업지역</t>
        </is>
      </c>
      <c r="C658" s="3" t="inlineStr">
        <is>
          <t>대</t>
        </is>
      </c>
      <c r="D658" s="3" t="inlineStr">
        <is>
          <t>대</t>
        </is>
      </c>
      <c r="E658" s="3" t="inlineStr">
        <is>
          <t>매매</t>
        </is>
      </c>
      <c r="F658" s="4" t="n">
        <v>93500</v>
      </c>
      <c r="G658" s="4" t="n">
        <v>2060</v>
      </c>
      <c r="H658" s="4" t="n">
        <v>623</v>
      </c>
      <c r="I658" s="5" t="n">
        <v>150.1</v>
      </c>
      <c r="J658" s="4" t="n">
        <v>747.8</v>
      </c>
      <c r="K658" s="3" t="inlineStr">
        <is>
          <t>nan</t>
        </is>
      </c>
      <c r="L658" s="6">
        <f>HYPERLINK("https://fin.land.naver.com/articles/2649775363", "매물Link")</f>
        <v/>
      </c>
      <c r="M658" s="6">
        <f>HYPERLINK("https://map.naver.com/p/search/세종특별자치시 나성동 829", "지도Link")</f>
        <v/>
      </c>
      <c r="N658" s="6">
        <f>HYPERLINK("http://www.eum.go.kr/web/ar/lu/luLandDet.jsp?pnu=3611010700108290000&amp;isNoScr=script&amp;mode=search", "토지이음")</f>
        <v/>
      </c>
      <c r="O658" s="3" t="inlineStr">
        <is>
          <t>길</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세종특별자치시 나성동 829</t>
        </is>
      </c>
      <c r="B659" s="3" t="inlineStr">
        <is>
          <t>중심상업지역</t>
        </is>
      </c>
      <c r="C659" s="3" t="inlineStr">
        <is>
          <t>대</t>
        </is>
      </c>
      <c r="D659" s="3" t="inlineStr">
        <is>
          <t>답</t>
        </is>
      </c>
      <c r="E659" s="3" t="inlineStr">
        <is>
          <t>매매</t>
        </is>
      </c>
      <c r="F659" s="4" t="n">
        <v>72000</v>
      </c>
      <c r="G659" s="4" t="n">
        <v>2982</v>
      </c>
      <c r="H659" s="4" t="n">
        <v>902</v>
      </c>
      <c r="I659" s="5" t="n">
        <v>79.8</v>
      </c>
      <c r="J659" s="4" t="n">
        <v>747.8</v>
      </c>
      <c r="K659" s="3" t="inlineStr">
        <is>
          <t>청주I,C와 서청주I,C와 근접 해 있어요 채광좋음 탁트인전망</t>
        </is>
      </c>
      <c r="L659" s="6">
        <f>HYPERLINK("https://fin.land.naver.com/articles/2643992150", "매물Link")</f>
        <v/>
      </c>
      <c r="M659" s="6">
        <f>HYPERLINK("https://map.naver.com/p/search/세종특별자치시 나성동 829", "지도Link")</f>
        <v/>
      </c>
      <c r="N659" s="6">
        <f>HYPERLINK("http://www.eum.go.kr/web/ar/lu/luLandDet.jsp?pnu=3611010700108290000&amp;isNoScr=script&amp;mode=search", "토지이음")</f>
        <v/>
      </c>
      <c r="O659" s="3" t="inlineStr">
        <is>
          <t>비타민</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세종특별자치시 나성동 829</t>
        </is>
      </c>
      <c r="B660" s="3" t="inlineStr">
        <is>
          <t>중심상업지역</t>
        </is>
      </c>
      <c r="C660" s="3" t="inlineStr">
        <is>
          <t>대</t>
        </is>
      </c>
      <c r="D660" s="3" t="inlineStr">
        <is>
          <t>답</t>
        </is>
      </c>
      <c r="E660" s="3" t="inlineStr">
        <is>
          <t>매매</t>
        </is>
      </c>
      <c r="F660" s="4" t="n">
        <v>53100</v>
      </c>
      <c r="G660" s="4" t="n">
        <v>952</v>
      </c>
      <c r="H660" s="4" t="n">
        <v>288</v>
      </c>
      <c r="I660" s="5" t="n">
        <v>184.4</v>
      </c>
      <c r="J660" s="4" t="n">
        <v>747.8</v>
      </c>
      <c r="K660" s="3" t="inlineStr">
        <is>
          <t>신전동 토지</t>
        </is>
      </c>
      <c r="L660" s="6">
        <f>HYPERLINK("https://fin.land.naver.com/articles/2646457871", "매물Link")</f>
        <v/>
      </c>
      <c r="M660" s="6">
        <f>HYPERLINK("https://map.naver.com/p/search/세종특별자치시 나성동 829", "지도Link")</f>
        <v/>
      </c>
      <c r="N660" s="6">
        <f>HYPERLINK("http://www.eum.go.kr/web/ar/lu/luLandDet.jsp?pnu=3611010700108290000&amp;isNoScr=script&amp;mode=search", "토지이음")</f>
        <v/>
      </c>
      <c r="O660" s="3" t="inlineStr">
        <is>
          <t>어반에스테이트</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세종특별자치시 나성동 829</t>
        </is>
      </c>
      <c r="B661" s="3" t="inlineStr">
        <is>
          <t>중심상업지역</t>
        </is>
      </c>
      <c r="C661" s="3" t="inlineStr">
        <is>
          <t>대</t>
        </is>
      </c>
      <c r="D661" s="3" t="inlineStr">
        <is>
          <t>답</t>
        </is>
      </c>
      <c r="E661" s="3" t="inlineStr">
        <is>
          <t>매매</t>
        </is>
      </c>
      <c r="F661" s="4" t="n">
        <v>31000</v>
      </c>
      <c r="G661" s="4" t="n">
        <v>1656</v>
      </c>
      <c r="H661" s="4" t="n">
        <v>501</v>
      </c>
      <c r="I661" s="5" t="n">
        <v>61.9</v>
      </c>
      <c r="J661" s="4" t="n">
        <v>747.8</v>
      </c>
      <c r="K661" s="3" t="inlineStr">
        <is>
          <t>현암동 답 매매</t>
        </is>
      </c>
      <c r="L661" s="6">
        <f>HYPERLINK("https://fin.land.naver.com/articles/2646788031", "매물Link")</f>
        <v/>
      </c>
      <c r="M661" s="6">
        <f>HYPERLINK("https://map.naver.com/p/search/세종특별자치시 나성동 829", "지도Link")</f>
        <v/>
      </c>
      <c r="N661" s="6">
        <f>HYPERLINK("http://www.eum.go.kr/web/ar/lu/luLandDet.jsp?pnu=3611010700108290000&amp;isNoScr=script&amp;mode=search", "토지이음")</f>
        <v/>
      </c>
      <c r="O661" s="3" t="inlineStr">
        <is>
          <t>보배</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세종특별자치시 나성동 829</t>
        </is>
      </c>
      <c r="B662" s="3" t="inlineStr">
        <is>
          <t>중심상업지역</t>
        </is>
      </c>
      <c r="C662" s="3" t="inlineStr">
        <is>
          <t>대</t>
        </is>
      </c>
      <c r="D662" s="3" t="inlineStr">
        <is>
          <t>전</t>
        </is>
      </c>
      <c r="E662" s="3" t="inlineStr">
        <is>
          <t>매매</t>
        </is>
      </c>
      <c r="F662" s="4" t="n">
        <v>80000</v>
      </c>
      <c r="G662" s="4" t="n">
        <v>3305</v>
      </c>
      <c r="H662" s="4" t="n">
        <v>1000</v>
      </c>
      <c r="I662" s="5" t="n">
        <v>80</v>
      </c>
      <c r="J662" s="4" t="n">
        <v>747.8</v>
      </c>
      <c r="K662" s="3" t="inlineStr">
        <is>
          <t>구거에 붙어있는 귀한지역에 땅모양까지 이쁜땅</t>
        </is>
      </c>
      <c r="L662" s="6">
        <f>HYPERLINK("https://fin.land.naver.com/articles/2647755426", "매물Link")</f>
        <v/>
      </c>
      <c r="M662" s="6">
        <f>HYPERLINK("https://map.naver.com/p/search/세종특별자치시 나성동 829", "지도Link")</f>
        <v/>
      </c>
      <c r="N662" s="6">
        <f>HYPERLINK("http://www.eum.go.kr/web/ar/lu/luLandDet.jsp?pnu=3611010700108290000&amp;isNoScr=script&amp;mode=search", "토지이음")</f>
        <v/>
      </c>
      <c r="O662" s="3" t="inlineStr">
        <is>
          <t>굿모닝  사무소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세종특별자치시 나성동 829</t>
        </is>
      </c>
      <c r="B663" s="3" t="inlineStr">
        <is>
          <t>중심상업지역</t>
        </is>
      </c>
      <c r="C663" s="3" t="inlineStr">
        <is>
          <t>대</t>
        </is>
      </c>
      <c r="D663" s="3" t="inlineStr">
        <is>
          <t>전</t>
        </is>
      </c>
      <c r="E663" s="3" t="inlineStr">
        <is>
          <t>매매</t>
        </is>
      </c>
      <c r="F663" s="4" t="n">
        <v>49000</v>
      </c>
      <c r="G663" s="4" t="n">
        <v>2701</v>
      </c>
      <c r="H663" s="4" t="n">
        <v>817</v>
      </c>
      <c r="I663" s="5" t="n">
        <v>60</v>
      </c>
      <c r="J663" s="4" t="n">
        <v>747.8</v>
      </c>
      <c r="K663" s="3" t="inlineStr">
        <is>
          <t>청주하이테크벨리산업단지 인근 투자로 좋아요</t>
        </is>
      </c>
      <c r="L663" s="6">
        <f>HYPERLINK("https://fin.land.naver.com/articles/2645228986", "매물Link")</f>
        <v/>
      </c>
      <c r="M663" s="6">
        <f>HYPERLINK("https://map.naver.com/p/search/세종특별자치시 나성동 829", "지도Link")</f>
        <v/>
      </c>
      <c r="N663" s="6">
        <f>HYPERLINK("http://www.eum.go.kr/web/ar/lu/luLandDet.jsp?pnu=3611010700108290000&amp;isNoScr=script&amp;mode=search", "토지이음")</f>
        <v/>
      </c>
      <c r="O663" s="3" t="inlineStr">
        <is>
          <t>태평</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세종특별자치시 나성동 829</t>
        </is>
      </c>
      <c r="B664" s="3" t="inlineStr">
        <is>
          <t>중심상업지역</t>
        </is>
      </c>
      <c r="C664" s="3" t="inlineStr">
        <is>
          <t>대</t>
        </is>
      </c>
      <c r="D664" s="3" t="inlineStr">
        <is>
          <t>대</t>
        </is>
      </c>
      <c r="E664" s="3" t="inlineStr">
        <is>
          <t>매매</t>
        </is>
      </c>
      <c r="F664" s="4" t="n">
        <v>198800</v>
      </c>
      <c r="G664" s="4" t="n">
        <v>1878</v>
      </c>
      <c r="H664" s="4" t="n">
        <v>568</v>
      </c>
      <c r="I664" s="5" t="n">
        <v>350</v>
      </c>
      <c r="J664" s="4" t="n">
        <v>747.8</v>
      </c>
      <c r="K664" s="3" t="inlineStr">
        <is>
          <t>지동동 대로변 토지 최적의 투자처</t>
        </is>
      </c>
      <c r="L664" s="6">
        <f>HYPERLINK("https://fin.land.naver.com/articles/2646745039", "매물Link")</f>
        <v/>
      </c>
      <c r="M664" s="6">
        <f>HYPERLINK("https://map.naver.com/p/search/세종특별자치시 나성동 829", "지도Link")</f>
        <v/>
      </c>
      <c r="N664" s="6">
        <f>HYPERLINK("http://www.eum.go.kr/web/ar/lu/luLandDet.jsp?pnu=3611010700108290000&amp;isNoScr=script&amp;mode=search", "토지이음")</f>
        <v/>
      </c>
      <c r="O664" s="3" t="inlineStr">
        <is>
          <t>공장365</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세종특별자치시 나성동 829</t>
        </is>
      </c>
      <c r="B665" s="3" t="inlineStr">
        <is>
          <t>중심상업지역</t>
        </is>
      </c>
      <c r="C665" s="3" t="inlineStr">
        <is>
          <t>대</t>
        </is>
      </c>
      <c r="D665" s="3" t="inlineStr">
        <is>
          <t>답</t>
        </is>
      </c>
      <c r="E665" s="3" t="inlineStr">
        <is>
          <t>매매</t>
        </is>
      </c>
      <c r="F665" s="4" t="n">
        <v>75000</v>
      </c>
      <c r="G665" s="4" t="n">
        <v>1652</v>
      </c>
      <c r="H665" s="4" t="n">
        <v>500</v>
      </c>
      <c r="I665" s="5" t="n">
        <v>150</v>
      </c>
      <c r="J665" s="4" t="n">
        <v>747.8</v>
      </c>
      <c r="K665" s="3" t="inlineStr">
        <is>
          <t>민원없는 공장 밀집지역, 제2종근생제조업 가능, 공장추천</t>
        </is>
      </c>
      <c r="L665" s="6">
        <f>HYPERLINK("https://fin.land.naver.com/articles/2648194731", "매물Link")</f>
        <v/>
      </c>
      <c r="M665" s="6">
        <f>HYPERLINK("https://map.naver.com/p/search/세종특별자치시 나성동 829", "지도Link")</f>
        <v/>
      </c>
      <c r="N665" s="6">
        <f>HYPERLINK("http://www.eum.go.kr/web/ar/lu/luLandDet.jsp?pnu=3611010700108290000&amp;isNoScr=script&amp;mode=search", "토지이음")</f>
        <v/>
      </c>
      <c r="O665" s="3" t="inlineStr">
        <is>
          <t>플러스자이합동</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세종특별자치시 나성동 829</t>
        </is>
      </c>
      <c r="B666" s="3" t="inlineStr">
        <is>
          <t>중심상업지역</t>
        </is>
      </c>
      <c r="C666" s="3" t="inlineStr">
        <is>
          <t>대</t>
        </is>
      </c>
      <c r="D666" s="3" t="inlineStr">
        <is>
          <t>전</t>
        </is>
      </c>
      <c r="E666" s="3" t="inlineStr">
        <is>
          <t>매매</t>
        </is>
      </c>
      <c r="F666" s="4" t="n">
        <v>50600</v>
      </c>
      <c r="G666" s="4" t="n">
        <v>3041</v>
      </c>
      <c r="H666" s="4" t="n">
        <v>920</v>
      </c>
      <c r="I666" s="5" t="n">
        <v>55</v>
      </c>
      <c r="J666" s="4" t="n">
        <v>747.8</v>
      </c>
      <c r="K666" s="3" t="inlineStr">
        <is>
          <t>nan</t>
        </is>
      </c>
      <c r="L666" s="6">
        <f>HYPERLINK("https://fin.land.naver.com/articles/2645495894", "매물Link")</f>
        <v/>
      </c>
      <c r="M666" s="6">
        <f>HYPERLINK("https://map.naver.com/p/search/세종특별자치시 나성동 829", "지도Link")</f>
        <v/>
      </c>
      <c r="N666" s="6">
        <f>HYPERLINK("http://www.eum.go.kr/web/ar/lu/luLandDet.jsp?pnu=3611010700108290000&amp;isNoScr=script&amp;mode=search", "토지이음")</f>
        <v/>
      </c>
      <c r="O666" s="3" t="inlineStr">
        <is>
          <t>규담무소</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세종특별자치시 나성동 829</t>
        </is>
      </c>
      <c r="B667" s="3" t="inlineStr">
        <is>
          <t>중심상업지역</t>
        </is>
      </c>
      <c r="C667" s="3" t="inlineStr">
        <is>
          <t>대</t>
        </is>
      </c>
      <c r="D667" s="3" t="inlineStr">
        <is>
          <t>임야</t>
        </is>
      </c>
      <c r="E667" s="3" t="inlineStr">
        <is>
          <t>매매</t>
        </is>
      </c>
      <c r="F667" s="4" t="n">
        <v>205000</v>
      </c>
      <c r="G667" s="4" t="n">
        <v>8430</v>
      </c>
      <c r="H667" s="4" t="n">
        <v>2550</v>
      </c>
      <c r="I667" s="5" t="n">
        <v>80.40000000000001</v>
      </c>
      <c r="J667" s="4" t="n">
        <v>747.8</v>
      </c>
      <c r="K667" s="3" t="inlineStr">
        <is>
          <t>nan</t>
        </is>
      </c>
      <c r="L667" s="6">
        <f>HYPERLINK("https://fin.land.naver.com/articles/2644216202", "매물Link")</f>
        <v/>
      </c>
      <c r="M667" s="6">
        <f>HYPERLINK("https://map.naver.com/p/search/세종특별자치시 나성동 829", "지도Link")</f>
        <v/>
      </c>
      <c r="N667" s="6">
        <f>HYPERLINK("http://www.eum.go.kr/web/ar/lu/luLandDet.jsp?pnu=3611010700108290000&amp;isNoScr=script&amp;mode=search", "토지이음")</f>
        <v/>
      </c>
      <c r="O667" s="3" t="inlineStr">
        <is>
          <t>금탑</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세종특별자치시 나성동 829</t>
        </is>
      </c>
      <c r="B668" s="3" t="inlineStr">
        <is>
          <t>중심상업지역</t>
        </is>
      </c>
      <c r="C668" s="3" t="inlineStr">
        <is>
          <t>대</t>
        </is>
      </c>
      <c r="D668" s="3" t="inlineStr">
        <is>
          <t>임야</t>
        </is>
      </c>
      <c r="E668" s="3" t="inlineStr">
        <is>
          <t>매매</t>
        </is>
      </c>
      <c r="F668" s="4" t="n">
        <v>45000</v>
      </c>
      <c r="G668" s="4" t="n">
        <v>7305</v>
      </c>
      <c r="H668" s="4" t="n">
        <v>2210</v>
      </c>
      <c r="I668" s="5" t="n">
        <v>20.4</v>
      </c>
      <c r="J668" s="4" t="n">
        <v>747.8</v>
      </c>
      <c r="K668" s="3" t="inlineStr">
        <is>
          <t>nan</t>
        </is>
      </c>
      <c r="L668" s="6">
        <f>HYPERLINK("https://fin.land.naver.com/articles/2647785041", "매물Link")</f>
        <v/>
      </c>
      <c r="M668" s="6">
        <f>HYPERLINK("https://map.naver.com/p/search/세종특별자치시 나성동 829", "지도Link")</f>
        <v/>
      </c>
      <c r="N668" s="6">
        <f>HYPERLINK("http://www.eum.go.kr/web/ar/lu/luLandDet.jsp?pnu=3611010700108290000&amp;isNoScr=script&amp;mode=search", "토지이음")</f>
        <v/>
      </c>
      <c r="O668" s="3" t="inlineStr">
        <is>
          <t>성안길</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세종특별자치시 나성동 829</t>
        </is>
      </c>
      <c r="B669" s="3" t="inlineStr">
        <is>
          <t>중심상업지역</t>
        </is>
      </c>
      <c r="C669" s="3" t="inlineStr">
        <is>
          <t>대</t>
        </is>
      </c>
      <c r="D669" s="3" t="inlineStr">
        <is>
          <t>전</t>
        </is>
      </c>
      <c r="E669" s="3" t="inlineStr">
        <is>
          <t>매매</t>
        </is>
      </c>
      <c r="F669" s="4" t="n">
        <v>45000</v>
      </c>
      <c r="G669" s="4" t="n">
        <v>1285</v>
      </c>
      <c r="H669" s="4" t="n">
        <v>389</v>
      </c>
      <c r="I669" s="5" t="n">
        <v>115.7</v>
      </c>
      <c r="J669" s="4" t="n">
        <v>747.8</v>
      </c>
      <c r="K669" s="3" t="inlineStr">
        <is>
          <t>수의동위치좋은곳으로도로코너지임</t>
        </is>
      </c>
      <c r="L669" s="6">
        <f>HYPERLINK("https://fin.land.naver.com/articles/2649584202", "매물Link")</f>
        <v/>
      </c>
      <c r="M669" s="6">
        <f>HYPERLINK("https://map.naver.com/p/search/세종특별자치시 나성동 829", "지도Link")</f>
        <v/>
      </c>
      <c r="N669" s="6">
        <f>HYPERLINK("http://www.eum.go.kr/web/ar/lu/luLandDet.jsp?pnu=3611010700108290000&amp;isNoScr=script&amp;mode=search", "토지이음")</f>
        <v/>
      </c>
      <c r="O669" s="3" t="inlineStr">
        <is>
          <t>모범</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세종특별자치시 나성동 829</t>
        </is>
      </c>
      <c r="B670" s="3" t="inlineStr">
        <is>
          <t>중심상업지역</t>
        </is>
      </c>
      <c r="C670" s="3" t="inlineStr">
        <is>
          <t>대</t>
        </is>
      </c>
      <c r="D670" s="3" t="inlineStr">
        <is>
          <t>전</t>
        </is>
      </c>
      <c r="E670" s="3" t="inlineStr">
        <is>
          <t>매매</t>
        </is>
      </c>
      <c r="F670" s="4" t="n">
        <v>30700</v>
      </c>
      <c r="G670" s="4" t="n">
        <v>847</v>
      </c>
      <c r="H670" s="4" t="n">
        <v>256</v>
      </c>
      <c r="I670" s="5" t="n">
        <v>119.9</v>
      </c>
      <c r="J670" s="4" t="n">
        <v>747.8</v>
      </c>
      <c r="K670" s="3" t="inlineStr">
        <is>
          <t>수의동 소형 토지 매매</t>
        </is>
      </c>
      <c r="L670" s="6">
        <f>HYPERLINK("https://fin.land.naver.com/articles/2645098430", "매물Link")</f>
        <v/>
      </c>
      <c r="M670" s="6">
        <f>HYPERLINK("https://map.naver.com/p/search/세종특별자치시 나성동 829", "지도Link")</f>
        <v/>
      </c>
      <c r="N670" s="6">
        <f>HYPERLINK("http://www.eum.go.kr/web/ar/lu/luLandDet.jsp?pnu=3611010700108290000&amp;isNoScr=script&amp;mode=search", "토지이음")</f>
        <v/>
      </c>
      <c r="O670" s="3" t="inlineStr">
        <is>
          <t>사거리</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세종특별자치시 나성동 829</t>
        </is>
      </c>
      <c r="B671" s="3" t="inlineStr">
        <is>
          <t>중심상업지역</t>
        </is>
      </c>
      <c r="C671" s="3" t="inlineStr">
        <is>
          <t>대</t>
        </is>
      </c>
      <c r="D671" s="3" t="inlineStr">
        <is>
          <t>대</t>
        </is>
      </c>
      <c r="E671" s="3" t="inlineStr">
        <is>
          <t>매매</t>
        </is>
      </c>
      <c r="F671" s="4" t="n">
        <v>25000</v>
      </c>
      <c r="G671" s="4" t="n">
        <v>447</v>
      </c>
      <c r="H671" s="4" t="n">
        <v>135</v>
      </c>
      <c r="I671" s="5" t="n">
        <v>185.2</v>
      </c>
      <c r="J671" s="4" t="n">
        <v>747.8</v>
      </c>
      <c r="K671" s="3" t="inlineStr">
        <is>
          <t>단독주택 부지, 도로에 접하고 있어 진입로 문제 없음, 살기 좋음</t>
        </is>
      </c>
      <c r="L671" s="6">
        <f>HYPERLINK("https://fin.land.naver.com/articles/2645318302", "매물Link")</f>
        <v/>
      </c>
      <c r="M671" s="6">
        <f>HYPERLINK("https://map.naver.com/p/search/세종특별자치시 나성동 829", "지도Link")</f>
        <v/>
      </c>
      <c r="N671" s="6">
        <f>HYPERLINK("http://www.eum.go.kr/web/ar/lu/luLandDet.jsp?pnu=3611010700108290000&amp;isNoScr=script&amp;mode=search", "토지이음")</f>
        <v/>
      </c>
      <c r="O671" s="3" t="inlineStr">
        <is>
          <t>제이</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세종특별자치시 나성동 829</t>
        </is>
      </c>
      <c r="B672" s="3" t="inlineStr">
        <is>
          <t>중심상업지역</t>
        </is>
      </c>
      <c r="C672" s="3" t="inlineStr">
        <is>
          <t>대</t>
        </is>
      </c>
      <c r="D672" s="3" t="inlineStr">
        <is>
          <t>임야</t>
        </is>
      </c>
      <c r="E672" s="3" t="inlineStr">
        <is>
          <t>매매</t>
        </is>
      </c>
      <c r="F672" s="4" t="n">
        <v>78300</v>
      </c>
      <c r="G672" s="4" t="n">
        <v>8628</v>
      </c>
      <c r="H672" s="4" t="n">
        <v>2610</v>
      </c>
      <c r="I672" s="5" t="n">
        <v>30</v>
      </c>
      <c r="J672" s="4" t="n">
        <v>747.8</v>
      </c>
      <c r="K672" s="3" t="inlineStr">
        <is>
          <t>수의동 토지</t>
        </is>
      </c>
      <c r="L672" s="6">
        <f>HYPERLINK("https://fin.land.naver.com/articles/2646458563", "매물Link")</f>
        <v/>
      </c>
      <c r="M672" s="6">
        <f>HYPERLINK("https://map.naver.com/p/search/세종특별자치시 나성동 829", "지도Link")</f>
        <v/>
      </c>
      <c r="N672" s="6">
        <f>HYPERLINK("http://www.eum.go.kr/web/ar/lu/luLandDet.jsp?pnu=3611010700108290000&amp;isNoScr=script&amp;mode=search", "토지이음")</f>
        <v/>
      </c>
      <c r="O672" s="3" t="inlineStr">
        <is>
          <t>어반에스테이트</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세종특별자치시 나성동 829</t>
        </is>
      </c>
      <c r="B673" s="3" t="inlineStr">
        <is>
          <t>중심상업지역</t>
        </is>
      </c>
      <c r="C673" s="3" t="inlineStr">
        <is>
          <t>대</t>
        </is>
      </c>
      <c r="D673" s="3" t="inlineStr">
        <is>
          <t>답</t>
        </is>
      </c>
      <c r="E673" s="3" t="inlineStr">
        <is>
          <t>매매</t>
        </is>
      </c>
      <c r="F673" s="4" t="n">
        <v>81000</v>
      </c>
      <c r="G673" s="4" t="n">
        <v>2979</v>
      </c>
      <c r="H673" s="4" t="n">
        <v>901</v>
      </c>
      <c r="I673" s="5" t="n">
        <v>89.90000000000001</v>
      </c>
      <c r="J673" s="4" t="n">
        <v>747.8</v>
      </c>
      <c r="K673" s="3" t="inlineStr">
        <is>
          <t>수의동 농지 매매. 관심 있으신분 연락주세요.</t>
        </is>
      </c>
      <c r="L673" s="6">
        <f>HYPERLINK("https://fin.land.naver.com/articles/2649564649", "매물Link")</f>
        <v/>
      </c>
      <c r="M673" s="6">
        <f>HYPERLINK("https://map.naver.com/p/search/세종특별자치시 나성동 829", "지도Link")</f>
        <v/>
      </c>
      <c r="N673" s="6">
        <f>HYPERLINK("http://www.eum.go.kr/web/ar/lu/luLandDet.jsp?pnu=3611010700108290000&amp;isNoScr=script&amp;mode=search", "토지이음")</f>
        <v/>
      </c>
      <c r="O673" s="3" t="inlineStr">
        <is>
          <t>현대</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세종특별자치시 나성동 829</t>
        </is>
      </c>
      <c r="B674" s="3" t="inlineStr">
        <is>
          <t>중심상업지역</t>
        </is>
      </c>
      <c r="C674" s="3" t="inlineStr">
        <is>
          <t>대</t>
        </is>
      </c>
      <c r="D674" s="3" t="inlineStr">
        <is>
          <t>대</t>
        </is>
      </c>
      <c r="E674" s="3" t="inlineStr">
        <is>
          <t>매매</t>
        </is>
      </c>
      <c r="F674" s="4" t="n">
        <v>30000</v>
      </c>
      <c r="G674" s="4" t="n">
        <v>694</v>
      </c>
      <c r="H674" s="4" t="n">
        <v>210</v>
      </c>
      <c r="I674" s="5" t="n">
        <v>142.9</v>
      </c>
      <c r="J674" s="4" t="n">
        <v>747.8</v>
      </c>
      <c r="K674" s="3" t="inlineStr">
        <is>
          <t>nan</t>
        </is>
      </c>
      <c r="L674" s="6">
        <f>HYPERLINK("https://fin.land.naver.com/articles/2649671150", "매물Link")</f>
        <v/>
      </c>
      <c r="M674" s="6">
        <f>HYPERLINK("https://map.naver.com/p/search/세종특별자치시 나성동 829", "지도Link")</f>
        <v/>
      </c>
      <c r="N674" s="6">
        <f>HYPERLINK("http://www.eum.go.kr/web/ar/lu/luLandDet.jsp?pnu=3611010700108290000&amp;isNoScr=script&amp;mode=search", "토지이음")</f>
        <v/>
      </c>
      <c r="O674" s="3" t="inlineStr">
        <is>
          <t>대소</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세종특별자치시 나성동 829</t>
        </is>
      </c>
      <c r="B675" s="3" t="inlineStr">
        <is>
          <t>중심상업지역</t>
        </is>
      </c>
      <c r="C675" s="3" t="inlineStr">
        <is>
          <t>대</t>
        </is>
      </c>
      <c r="D675" s="3" t="inlineStr">
        <is>
          <t>답</t>
        </is>
      </c>
      <c r="E675" s="3" t="inlineStr">
        <is>
          <t>매매</t>
        </is>
      </c>
      <c r="F675" s="4" t="n">
        <v>57500</v>
      </c>
      <c r="G675" s="4" t="n">
        <v>4000</v>
      </c>
      <c r="H675" s="4" t="n">
        <v>1210</v>
      </c>
      <c r="I675" s="5" t="n">
        <v>47.5</v>
      </c>
      <c r="J675" s="4" t="n">
        <v>747.8</v>
      </c>
      <c r="K675" s="3" t="inlineStr">
        <is>
          <t>청주시 상신동 토지매매 5.75억</t>
        </is>
      </c>
      <c r="L675" s="6">
        <f>HYPERLINK("https://fin.land.naver.com/articles/2650137976", "매물Link")</f>
        <v/>
      </c>
      <c r="M675" s="6">
        <f>HYPERLINK("https://map.naver.com/p/search/세종특별자치시 나성동 829", "지도Link")</f>
        <v/>
      </c>
      <c r="N675" s="6">
        <f>HYPERLINK("http://www.eum.go.kr/web/ar/lu/luLandDet.jsp?pnu=3611010700108290000&amp;isNoScr=script&amp;mode=search", "토지이음")</f>
        <v/>
      </c>
      <c r="O675" s="3" t="inlineStr">
        <is>
          <t>땅야박영수사무소</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세종특별자치시 나성동 829</t>
        </is>
      </c>
      <c r="B676" s="3" t="inlineStr">
        <is>
          <t>중심상업지역</t>
        </is>
      </c>
      <c r="C676" s="3" t="inlineStr">
        <is>
          <t>대</t>
        </is>
      </c>
      <c r="D676" s="3" t="inlineStr">
        <is>
          <t>전</t>
        </is>
      </c>
      <c r="E676" s="3" t="inlineStr">
        <is>
          <t>매매</t>
        </is>
      </c>
      <c r="F676" s="4" t="n">
        <v>87000</v>
      </c>
      <c r="G676" s="4" t="n">
        <v>3590</v>
      </c>
      <c r="H676" s="4" t="n">
        <v>1086</v>
      </c>
      <c r="I676" s="5" t="n">
        <v>80.09999999999999</v>
      </c>
      <c r="J676" s="4" t="n">
        <v>747.8</v>
      </c>
      <c r="K676" s="3" t="inlineStr">
        <is>
          <t>옥산 농수산물 도매 시장 접근성 좋은 위치의 토지</t>
        </is>
      </c>
      <c r="L676" s="6">
        <f>HYPERLINK("https://fin.land.naver.com/articles/2648268987", "매물Link")</f>
        <v/>
      </c>
      <c r="M676" s="6">
        <f>HYPERLINK("https://map.naver.com/p/search/세종특별자치시 나성동 829", "지도Link")</f>
        <v/>
      </c>
      <c r="N676" s="6">
        <f>HYPERLINK("http://www.eum.go.kr/web/ar/lu/luLandDet.jsp?pnu=3611010700108290000&amp;isNoScr=script&amp;mode=search", "토지이음")</f>
        <v/>
      </c>
      <c r="O676" s="3" t="inlineStr">
        <is>
          <t>더원</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세종특별자치시 나성동 829</t>
        </is>
      </c>
      <c r="B677" s="3" t="inlineStr">
        <is>
          <t>중심상업지역</t>
        </is>
      </c>
      <c r="C677" s="3" t="inlineStr">
        <is>
          <t>대</t>
        </is>
      </c>
      <c r="D677" s="3" t="inlineStr">
        <is>
          <t>답</t>
        </is>
      </c>
      <c r="E677" s="3" t="inlineStr">
        <is>
          <t>매매</t>
        </is>
      </c>
      <c r="F677" s="4" t="n">
        <v>170000</v>
      </c>
      <c r="G677" s="4" t="n">
        <v>5088</v>
      </c>
      <c r="H677" s="4" t="n">
        <v>1539</v>
      </c>
      <c r="I677" s="5" t="n">
        <v>110.5</v>
      </c>
      <c r="J677" s="4" t="n">
        <v>747.8</v>
      </c>
      <c r="K677" s="3" t="inlineStr">
        <is>
          <t>2차선도로접함  오송국가산업단지 개발됨 가격조율가능</t>
        </is>
      </c>
      <c r="L677" s="6">
        <f>HYPERLINK("https://fin.land.naver.com/articles/2644960297", "매물Link")</f>
        <v/>
      </c>
      <c r="M677" s="6">
        <f>HYPERLINK("https://map.naver.com/p/search/세종특별자치시 나성동 829", "지도Link")</f>
        <v/>
      </c>
      <c r="N677" s="6">
        <f>HYPERLINK("http://www.eum.go.kr/web/ar/lu/luLandDet.jsp?pnu=3611010700108290000&amp;isNoScr=script&amp;mode=search", "토지이음")</f>
        <v/>
      </c>
      <c r="O677" s="3" t="inlineStr">
        <is>
          <t>지웰시티합동</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세종특별자치시 나성동 829</t>
        </is>
      </c>
      <c r="B678" s="3" t="inlineStr">
        <is>
          <t>중심상업지역</t>
        </is>
      </c>
      <c r="C678" s="3" t="inlineStr">
        <is>
          <t>대</t>
        </is>
      </c>
      <c r="D678" s="3" t="inlineStr">
        <is>
          <t>전</t>
        </is>
      </c>
      <c r="E678" s="3" t="inlineStr">
        <is>
          <t>매매</t>
        </is>
      </c>
      <c r="F678" s="4" t="n">
        <v>31500</v>
      </c>
      <c r="G678" s="4" t="n">
        <v>1604</v>
      </c>
      <c r="H678" s="4" t="n">
        <v>485</v>
      </c>
      <c r="I678" s="5" t="n">
        <v>64.90000000000001</v>
      </c>
      <c r="J678" s="4" t="n">
        <v>747.8</v>
      </c>
      <c r="K678" s="3" t="inlineStr">
        <is>
          <t>오송평야지에 위치한 토지임</t>
        </is>
      </c>
      <c r="L678" s="6">
        <f>HYPERLINK("https://fin.land.naver.com/articles/2644985924", "매물Link")</f>
        <v/>
      </c>
      <c r="M678" s="6">
        <f>HYPERLINK("https://map.naver.com/p/search/세종특별자치시 나성동 829", "지도Link")</f>
        <v/>
      </c>
      <c r="N678" s="6">
        <f>HYPERLINK("http://www.eum.go.kr/web/ar/lu/luLandDet.jsp?pnu=3611010700108290000&amp;isNoScr=script&amp;mode=search", "토지이음")</f>
        <v/>
      </c>
      <c r="O678" s="3" t="inlineStr">
        <is>
          <t>교차로</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세종특별자치시 나성동 829</t>
        </is>
      </c>
      <c r="B679" s="3" t="inlineStr">
        <is>
          <t>중심상업지역</t>
        </is>
      </c>
      <c r="C679" s="3" t="inlineStr">
        <is>
          <t>대</t>
        </is>
      </c>
      <c r="D679" s="3" t="inlineStr">
        <is>
          <t>대</t>
        </is>
      </c>
      <c r="E679" s="3" t="inlineStr">
        <is>
          <t>매매</t>
        </is>
      </c>
      <c r="F679" s="4" t="n">
        <v>27000</v>
      </c>
      <c r="G679" s="4" t="n">
        <v>245</v>
      </c>
      <c r="H679" s="4" t="n">
        <v>74</v>
      </c>
      <c r="I679" s="5" t="n">
        <v>364.9</v>
      </c>
      <c r="J679" s="4" t="n">
        <v>747.8</v>
      </c>
      <c r="K679" s="3" t="inlineStr">
        <is>
          <t>좋은위치에 있어요. 단독주택건축원하시는분</t>
        </is>
      </c>
      <c r="L679" s="6">
        <f>HYPERLINK("https://fin.land.naver.com/articles/2645803899", "매물Link")</f>
        <v/>
      </c>
      <c r="M679" s="6">
        <f>HYPERLINK("https://map.naver.com/p/search/세종특별자치시 나성동 829", "지도Link")</f>
        <v/>
      </c>
      <c r="N679" s="6">
        <f>HYPERLINK("http://www.eum.go.kr/web/ar/lu/luLandDet.jsp?pnu=3611010700108290000&amp;isNoScr=script&amp;mode=search", "토지이음")</f>
        <v/>
      </c>
      <c r="O679" s="3" t="inlineStr">
        <is>
          <t>모아</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세종특별자치시 나성동 829</t>
        </is>
      </c>
      <c r="B680" s="3" t="inlineStr">
        <is>
          <t>중심상업지역</t>
        </is>
      </c>
      <c r="C680" s="3" t="inlineStr">
        <is>
          <t>대</t>
        </is>
      </c>
      <c r="D680" s="3" t="inlineStr">
        <is>
          <t>답</t>
        </is>
      </c>
      <c r="E680" s="3" t="inlineStr">
        <is>
          <t>매매</t>
        </is>
      </c>
      <c r="F680" s="4" t="n">
        <v>27500</v>
      </c>
      <c r="G680" s="4" t="n">
        <v>1289</v>
      </c>
      <c r="H680" s="4" t="n">
        <v>390</v>
      </c>
      <c r="I680" s="5" t="n">
        <v>70.5</v>
      </c>
      <c r="J680" s="4" t="n">
        <v>747.8</v>
      </c>
      <c r="K680" s="3" t="inlineStr">
        <is>
          <t>도심에 가까운 농지입니다</t>
        </is>
      </c>
      <c r="L680" s="6">
        <f>HYPERLINK("https://fin.land.naver.com/articles/2645971312", "매물Link")</f>
        <v/>
      </c>
      <c r="M680" s="6">
        <f>HYPERLINK("https://map.naver.com/p/search/세종특별자치시 나성동 829", "지도Link")</f>
        <v/>
      </c>
      <c r="N680" s="6">
        <f>HYPERLINK("http://www.eum.go.kr/web/ar/lu/luLandDet.jsp?pnu=3611010700108290000&amp;isNoScr=script&amp;mode=search", "토지이음")</f>
        <v/>
      </c>
      <c r="O680" s="3" t="inlineStr">
        <is>
          <t>오송2단지창조</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세종특별자치시 나성동 829</t>
        </is>
      </c>
      <c r="B681" s="3" t="inlineStr">
        <is>
          <t>중심상업지역</t>
        </is>
      </c>
      <c r="C681" s="3" t="inlineStr">
        <is>
          <t>대</t>
        </is>
      </c>
      <c r="D681" s="3" t="inlineStr">
        <is>
          <t>대</t>
        </is>
      </c>
      <c r="E681" s="3" t="inlineStr">
        <is>
          <t>매매</t>
        </is>
      </c>
      <c r="F681" s="4" t="n">
        <v>141250</v>
      </c>
      <c r="G681" s="4" t="n">
        <v>667</v>
      </c>
      <c r="H681" s="4" t="n">
        <v>202</v>
      </c>
      <c r="I681" s="5" t="n">
        <v>699.3</v>
      </c>
      <c r="J681" s="4" t="n">
        <v>747.8</v>
      </c>
      <c r="K681" s="3" t="inlineStr">
        <is>
          <t>계획관리지역 , 주거개발진흥지구강외오송지구 , 성장관리계획구역</t>
        </is>
      </c>
      <c r="L681" s="6">
        <f>HYPERLINK("https://fin.land.naver.com/articles/2646140378", "매물Link")</f>
        <v/>
      </c>
      <c r="M681" s="6">
        <f>HYPERLINK("https://map.naver.com/p/search/세종특별자치시 나성동 829", "지도Link")</f>
        <v/>
      </c>
      <c r="N681" s="6">
        <f>HYPERLINK("http://www.eum.go.kr/web/ar/lu/luLandDet.jsp?pnu=3611010700108290000&amp;isNoScr=script&amp;mode=search", "토지이음")</f>
        <v/>
      </c>
      <c r="O681" s="3" t="inlineStr">
        <is>
          <t>오송퍼스트영웅</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세종특별자치시 나성동 829</t>
        </is>
      </c>
      <c r="B682" s="3" t="inlineStr">
        <is>
          <t>중심상업지역</t>
        </is>
      </c>
      <c r="C682" s="3" t="inlineStr">
        <is>
          <t>대</t>
        </is>
      </c>
      <c r="D682" s="3" t="inlineStr">
        <is>
          <t>답</t>
        </is>
      </c>
      <c r="E682" s="3" t="inlineStr">
        <is>
          <t>매매</t>
        </is>
      </c>
      <c r="F682" s="4" t="n">
        <v>49900</v>
      </c>
      <c r="G682" s="4" t="n">
        <v>2086</v>
      </c>
      <c r="H682" s="4" t="n">
        <v>631</v>
      </c>
      <c r="I682" s="5" t="n">
        <v>79.09999999999999</v>
      </c>
      <c r="J682" s="4" t="n">
        <v>747.8</v>
      </c>
      <c r="K682" s="3" t="inlineStr">
        <is>
          <t>오송 호계리 2차선 접 토지입니다</t>
        </is>
      </c>
      <c r="L682" s="6">
        <f>HYPERLINK("https://fin.land.naver.com/articles/2646563281", "매물Link")</f>
        <v/>
      </c>
      <c r="M682" s="6">
        <f>HYPERLINK("https://map.naver.com/p/search/세종특별자치시 나성동 829", "지도Link")</f>
        <v/>
      </c>
      <c r="N682" s="6">
        <f>HYPERLINK("http://www.eum.go.kr/web/ar/lu/luLandDet.jsp?pnu=3611010700108290000&amp;isNoScr=script&amp;mode=search", "토지이음")</f>
        <v/>
      </c>
      <c r="O682" s="3" t="inlineStr">
        <is>
          <t>원봉힐데스하임</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세종특별자치시 나성동 829</t>
        </is>
      </c>
      <c r="B683" s="3" t="inlineStr">
        <is>
          <t>중심상업지역</t>
        </is>
      </c>
      <c r="C683" s="3" t="inlineStr">
        <is>
          <t>대</t>
        </is>
      </c>
      <c r="D683" s="3" t="inlineStr">
        <is>
          <t>대</t>
        </is>
      </c>
      <c r="E683" s="3" t="inlineStr">
        <is>
          <t>매매</t>
        </is>
      </c>
      <c r="F683" s="4" t="n">
        <v>398000</v>
      </c>
      <c r="G683" s="4" t="n">
        <v>1588</v>
      </c>
      <c r="H683" s="4" t="n">
        <v>480</v>
      </c>
      <c r="I683" s="5" t="n">
        <v>829.2</v>
      </c>
      <c r="J683" s="4" t="n">
        <v>747.8</v>
      </c>
      <c r="K683" s="3" t="inlineStr">
        <is>
          <t>대로변 광고효과 좋음</t>
        </is>
      </c>
      <c r="L683" s="6">
        <f>HYPERLINK("https://fin.land.naver.com/articles/2647331310", "매물Link")</f>
        <v/>
      </c>
      <c r="M683" s="6">
        <f>HYPERLINK("https://map.naver.com/p/search/세종특별자치시 나성동 829", "지도Link")</f>
        <v/>
      </c>
      <c r="N683" s="6">
        <f>HYPERLINK("http://www.eum.go.kr/web/ar/lu/luLandDet.jsp?pnu=3611010700108290000&amp;isNoScr=script&amp;mode=search", "토지이음")</f>
        <v/>
      </c>
      <c r="O683" s="3" t="inlineStr">
        <is>
          <t>노블</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세종특별자치시 나성동 829</t>
        </is>
      </c>
      <c r="B684" s="3" t="inlineStr">
        <is>
          <t>중심상업지역</t>
        </is>
      </c>
      <c r="C684" s="3" t="inlineStr">
        <is>
          <t>대</t>
        </is>
      </c>
      <c r="D684" s="3" t="inlineStr">
        <is>
          <t>답</t>
        </is>
      </c>
      <c r="E684" s="3" t="inlineStr">
        <is>
          <t>매매</t>
        </is>
      </c>
      <c r="F684" s="4" t="n">
        <v>82500</v>
      </c>
      <c r="G684" s="4" t="n">
        <v>2265</v>
      </c>
      <c r="H684" s="4" t="n">
        <v>685</v>
      </c>
      <c r="I684" s="5" t="n">
        <v>120.4</v>
      </c>
      <c r="J684" s="4" t="n">
        <v>747.8</v>
      </c>
      <c r="K684" s="3" t="inlineStr">
        <is>
          <t>이쁜 토지 모양 안정적인 투자처 찾는 분께 추천 드립니다.</t>
        </is>
      </c>
      <c r="L684" s="6">
        <f>HYPERLINK("https://fin.land.naver.com/articles/2644750402", "매물Link")</f>
        <v/>
      </c>
      <c r="M684" s="6">
        <f>HYPERLINK("https://map.naver.com/p/search/세종특별자치시 나성동 829", "지도Link")</f>
        <v/>
      </c>
      <c r="N684" s="6">
        <f>HYPERLINK("http://www.eum.go.kr/web/ar/lu/luLandDet.jsp?pnu=3611010700108290000&amp;isNoScr=script&amp;mode=search", "토지이음")</f>
        <v/>
      </c>
      <c r="O684" s="3" t="inlineStr">
        <is>
          <t>오송퍼스트영웅</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세종특별자치시 나성동 829</t>
        </is>
      </c>
      <c r="B685" s="3" t="inlineStr">
        <is>
          <t>중심상업지역</t>
        </is>
      </c>
      <c r="C685" s="3" t="inlineStr">
        <is>
          <t>대</t>
        </is>
      </c>
      <c r="D685" s="3" t="inlineStr">
        <is>
          <t>창고용지</t>
        </is>
      </c>
      <c r="E685" s="3" t="inlineStr">
        <is>
          <t>매매</t>
        </is>
      </c>
      <c r="F685" s="4" t="n">
        <v>40200</v>
      </c>
      <c r="G685" s="4" t="n">
        <v>666</v>
      </c>
      <c r="H685" s="4" t="n">
        <v>201</v>
      </c>
      <c r="I685" s="5" t="n">
        <v>200</v>
      </c>
      <c r="J685" s="4" t="n">
        <v>747.8</v>
      </c>
      <c r="K685" s="3" t="inlineStr">
        <is>
          <t>오송화장품단지 인근이며 전원주택조성된곳</t>
        </is>
      </c>
      <c r="L685" s="6">
        <f>HYPERLINK("https://fin.land.naver.com/articles/2648090058", "매물Link")</f>
        <v/>
      </c>
      <c r="M685" s="6">
        <f>HYPERLINK("https://map.naver.com/p/search/세종특별자치시 나성동 829", "지도Link")</f>
        <v/>
      </c>
      <c r="N685" s="6">
        <f>HYPERLINK("http://www.eum.go.kr/web/ar/lu/luLandDet.jsp?pnu=3611010700108290000&amp;isNoScr=script&amp;mode=search", "토지이음")</f>
        <v/>
      </c>
      <c r="O685" s="3" t="inlineStr">
        <is>
          <t>더원</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세종특별자치시 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HYPERLINK("https://map.naver.com/p/search/세종특별자치시 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세종특별자치시 나성동 829</t>
        </is>
      </c>
      <c r="B687" s="3" t="inlineStr">
        <is>
          <t>중심상업지역</t>
        </is>
      </c>
      <c r="C687" s="3" t="inlineStr">
        <is>
          <t>대</t>
        </is>
      </c>
      <c r="D687" s="3" t="inlineStr">
        <is>
          <t>주차장</t>
        </is>
      </c>
      <c r="E687" s="3" t="inlineStr">
        <is>
          <t>매매</t>
        </is>
      </c>
      <c r="F687" s="4" t="n">
        <v>555000</v>
      </c>
      <c r="G687" s="4" t="n">
        <v>2435</v>
      </c>
      <c r="H687" s="4" t="n">
        <v>737</v>
      </c>
      <c r="I687" s="5" t="n">
        <v>753.1</v>
      </c>
      <c r="J687" s="4" t="n">
        <v>747.8</v>
      </c>
      <c r="K687" s="3" t="inlineStr">
        <is>
          <t>오송2산단 아파트 11,000세대 및 주택밀집지역 일반상업지역 주차장부지</t>
        </is>
      </c>
      <c r="L687" s="6">
        <f>HYPERLINK("https://fin.land.naver.com/articles/2649677149", "매물Link")</f>
        <v/>
      </c>
      <c r="M687" s="6">
        <f>HYPERLINK("https://map.naver.com/p/search/세종특별자치시 나성동 829", "지도Link")</f>
        <v/>
      </c>
      <c r="N687" s="6">
        <f>HYPERLINK("http://www.eum.go.kr/web/ar/lu/luLandDet.jsp?pnu=3611010700108290000&amp;isNoScr=script&amp;mode=search", "토지이음")</f>
        <v/>
      </c>
      <c r="O687" s="3" t="inlineStr">
        <is>
          <t>더원</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세종특별자치시 나성동 829</t>
        </is>
      </c>
      <c r="B688" s="3" t="inlineStr">
        <is>
          <t>중심상업지역</t>
        </is>
      </c>
      <c r="C688" s="3" t="inlineStr">
        <is>
          <t>대</t>
        </is>
      </c>
      <c r="D688" s="3" t="inlineStr">
        <is>
          <t>대</t>
        </is>
      </c>
      <c r="E688" s="3" t="inlineStr">
        <is>
          <t>매매</t>
        </is>
      </c>
      <c r="F688" s="4" t="n">
        <v>75000</v>
      </c>
      <c r="G688" s="4" t="n">
        <v>552</v>
      </c>
      <c r="H688" s="4" t="n">
        <v>167</v>
      </c>
      <c r="I688" s="5" t="n">
        <v>449.1</v>
      </c>
      <c r="J688" s="4" t="n">
        <v>747.8</v>
      </c>
      <c r="K688" s="3" t="inlineStr">
        <is>
          <t>오송 역세권 인근 장기 투자가치 우수한 토지</t>
        </is>
      </c>
      <c r="L688" s="6">
        <f>HYPERLINK("https://fin.land.naver.com/articles/2649662885", "매물Link")</f>
        <v/>
      </c>
      <c r="M688" s="6">
        <f>HYPERLINK("https://map.naver.com/p/search/세종특별자치시 나성동 829", "지도Link")</f>
        <v/>
      </c>
      <c r="N688" s="6">
        <f>HYPERLINK("http://www.eum.go.kr/web/ar/lu/luLandDet.jsp?pnu=3611010700108290000&amp;isNoScr=script&amp;mode=search", "토지이음")</f>
        <v/>
      </c>
      <c r="O688" s="3" t="inlineStr">
        <is>
          <t>더원</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세종특별자치시 나성동 829</t>
        </is>
      </c>
      <c r="B689" s="3" t="inlineStr">
        <is>
          <t>중심상업지역</t>
        </is>
      </c>
      <c r="C689" s="3" t="inlineStr">
        <is>
          <t>대</t>
        </is>
      </c>
      <c r="D689" s="3" t="inlineStr">
        <is>
          <t>답</t>
        </is>
      </c>
      <c r="E689" s="3" t="inlineStr">
        <is>
          <t>매매</t>
        </is>
      </c>
      <c r="F689" s="4" t="n">
        <v>90000</v>
      </c>
      <c r="G689" s="4" t="n">
        <v>2497</v>
      </c>
      <c r="H689" s="4" t="n">
        <v>755</v>
      </c>
      <c r="I689" s="5" t="n">
        <v>119.2</v>
      </c>
      <c r="J689" s="4" t="n">
        <v>747.8</v>
      </c>
      <c r="K689" s="3" t="inlineStr">
        <is>
          <t>투자용 추천</t>
        </is>
      </c>
      <c r="L689" s="6">
        <f>HYPERLINK("https://fin.land.naver.com/articles/2647889863", "매물Link")</f>
        <v/>
      </c>
      <c r="M689" s="6">
        <f>HYPERLINK("https://map.naver.com/p/search/세종특별자치시 나성동 829", "지도Link")</f>
        <v/>
      </c>
      <c r="N689" s="6">
        <f>HYPERLINK("http://www.eum.go.kr/web/ar/lu/luLandDet.jsp?pnu=3611010700108290000&amp;isNoScr=script&amp;mode=search", "토지이음")</f>
        <v/>
      </c>
      <c r="O689" s="3" t="inlineStr">
        <is>
          <t>부성</t>
        </is>
      </c>
      <c r="P689" s="3" t="n">
        <v>1</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세종특별자치시 나성동 829</t>
        </is>
      </c>
      <c r="B690" s="3" t="inlineStr">
        <is>
          <t>중심상업지역</t>
        </is>
      </c>
      <c r="C690" s="3" t="inlineStr">
        <is>
          <t>대</t>
        </is>
      </c>
      <c r="D690" s="3" t="inlineStr">
        <is>
          <t>전</t>
        </is>
      </c>
      <c r="E690" s="3" t="inlineStr">
        <is>
          <t>매매</t>
        </is>
      </c>
      <c r="F690" s="4" t="n">
        <v>115000</v>
      </c>
      <c r="G690" s="4" t="n">
        <v>9444</v>
      </c>
      <c r="H690" s="4" t="n">
        <v>2857</v>
      </c>
      <c r="I690" s="5" t="n">
        <v>40.3</v>
      </c>
      <c r="J690" s="4" t="n">
        <v>747.8</v>
      </c>
      <c r="K690" s="3" t="inlineStr">
        <is>
          <t>보전 관리 지역 지목 전</t>
        </is>
      </c>
      <c r="L690" s="6">
        <f>HYPERLINK("https://fin.land.naver.com/articles/2644730725", "매물Link")</f>
        <v/>
      </c>
      <c r="M690" s="6">
        <f>HYPERLINK("https://map.naver.com/p/search/세종특별자치시 나성동 829", "지도Link")</f>
        <v/>
      </c>
      <c r="N690" s="6">
        <f>HYPERLINK("http://www.eum.go.kr/web/ar/lu/luLandDet.jsp?pnu=3611010700108290000&amp;isNoScr=script&amp;mode=search", "토지이음")</f>
        <v/>
      </c>
      <c r="O690" s="3" t="inlineStr">
        <is>
          <t>오송퍼스트영웅</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세종특별자치시 나성동 829</t>
        </is>
      </c>
      <c r="B691" s="3" t="inlineStr">
        <is>
          <t>중심상업지역</t>
        </is>
      </c>
      <c r="C691" s="3" t="inlineStr">
        <is>
          <t>대</t>
        </is>
      </c>
      <c r="D691" s="3" t="inlineStr">
        <is>
          <t>전</t>
        </is>
      </c>
      <c r="E691" s="3" t="inlineStr">
        <is>
          <t>매매</t>
        </is>
      </c>
      <c r="F691" s="4" t="n">
        <v>23000</v>
      </c>
      <c r="G691" s="4" t="n">
        <v>602</v>
      </c>
      <c r="H691" s="4" t="n">
        <v>182</v>
      </c>
      <c r="I691" s="5" t="n">
        <v>126.4</v>
      </c>
      <c r="J691" s="4" t="n">
        <v>747.8</v>
      </c>
      <c r="K691" s="3" t="inlineStr">
        <is>
          <t>주말농장,주말쉼터, 전원주택부지로 추천</t>
        </is>
      </c>
      <c r="L691" s="6">
        <f>HYPERLINK("https://fin.land.naver.com/articles/2644429369", "매물Link")</f>
        <v/>
      </c>
      <c r="M691" s="6">
        <f>HYPERLINK("https://map.naver.com/p/search/세종특별자치시 나성동 829", "지도Link")</f>
        <v/>
      </c>
      <c r="N691" s="6">
        <f>HYPERLINK("http://www.eum.go.kr/web/ar/lu/luLandDet.jsp?pnu=3611010700108290000&amp;isNoScr=script&amp;mode=search", "토지이음")</f>
        <v/>
      </c>
      <c r="O691" s="3" t="inlineStr">
        <is>
          <t>신안무소</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세종특별자치시 나성동 829</t>
        </is>
      </c>
      <c r="B692" s="3" t="inlineStr">
        <is>
          <t>중심상업지역</t>
        </is>
      </c>
      <c r="C692" s="3" t="inlineStr">
        <is>
          <t>대</t>
        </is>
      </c>
      <c r="D692" s="3" t="inlineStr">
        <is>
          <t>답</t>
        </is>
      </c>
      <c r="E692" s="3" t="inlineStr">
        <is>
          <t>매매</t>
        </is>
      </c>
      <c r="F692" s="4" t="n">
        <v>36530</v>
      </c>
      <c r="G692" s="4" t="n">
        <v>1858</v>
      </c>
      <c r="H692" s="4" t="n">
        <v>562</v>
      </c>
      <c r="I692" s="5" t="n">
        <v>65</v>
      </c>
      <c r="J692" s="4" t="n">
        <v>747.8</v>
      </c>
      <c r="K692" s="3" t="inlineStr">
        <is>
          <t>흥덕구청 600미터거리 투자가치 상당함 맹지임</t>
        </is>
      </c>
      <c r="L692" s="6">
        <f>HYPERLINK("https://fin.land.naver.com/articles/2649923524", "매물Link")</f>
        <v/>
      </c>
      <c r="M692" s="6">
        <f>HYPERLINK("https://map.naver.com/p/search/세종특별자치시 나성동 829", "지도Link")</f>
        <v/>
      </c>
      <c r="N692" s="6">
        <f>HYPERLINK("http://www.eum.go.kr/web/ar/lu/luLandDet.jsp?pnu=3611010700108290000&amp;isNoScr=script&amp;mode=search", "토지이음")</f>
        <v/>
      </c>
      <c r="O692" s="3" t="inlineStr">
        <is>
          <t>바로</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세종특별자치시 나성동 829</t>
        </is>
      </c>
      <c r="B693" s="3" t="inlineStr">
        <is>
          <t>중심상업지역</t>
        </is>
      </c>
      <c r="C693" s="3" t="inlineStr">
        <is>
          <t>대</t>
        </is>
      </c>
      <c r="D693" s="3" t="inlineStr">
        <is>
          <t>임야</t>
        </is>
      </c>
      <c r="E693" s="3" t="inlineStr">
        <is>
          <t>매매</t>
        </is>
      </c>
      <c r="F693" s="4" t="n">
        <v>29600</v>
      </c>
      <c r="G693" s="4" t="n">
        <v>632</v>
      </c>
      <c r="H693" s="4" t="n">
        <v>191</v>
      </c>
      <c r="I693" s="5" t="n">
        <v>155</v>
      </c>
      <c r="J693" s="4" t="n">
        <v>747.8</v>
      </c>
      <c r="K693" s="3" t="inlineStr">
        <is>
          <t>금액조율가능</t>
        </is>
      </c>
      <c r="L693" s="6">
        <f>HYPERLINK("https://fin.land.naver.com/articles/2648043178", "매물Link")</f>
        <v/>
      </c>
      <c r="M693" s="6">
        <f>HYPERLINK("https://map.naver.com/p/search/세종특별자치시 나성동 829", "지도Link")</f>
        <v/>
      </c>
      <c r="N693" s="6">
        <f>HYPERLINK("http://www.eum.go.kr/web/ar/lu/luLandDet.jsp?pnu=3611010700108290000&amp;isNoScr=script&amp;mode=search", "토지이음")</f>
        <v/>
      </c>
      <c r="O693" s="3" t="inlineStr">
        <is>
          <t>미소</t>
        </is>
      </c>
      <c r="P693" s="3" t="n">
        <v>2</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세종특별자치시 나성동 829</t>
        </is>
      </c>
      <c r="B694" s="3" t="inlineStr">
        <is>
          <t>중심상업지역</t>
        </is>
      </c>
      <c r="C694" s="3" t="inlineStr">
        <is>
          <t>대</t>
        </is>
      </c>
      <c r="D694" s="3" t="inlineStr">
        <is>
          <t>답</t>
        </is>
      </c>
      <c r="E694" s="3" t="inlineStr">
        <is>
          <t>매매</t>
        </is>
      </c>
      <c r="F694" s="4" t="n">
        <v>72000</v>
      </c>
      <c r="G694" s="4" t="n">
        <v>3187</v>
      </c>
      <c r="H694" s="4" t="n">
        <v>964</v>
      </c>
      <c r="I694" s="5" t="n">
        <v>74.7</v>
      </c>
      <c r="J694" s="4" t="n">
        <v>747.8</v>
      </c>
      <c r="K694" s="3" t="inlineStr">
        <is>
          <t>하이테크밸리 산업단지 인근 청주도심 접근성 좋음</t>
        </is>
      </c>
      <c r="L694" s="6">
        <f>HYPERLINK("https://fin.land.naver.com/articles/2649038832", "매물Link")</f>
        <v/>
      </c>
      <c r="M694" s="6">
        <f>HYPERLINK("https://map.naver.com/p/search/세종특별자치시 나성동 829", "지도Link")</f>
        <v/>
      </c>
      <c r="N694" s="6">
        <f>HYPERLINK("http://www.eum.go.kr/web/ar/lu/luLandDet.jsp?pnu=3611010700108290000&amp;isNoScr=script&amp;mode=search", "토지이음")</f>
        <v/>
      </c>
      <c r="O694" s="3" t="inlineStr">
        <is>
          <t>더원</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세종특별자치시 나성동 829</t>
        </is>
      </c>
      <c r="B695" s="3" t="inlineStr">
        <is>
          <t>중심상업지역</t>
        </is>
      </c>
      <c r="C695" s="3" t="inlineStr">
        <is>
          <t>대</t>
        </is>
      </c>
      <c r="D695" s="3" t="inlineStr">
        <is>
          <t>대</t>
        </is>
      </c>
      <c r="E695" s="3" t="inlineStr">
        <is>
          <t>매매</t>
        </is>
      </c>
      <c r="F695" s="4" t="n">
        <v>27000</v>
      </c>
      <c r="G695" s="4" t="n">
        <v>678</v>
      </c>
      <c r="H695" s="4" t="n">
        <v>205</v>
      </c>
      <c r="I695" s="5" t="n">
        <v>131.7</v>
      </c>
      <c r="J695" s="4" t="n">
        <v>747.8</v>
      </c>
      <c r="K695" s="3" t="inlineStr">
        <is>
          <t>대지 계획관리 소액투자적합 대토 추천</t>
        </is>
      </c>
      <c r="L695" s="6">
        <f>HYPERLINK("https://fin.land.naver.com/articles/2649583774", "매물Link")</f>
        <v/>
      </c>
      <c r="M695" s="6">
        <f>HYPERLINK("https://map.naver.com/p/search/세종특별자치시 나성동 829", "지도Link")</f>
        <v/>
      </c>
      <c r="N695" s="6">
        <f>HYPERLINK("http://www.eum.go.kr/web/ar/lu/luLandDet.jsp?pnu=3611010700108290000&amp;isNoScr=script&amp;mode=search", "토지이음")</f>
        <v/>
      </c>
      <c r="O695" s="3" t="inlineStr">
        <is>
          <t>수풀림</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세종특별자치시 나성동 829</t>
        </is>
      </c>
      <c r="B696" s="3" t="inlineStr">
        <is>
          <t>중심상업지역</t>
        </is>
      </c>
      <c r="C696" s="3" t="inlineStr">
        <is>
          <t>대</t>
        </is>
      </c>
      <c r="D696" s="3" t="inlineStr">
        <is>
          <t>대</t>
        </is>
      </c>
      <c r="E696" s="3" t="inlineStr">
        <is>
          <t>매매</t>
        </is>
      </c>
      <c r="F696" s="4" t="n">
        <v>135000</v>
      </c>
      <c r="G696" s="4" t="n">
        <v>667</v>
      </c>
      <c r="H696" s="4" t="n">
        <v>202</v>
      </c>
      <c r="I696" s="5" t="n">
        <v>668.3</v>
      </c>
      <c r="J696" s="4" t="n">
        <v>747.8</v>
      </c>
      <c r="K696" s="3" t="inlineStr">
        <is>
          <t>오송역세권과 대형아파트단지및 국가산단 사이로 둘러싸인 오송의 최상 지역</t>
        </is>
      </c>
      <c r="L696" s="6">
        <f>HYPERLINK("https://fin.land.naver.com/articles/2644937034", "매물Link")</f>
        <v/>
      </c>
      <c r="M696" s="6">
        <f>HYPERLINK("https://map.naver.com/p/search/세종특별자치시 나성동 829", "지도Link")</f>
        <v/>
      </c>
      <c r="N696" s="6">
        <f>HYPERLINK("http://www.eum.go.kr/web/ar/lu/luLandDet.jsp?pnu=3611010700108290000&amp;isNoScr=script&amp;mode=search", "토지이음")</f>
        <v/>
      </c>
      <c r="O696" s="3" t="inlineStr">
        <is>
          <t>온누리</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세종특별자치시 나성동 829</t>
        </is>
      </c>
      <c r="B697" s="3" t="inlineStr">
        <is>
          <t>중심상업지역</t>
        </is>
      </c>
      <c r="C697" s="3" t="inlineStr">
        <is>
          <t>대</t>
        </is>
      </c>
      <c r="D697" s="3" t="inlineStr">
        <is>
          <t>전</t>
        </is>
      </c>
      <c r="E697" s="3" t="inlineStr">
        <is>
          <t>매매</t>
        </is>
      </c>
      <c r="F697" s="4" t="n">
        <v>145000</v>
      </c>
      <c r="G697" s="4" t="n">
        <v>1896</v>
      </c>
      <c r="H697" s="4" t="n">
        <v>574</v>
      </c>
      <c r="I697" s="5" t="n">
        <v>252.6</v>
      </c>
      <c r="J697" s="4" t="n">
        <v>747.8</v>
      </c>
      <c r="K697" s="3" t="inlineStr">
        <is>
          <t>2차선 접한 농지,코너각지,공장,창고,주택등 활용도 다양</t>
        </is>
      </c>
      <c r="L697" s="6">
        <f>HYPERLINK("https://fin.land.naver.com/articles/2646173829", "매물Link")</f>
        <v/>
      </c>
      <c r="M697" s="6">
        <f>HYPERLINK("https://map.naver.com/p/search/세종특별자치시 나성동 829", "지도Link")</f>
        <v/>
      </c>
      <c r="N697" s="6">
        <f>HYPERLINK("http://www.eum.go.kr/web/ar/lu/luLandDet.jsp?pnu=3611010700108290000&amp;isNoScr=script&amp;mode=search", "토지이음")</f>
        <v/>
      </c>
      <c r="O697" s="3" t="inlineStr">
        <is>
          <t>신안무소</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세종특별자치시 나성동 829</t>
        </is>
      </c>
      <c r="B698" s="3" t="inlineStr">
        <is>
          <t>중심상업지역</t>
        </is>
      </c>
      <c r="C698" s="3" t="inlineStr">
        <is>
          <t>대</t>
        </is>
      </c>
      <c r="D698" s="3" t="inlineStr">
        <is>
          <t>임야</t>
        </is>
      </c>
      <c r="E698" s="3" t="inlineStr">
        <is>
          <t>매매</t>
        </is>
      </c>
      <c r="F698" s="4" t="n">
        <v>31500</v>
      </c>
      <c r="G698" s="4" t="n">
        <v>3471</v>
      </c>
      <c r="H698" s="4" t="n">
        <v>1050</v>
      </c>
      <c r="I698" s="5" t="n">
        <v>30</v>
      </c>
      <c r="J698" s="4" t="n">
        <v>747.8</v>
      </c>
      <c r="K698" s="3" t="inlineStr">
        <is>
          <t>OK. 오송읍 임야 매매</t>
        </is>
      </c>
      <c r="L698" s="6">
        <f>HYPERLINK("https://fin.land.naver.com/articles/2646582197", "매물Link")</f>
        <v/>
      </c>
      <c r="M698" s="6">
        <f>HYPERLINK("https://map.naver.com/p/search/세종특별자치시 나성동 829", "지도Link")</f>
        <v/>
      </c>
      <c r="N698" s="6">
        <f>HYPERLINK("http://www.eum.go.kr/web/ar/lu/luLandDet.jsp?pnu=3611010700108290000&amp;isNoScr=script&amp;mode=search", "토지이음")</f>
        <v/>
      </c>
      <c r="O698" s="3" t="inlineStr">
        <is>
          <t>OK</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세종특별자치시 나성동 829</t>
        </is>
      </c>
      <c r="B699" s="3" t="inlineStr">
        <is>
          <t>중심상업지역</t>
        </is>
      </c>
      <c r="C699" s="3" t="inlineStr">
        <is>
          <t>대</t>
        </is>
      </c>
      <c r="D699" s="3" t="inlineStr">
        <is>
          <t>대</t>
        </is>
      </c>
      <c r="E699" s="3" t="inlineStr">
        <is>
          <t>매매</t>
        </is>
      </c>
      <c r="F699" s="4" t="n">
        <v>66000</v>
      </c>
      <c r="G699" s="4" t="n">
        <v>877</v>
      </c>
      <c r="H699" s="4" t="n">
        <v>265</v>
      </c>
      <c r="I699" s="5" t="n">
        <v>249.1</v>
      </c>
      <c r="J699" s="4" t="n">
        <v>747.8</v>
      </c>
      <c r="K699" s="3" t="inlineStr">
        <is>
          <t>과학단지 근교 소현 찻집, 카페, 주택건립지로 추천.</t>
        </is>
      </c>
      <c r="L699" s="6">
        <f>HYPERLINK("https://fin.land.naver.com/articles/2646744316", "매물Link")</f>
        <v/>
      </c>
      <c r="M699" s="6">
        <f>HYPERLINK("https://map.naver.com/p/search/세종특별자치시 나성동 829", "지도Link")</f>
        <v/>
      </c>
      <c r="N699" s="6">
        <f>HYPERLINK("http://www.eum.go.kr/web/ar/lu/luLandDet.jsp?pnu=3611010700108290000&amp;isNoScr=script&amp;mode=search", "토지이음")</f>
        <v/>
      </c>
      <c r="O699" s="3" t="inlineStr">
        <is>
          <t>오송k랜드</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세종특별자치시 나성동 829</t>
        </is>
      </c>
      <c r="B700" s="3" t="inlineStr">
        <is>
          <t>중심상업지역</t>
        </is>
      </c>
      <c r="C700" s="3" t="inlineStr">
        <is>
          <t>대</t>
        </is>
      </c>
      <c r="D700" s="3" t="inlineStr">
        <is>
          <t>임야</t>
        </is>
      </c>
      <c r="E700" s="3" t="inlineStr">
        <is>
          <t>매매</t>
        </is>
      </c>
      <c r="F700" s="4" t="n">
        <v>55460</v>
      </c>
      <c r="G700" s="4" t="n">
        <v>3667</v>
      </c>
      <c r="H700" s="4" t="n">
        <v>1109</v>
      </c>
      <c r="I700" s="5" t="n">
        <v>50</v>
      </c>
      <c r="J700" s="4" t="n">
        <v>747.8</v>
      </c>
      <c r="K700" s="3" t="inlineStr">
        <is>
          <t>현재 임야상태임.  투자용으로 최적임.</t>
        </is>
      </c>
      <c r="L700" s="6">
        <f>HYPERLINK("https://fin.land.naver.com/articles/2646980173", "매물Link")</f>
        <v/>
      </c>
      <c r="M700" s="6">
        <f>HYPERLINK("https://map.naver.com/p/search/세종특별자치시 나성동 829", "지도Link")</f>
        <v/>
      </c>
      <c r="N700" s="6">
        <f>HYPERLINK("http://www.eum.go.kr/web/ar/lu/luLandDet.jsp?pnu=3611010700108290000&amp;isNoScr=script&amp;mode=search", "토지이음")</f>
        <v/>
      </c>
      <c r="O700" s="3" t="inlineStr">
        <is>
          <t>교차로</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세종특별자치시 나성동 829</t>
        </is>
      </c>
      <c r="B701" s="3" t="inlineStr">
        <is>
          <t>중심상업지역</t>
        </is>
      </c>
      <c r="C701" s="3" t="inlineStr">
        <is>
          <t>대</t>
        </is>
      </c>
      <c r="D701" s="3" t="inlineStr">
        <is>
          <t>전</t>
        </is>
      </c>
      <c r="E701" s="3" t="inlineStr">
        <is>
          <t>매매</t>
        </is>
      </c>
      <c r="F701" s="4" t="n">
        <v>33000</v>
      </c>
      <c r="G701" s="4" t="n">
        <v>992</v>
      </c>
      <c r="H701" s="4" t="n">
        <v>300</v>
      </c>
      <c r="I701" s="5" t="n">
        <v>110</v>
      </c>
      <c r="J701" s="4" t="n">
        <v>747.8</v>
      </c>
      <c r="K701" s="3" t="inlineStr">
        <is>
          <t>오송2산단 도시지역과 인근거리에 위치하는 전원주택 부지로 추천</t>
        </is>
      </c>
      <c r="L701" s="6">
        <f>HYPERLINK("https://fin.land.naver.com/articles/2647186944", "매물Link")</f>
        <v/>
      </c>
      <c r="M701" s="6">
        <f>HYPERLINK("https://map.naver.com/p/search/세종특별자치시 나성동 829", "지도Link")</f>
        <v/>
      </c>
      <c r="N701" s="6">
        <f>HYPERLINK("http://www.eum.go.kr/web/ar/lu/luLandDet.jsp?pnu=3611010700108290000&amp;isNoScr=script&amp;mode=search", "토지이음")</f>
        <v/>
      </c>
      <c r="O701" s="3" t="inlineStr">
        <is>
          <t>오송랜드</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세종특별자치시 나성동 829</t>
        </is>
      </c>
      <c r="B702" s="3" t="inlineStr">
        <is>
          <t>중심상업지역</t>
        </is>
      </c>
      <c r="C702" s="3" t="inlineStr">
        <is>
          <t>대</t>
        </is>
      </c>
      <c r="D702" s="3" t="inlineStr">
        <is>
          <t>전</t>
        </is>
      </c>
      <c r="E702" s="3" t="inlineStr">
        <is>
          <t>매매</t>
        </is>
      </c>
      <c r="F702" s="4" t="n">
        <v>350000</v>
      </c>
      <c r="G702" s="4" t="n">
        <v>3752</v>
      </c>
      <c r="H702" s="4" t="n">
        <v>1135</v>
      </c>
      <c r="I702" s="5" t="n">
        <v>308.4</v>
      </c>
      <c r="J702" s="4" t="n">
        <v>747.8</v>
      </c>
      <c r="K702" s="3" t="inlineStr">
        <is>
          <t>오송산업단지옆 땅으로 투자가치 최상</t>
        </is>
      </c>
      <c r="L702" s="6">
        <f>HYPERLINK("https://fin.land.naver.com/articles/2647722774", "매물Link")</f>
        <v/>
      </c>
      <c r="M702" s="6">
        <f>HYPERLINK("https://map.naver.com/p/search/세종특별자치시 나성동 829", "지도Link")</f>
        <v/>
      </c>
      <c r="N702" s="6">
        <f>HYPERLINK("http://www.eum.go.kr/web/ar/lu/luLandDet.jsp?pnu=3611010700108290000&amp;isNoScr=script&amp;mode=search", "토지이음")</f>
        <v/>
      </c>
      <c r="O702" s="3" t="inlineStr">
        <is>
          <t>토지</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세종특별자치시 나성동 829</t>
        </is>
      </c>
      <c r="B703" s="3" t="inlineStr">
        <is>
          <t>중심상업지역</t>
        </is>
      </c>
      <c r="C703" s="3" t="inlineStr">
        <is>
          <t>대</t>
        </is>
      </c>
      <c r="D703" s="3" t="inlineStr">
        <is>
          <t>답</t>
        </is>
      </c>
      <c r="E703" s="3" t="inlineStr">
        <is>
          <t>매매</t>
        </is>
      </c>
      <c r="F703" s="4" t="n">
        <v>80000</v>
      </c>
      <c r="G703" s="4" t="n">
        <v>3272</v>
      </c>
      <c r="H703" s="4" t="n">
        <v>990</v>
      </c>
      <c r="I703" s="5" t="n">
        <v>80.8</v>
      </c>
      <c r="J703" s="4" t="n">
        <v>747.8</v>
      </c>
      <c r="K703" s="3" t="inlineStr">
        <is>
          <t>쌍청리 농업용 및 투자용토지</t>
        </is>
      </c>
      <c r="L703" s="6">
        <f>HYPERLINK("https://fin.land.naver.com/articles/2648038216", "매물Link")</f>
        <v/>
      </c>
      <c r="M703" s="6">
        <f>HYPERLINK("https://map.naver.com/p/search/세종특별자치시 나성동 829", "지도Link")</f>
        <v/>
      </c>
      <c r="N703" s="6">
        <f>HYPERLINK("http://www.eum.go.kr/web/ar/lu/luLandDet.jsp?pnu=3611010700108290000&amp;isNoScr=script&amp;mode=search", "토지이음")</f>
        <v/>
      </c>
      <c r="O703" s="3" t="inlineStr">
        <is>
          <t>굿리치합동사무소</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세종특별자치시 나성동 829</t>
        </is>
      </c>
      <c r="B704" s="3" t="inlineStr">
        <is>
          <t>중심상업지역</t>
        </is>
      </c>
      <c r="C704" s="3" t="inlineStr">
        <is>
          <t>대</t>
        </is>
      </c>
      <c r="D704" s="3" t="inlineStr">
        <is>
          <t>대</t>
        </is>
      </c>
      <c r="E704" s="3" t="inlineStr">
        <is>
          <t>매매</t>
        </is>
      </c>
      <c r="F704" s="4" t="n">
        <v>27000</v>
      </c>
      <c r="G704" s="4" t="n">
        <v>245</v>
      </c>
      <c r="H704" s="4" t="n">
        <v>74</v>
      </c>
      <c r="I704" s="5" t="n">
        <v>364.9</v>
      </c>
      <c r="J704" s="4" t="n">
        <v>747.8</v>
      </c>
      <c r="K704" s="3" t="inlineStr">
        <is>
          <t>다가구주택(원투룸) 건축 토지</t>
        </is>
      </c>
      <c r="L704" s="6">
        <f>HYPERLINK("https://fin.land.naver.com/articles/2648290252", "매물Link")</f>
        <v/>
      </c>
      <c r="M704" s="6">
        <f>HYPERLINK("https://map.naver.com/p/search/세종특별자치시 나성동 829", "지도Link")</f>
        <v/>
      </c>
      <c r="N704" s="6">
        <f>HYPERLINK("http://www.eum.go.kr/web/ar/lu/luLandDet.jsp?pnu=3611010700108290000&amp;isNoScr=script&amp;mode=search", "토지이음")</f>
        <v/>
      </c>
      <c r="O704" s="3" t="inlineStr">
        <is>
          <t>연주영</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세종특별자치시 나성동 829</t>
        </is>
      </c>
      <c r="B705" s="3" t="inlineStr">
        <is>
          <t>중심상업지역</t>
        </is>
      </c>
      <c r="C705" s="3" t="inlineStr">
        <is>
          <t>대</t>
        </is>
      </c>
      <c r="D705" s="3" t="inlineStr">
        <is>
          <t>답</t>
        </is>
      </c>
      <c r="E705" s="3" t="inlineStr">
        <is>
          <t>매매</t>
        </is>
      </c>
      <c r="F705" s="4" t="n">
        <v>40000</v>
      </c>
      <c r="G705" s="4" t="n">
        <v>1938</v>
      </c>
      <c r="H705" s="4" t="n">
        <v>586</v>
      </c>
      <c r="I705" s="5" t="n">
        <v>68.3</v>
      </c>
      <c r="J705" s="4" t="n">
        <v>747.8</v>
      </c>
      <c r="K705" s="3" t="inlineStr">
        <is>
          <t>세종로와 오송생명로 로 연결된 교통중심지 4차선에 연결된 8m도로에 접함</t>
        </is>
      </c>
      <c r="L705" s="6">
        <f>HYPERLINK("https://fin.land.naver.com/articles/2648321911", "매물Link")</f>
        <v/>
      </c>
      <c r="M705" s="6">
        <f>HYPERLINK("https://map.naver.com/p/search/세종특별자치시 나성동 829", "지도Link")</f>
        <v/>
      </c>
      <c r="N705" s="6">
        <f>HYPERLINK("http://www.eum.go.kr/web/ar/lu/luLandDet.jsp?pnu=3611010700108290000&amp;isNoScr=script&amp;mode=search", "토지이음")</f>
        <v/>
      </c>
      <c r="O705" s="3" t="inlineStr">
        <is>
          <t>온누리</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세종특별자치시 나성동 829</t>
        </is>
      </c>
      <c r="B706" s="3" t="inlineStr">
        <is>
          <t>중심상업지역</t>
        </is>
      </c>
      <c r="C706" s="3" t="inlineStr">
        <is>
          <t>대</t>
        </is>
      </c>
      <c r="D706" s="3" t="inlineStr">
        <is>
          <t>전</t>
        </is>
      </c>
      <c r="E706" s="3" t="inlineStr">
        <is>
          <t>매매</t>
        </is>
      </c>
      <c r="F706" s="4" t="n">
        <v>30000</v>
      </c>
      <c r="G706" s="4" t="n">
        <v>1438</v>
      </c>
      <c r="H706" s="4" t="n">
        <v>435</v>
      </c>
      <c r="I706" s="5" t="n">
        <v>69</v>
      </c>
      <c r="J706" s="4" t="n">
        <v>747.8</v>
      </c>
      <c r="K706" s="3" t="inlineStr">
        <is>
          <t>4m 도로 접, 3산단 수용지 인접 개발호재, 성토 완료, 마을 인근지</t>
        </is>
      </c>
      <c r="L706" s="6">
        <f>HYPERLINK("https://fin.land.naver.com/articles/2648620491", "매물Link")</f>
        <v/>
      </c>
      <c r="M706" s="6">
        <f>HYPERLINK("https://map.naver.com/p/search/세종특별자치시 나성동 829", "지도Link")</f>
        <v/>
      </c>
      <c r="N706" s="6">
        <f>HYPERLINK("http://www.eum.go.kr/web/ar/lu/luLandDet.jsp?pnu=3611010700108290000&amp;isNoScr=script&amp;mode=search", "토지이음")</f>
        <v/>
      </c>
      <c r="O706" s="3" t="inlineStr">
        <is>
          <t>오송3산단  사무소</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세종특별자치시 나성동 829</t>
        </is>
      </c>
      <c r="B707" s="3" t="inlineStr">
        <is>
          <t>중심상업지역</t>
        </is>
      </c>
      <c r="C707" s="3" t="inlineStr">
        <is>
          <t>대</t>
        </is>
      </c>
      <c r="D707" s="3" t="inlineStr">
        <is>
          <t>임야</t>
        </is>
      </c>
      <c r="E707" s="3" t="inlineStr">
        <is>
          <t>매매</t>
        </is>
      </c>
      <c r="F707" s="4" t="n">
        <v>20000</v>
      </c>
      <c r="G707" s="4" t="n">
        <v>26432</v>
      </c>
      <c r="H707" s="4" t="n">
        <v>7996</v>
      </c>
      <c r="I707" s="5" t="n">
        <v>2.5</v>
      </c>
      <c r="J707" s="4" t="n">
        <v>747.8</v>
      </c>
      <c r="K707" s="3" t="inlineStr">
        <is>
          <t>nan</t>
        </is>
      </c>
      <c r="L707" s="6">
        <f>HYPERLINK("https://fin.land.naver.com/articles/2648991095", "매물Link")</f>
        <v/>
      </c>
      <c r="M707" s="6">
        <f>HYPERLINK("https://map.naver.com/p/search/세종특별자치시 나성동 829", "지도Link")</f>
        <v/>
      </c>
      <c r="N707" s="6">
        <f>HYPERLINK("http://www.eum.go.kr/web/ar/lu/luLandDet.jsp?pnu=3611010700108290000&amp;isNoScr=script&amp;mode=search", "토지이음")</f>
        <v/>
      </c>
      <c r="O707" s="3" t="inlineStr">
        <is>
          <t>오송랜드</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세종특별자치시 나성동 829</t>
        </is>
      </c>
      <c r="B708" s="3" t="inlineStr">
        <is>
          <t>중심상업지역</t>
        </is>
      </c>
      <c r="C708" s="3" t="inlineStr">
        <is>
          <t>대</t>
        </is>
      </c>
      <c r="D708" s="3" t="inlineStr">
        <is>
          <t>대</t>
        </is>
      </c>
      <c r="E708" s="3" t="inlineStr">
        <is>
          <t>매매</t>
        </is>
      </c>
      <c r="F708" s="4" t="n">
        <v>18000</v>
      </c>
      <c r="G708" s="4" t="n">
        <v>351</v>
      </c>
      <c r="H708" s="4" t="n">
        <v>106</v>
      </c>
      <c r="I708" s="5" t="n">
        <v>169.8</v>
      </c>
      <c r="J708" s="4" t="n">
        <v>747.8</v>
      </c>
      <c r="K708" s="3" t="inlineStr">
        <is>
          <t>예쁜 주택 짖고 사세요</t>
        </is>
      </c>
      <c r="L708" s="6">
        <f>HYPERLINK("https://fin.land.naver.com/articles/2648663291", "매물Link")</f>
        <v/>
      </c>
      <c r="M708" s="6">
        <f>HYPERLINK("https://map.naver.com/p/search/세종특별자치시 나성동 829", "지도Link")</f>
        <v/>
      </c>
      <c r="N708" s="6">
        <f>HYPERLINK("http://www.eum.go.kr/web/ar/lu/luLandDet.jsp?pnu=3611010700108290000&amp;isNoScr=script&amp;mode=search", "토지이음")</f>
        <v/>
      </c>
      <c r="O708" s="3" t="inlineStr">
        <is>
          <t>새봄</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세종특별자치시 나성동 829</t>
        </is>
      </c>
      <c r="B709" s="3" t="inlineStr">
        <is>
          <t>중심상업지역</t>
        </is>
      </c>
      <c r="C709" s="3" t="inlineStr">
        <is>
          <t>대</t>
        </is>
      </c>
      <c r="D709" s="3" t="inlineStr">
        <is>
          <t>대</t>
        </is>
      </c>
      <c r="E709" s="3" t="inlineStr">
        <is>
          <t>매매</t>
        </is>
      </c>
      <c r="F709" s="4" t="n">
        <v>47000</v>
      </c>
      <c r="G709" s="4" t="n">
        <v>259</v>
      </c>
      <c r="H709" s="4" t="n">
        <v>78</v>
      </c>
      <c r="I709" s="5" t="n">
        <v>602.6</v>
      </c>
      <c r="J709" s="4" t="n">
        <v>747.8</v>
      </c>
      <c r="K709" s="3" t="inlineStr">
        <is>
          <t>문암동 토지</t>
        </is>
      </c>
      <c r="L709" s="6">
        <f>HYPERLINK("https://fin.land.naver.com/articles/2646456744", "매물Link")</f>
        <v/>
      </c>
      <c r="M709" s="6">
        <f>HYPERLINK("https://map.naver.com/p/search/세종특별자치시 나성동 829", "지도Link")</f>
        <v/>
      </c>
      <c r="N709" s="6">
        <f>HYPERLINK("http://www.eum.go.kr/web/ar/lu/luLandDet.jsp?pnu=3611010700108290000&amp;isNoScr=script&amp;mode=search", "토지이음")</f>
        <v/>
      </c>
      <c r="O709" s="3" t="inlineStr">
        <is>
          <t>어반에스테이트</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세종특별자치시 나성동 829</t>
        </is>
      </c>
      <c r="B710" s="3" t="inlineStr">
        <is>
          <t>중심상업지역</t>
        </is>
      </c>
      <c r="C710" s="3" t="inlineStr">
        <is>
          <t>대</t>
        </is>
      </c>
      <c r="D710" s="3" t="inlineStr">
        <is>
          <t>답</t>
        </is>
      </c>
      <c r="E710" s="3" t="inlineStr">
        <is>
          <t>매매</t>
        </is>
      </c>
      <c r="F710" s="4" t="n">
        <v>79000</v>
      </c>
      <c r="G710" s="4" t="n">
        <v>2612</v>
      </c>
      <c r="H710" s="4" t="n">
        <v>790</v>
      </c>
      <c r="I710" s="5" t="n">
        <v>100</v>
      </c>
      <c r="J710" s="4" t="n">
        <v>747.8</v>
      </c>
      <c r="K710" s="3" t="inlineStr">
        <is>
          <t>원평동 토지</t>
        </is>
      </c>
      <c r="L710" s="6">
        <f>HYPERLINK("https://fin.land.naver.com/articles/2646448356", "매물Link")</f>
        <v/>
      </c>
      <c r="M710" s="6">
        <f>HYPERLINK("https://map.naver.com/p/search/세종특별자치시 나성동 829", "지도Link")</f>
        <v/>
      </c>
      <c r="N710" s="6">
        <f>HYPERLINK("http://www.eum.go.kr/web/ar/lu/luLandDet.jsp?pnu=3611010700108290000&amp;isNoScr=script&amp;mode=search", "토지이음")</f>
        <v/>
      </c>
      <c r="O710" s="3" t="inlineStr">
        <is>
          <t>어반에스테이트</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세종특별자치시 나성동 829</t>
        </is>
      </c>
      <c r="B711" s="3" t="inlineStr">
        <is>
          <t>중심상업지역</t>
        </is>
      </c>
      <c r="C711" s="3" t="inlineStr">
        <is>
          <t>대</t>
        </is>
      </c>
      <c r="D711" s="3" t="inlineStr">
        <is>
          <t>대</t>
        </is>
      </c>
      <c r="E711" s="3" t="inlineStr">
        <is>
          <t>매매</t>
        </is>
      </c>
      <c r="F711" s="4" t="n">
        <v>37000</v>
      </c>
      <c r="G711" s="4" t="n">
        <v>747</v>
      </c>
      <c r="H711" s="4" t="n">
        <v>226</v>
      </c>
      <c r="I711" s="5" t="n">
        <v>163.7</v>
      </c>
      <c r="J711" s="4" t="n">
        <v>747.8</v>
      </c>
      <c r="K711" s="3" t="inlineStr">
        <is>
          <t>신전동 150년된 고택있음 텃밭 마당</t>
        </is>
      </c>
      <c r="L711" s="6">
        <f>HYPERLINK("https://fin.land.naver.com/articles/2646795631", "매물Link")</f>
        <v/>
      </c>
      <c r="M711" s="6">
        <f>HYPERLINK("https://map.naver.com/p/search/세종특별자치시 나성동 829", "지도Link")</f>
        <v/>
      </c>
      <c r="N711" s="6">
        <f>HYPERLINK("http://www.eum.go.kr/web/ar/lu/luLandDet.jsp?pnu=3611010700108290000&amp;isNoScr=script&amp;mode=search", "토지이음")</f>
        <v/>
      </c>
      <c r="O711" s="3" t="inlineStr">
        <is>
          <t>보배</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세종특별자치시 나성동 829</t>
        </is>
      </c>
      <c r="B712" s="3" t="inlineStr">
        <is>
          <t>중심상업지역</t>
        </is>
      </c>
      <c r="C712" s="3" t="inlineStr">
        <is>
          <t>대</t>
        </is>
      </c>
      <c r="D712" s="3" t="inlineStr">
        <is>
          <t>답</t>
        </is>
      </c>
      <c r="E712" s="3" t="inlineStr">
        <is>
          <t>매매</t>
        </is>
      </c>
      <c r="F712" s="4" t="n">
        <v>38250</v>
      </c>
      <c r="G712" s="4" t="n">
        <v>4079</v>
      </c>
      <c r="H712" s="4" t="n">
        <v>1234</v>
      </c>
      <c r="I712" s="5" t="n">
        <v>31</v>
      </c>
      <c r="J712" s="4" t="n">
        <v>747.8</v>
      </c>
      <c r="K712" s="3" t="inlineStr">
        <is>
          <t>청주테크노폴리스,sk하이닉스인근 농지로 향후 지가상승 기대</t>
        </is>
      </c>
      <c r="L712" s="6">
        <f>HYPERLINK("https://fin.land.naver.com/articles/2644881741", "매물Link")</f>
        <v/>
      </c>
      <c r="M712" s="6">
        <f>HYPERLINK("https://map.naver.com/p/search/세종특별자치시 나성동 829", "지도Link")</f>
        <v/>
      </c>
      <c r="N712" s="6">
        <f>HYPERLINK("http://www.eum.go.kr/web/ar/lu/luLandDet.jsp?pnu=3611010700108290000&amp;isNoScr=script&amp;mode=search", "토지이음")</f>
        <v/>
      </c>
      <c r="O712" s="3" t="inlineStr">
        <is>
          <t>문광</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세종특별자치시 나성동 829</t>
        </is>
      </c>
      <c r="B713" s="3" t="inlineStr">
        <is>
          <t>중심상업지역</t>
        </is>
      </c>
      <c r="C713" s="3" t="inlineStr">
        <is>
          <t>대</t>
        </is>
      </c>
      <c r="D713" s="3" t="inlineStr">
        <is>
          <t>대</t>
        </is>
      </c>
      <c r="E713" s="3" t="inlineStr">
        <is>
          <t>매매</t>
        </is>
      </c>
      <c r="F713" s="4" t="n">
        <v>448560</v>
      </c>
      <c r="G713" s="4" t="n">
        <v>8720</v>
      </c>
      <c r="H713" s="4" t="n">
        <v>2638</v>
      </c>
      <c r="I713" s="5" t="n">
        <v>170</v>
      </c>
      <c r="J713" s="4" t="n">
        <v>747.8</v>
      </c>
      <c r="K713" s="3" t="inlineStr">
        <is>
          <t>청주하이닉스신설공장 바로인접 최적투자지</t>
        </is>
      </c>
      <c r="L713" s="6">
        <f>HYPERLINK("https://fin.land.naver.com/articles/2646744289", "매물Link")</f>
        <v/>
      </c>
      <c r="M713" s="6">
        <f>HYPERLINK("https://map.naver.com/p/search/세종특별자치시 나성동 829", "지도Link")</f>
        <v/>
      </c>
      <c r="N713" s="6">
        <f>HYPERLINK("http://www.eum.go.kr/web/ar/lu/luLandDet.jsp?pnu=3611010700108290000&amp;isNoScr=script&amp;mode=search", "토지이음")</f>
        <v/>
      </c>
      <c r="O713" s="3" t="inlineStr">
        <is>
          <t>공장365</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세종특별자치시 나성동 829</t>
        </is>
      </c>
      <c r="B714" s="3" t="inlineStr">
        <is>
          <t>중심상업지역</t>
        </is>
      </c>
      <c r="C714" s="3" t="inlineStr">
        <is>
          <t>대</t>
        </is>
      </c>
      <c r="D714" s="3" t="inlineStr">
        <is>
          <t>전</t>
        </is>
      </c>
      <c r="E714" s="3" t="inlineStr">
        <is>
          <t>매매</t>
        </is>
      </c>
      <c r="F714" s="4" t="n">
        <v>150000</v>
      </c>
      <c r="G714" s="4" t="n">
        <v>2631</v>
      </c>
      <c r="H714" s="4" t="n">
        <v>796</v>
      </c>
      <c r="I714" s="5" t="n">
        <v>188.4</v>
      </c>
      <c r="J714" s="4" t="n">
        <v>747.8</v>
      </c>
      <c r="K714" s="3" t="inlineStr">
        <is>
          <t>nan</t>
        </is>
      </c>
      <c r="L714" s="6">
        <f>HYPERLINK("https://fin.land.naver.com/articles/2647419476", "매물Link")</f>
        <v/>
      </c>
      <c r="M714" s="6">
        <f>HYPERLINK("https://map.naver.com/p/search/세종특별자치시 나성동 829", "지도Link")</f>
        <v/>
      </c>
      <c r="N714" s="6">
        <f>HYPERLINK("http://www.eum.go.kr/web/ar/lu/luLandDet.jsp?pnu=3611010700108290000&amp;isNoScr=script&amp;mode=search", "토지이음")</f>
        <v/>
      </c>
      <c r="O714" s="3" t="inlineStr">
        <is>
          <t>케이투(k2)</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세종특별자치시 나성동 829</t>
        </is>
      </c>
      <c r="B715" s="3" t="inlineStr">
        <is>
          <t>중심상업지역</t>
        </is>
      </c>
      <c r="C715" s="3" t="inlineStr">
        <is>
          <t>대</t>
        </is>
      </c>
      <c r="D715" s="3" t="inlineStr">
        <is>
          <t>답</t>
        </is>
      </c>
      <c r="E715" s="3" t="inlineStr">
        <is>
          <t>매매</t>
        </is>
      </c>
      <c r="F715" s="4" t="n">
        <v>14000</v>
      </c>
      <c r="G715" s="4" t="n">
        <v>1157</v>
      </c>
      <c r="H715" s="4" t="n">
        <v>350</v>
      </c>
      <c r="I715" s="5" t="n">
        <v>40</v>
      </c>
      <c r="J715" s="4" t="n">
        <v>747.8</v>
      </c>
      <c r="K715" s="3" t="inlineStr">
        <is>
          <t>청주 3순환로변 테크노폴리스 인근 생산녹지 농지매매</t>
        </is>
      </c>
      <c r="L715" s="6">
        <f>HYPERLINK("https://fin.land.naver.com/articles/2648640238", "매물Link")</f>
        <v/>
      </c>
      <c r="M715" s="6">
        <f>HYPERLINK("https://map.naver.com/p/search/세종특별자치시 나성동 829", "지도Link")</f>
        <v/>
      </c>
      <c r="N715" s="6">
        <f>HYPERLINK("http://www.eum.go.kr/web/ar/lu/luLandDet.jsp?pnu=3611010700108290000&amp;isNoScr=script&amp;mode=search", "토지이음")</f>
        <v/>
      </c>
      <c r="O715" s="3" t="inlineStr">
        <is>
          <t>두꺼비</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세종특별자치시 나성동 829</t>
        </is>
      </c>
      <c r="B716" s="3" t="inlineStr">
        <is>
          <t>중심상업지역</t>
        </is>
      </c>
      <c r="C716" s="3" t="inlineStr">
        <is>
          <t>대</t>
        </is>
      </c>
      <c r="D716" s="3" t="inlineStr">
        <is>
          <t>전</t>
        </is>
      </c>
      <c r="E716" s="3" t="inlineStr">
        <is>
          <t>매매</t>
        </is>
      </c>
      <c r="F716" s="4" t="n">
        <v>41000</v>
      </c>
      <c r="G716" s="4" t="n">
        <v>4040</v>
      </c>
      <c r="H716" s="4" t="n">
        <v>1222</v>
      </c>
      <c r="I716" s="5" t="n">
        <v>33.6</v>
      </c>
      <c r="J716" s="4" t="n">
        <v>747.8</v>
      </c>
      <c r="K716" s="3" t="inlineStr">
        <is>
          <t>청주시 흥덕구 신대동 4M도로접 자연녹지 급매</t>
        </is>
      </c>
      <c r="L716" s="6">
        <f>HYPERLINK("https://fin.land.naver.com/articles/2646083833", "매물Link")</f>
        <v/>
      </c>
      <c r="M716" s="6">
        <f>HYPERLINK("https://map.naver.com/p/search/세종특별자치시 나성동 829", "지도Link")</f>
        <v/>
      </c>
      <c r="N716" s="6">
        <f>HYPERLINK("http://www.eum.go.kr/web/ar/lu/luLandDet.jsp?pnu=3611010700108290000&amp;isNoScr=script&amp;mode=search", "토지이음")</f>
        <v/>
      </c>
      <c r="O716" s="3" t="inlineStr">
        <is>
          <t>땅야박영수사무소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세종특별자치시 나성동 829</t>
        </is>
      </c>
      <c r="B717" s="3" t="inlineStr">
        <is>
          <t>중심상업지역</t>
        </is>
      </c>
      <c r="C717" s="3" t="inlineStr">
        <is>
          <t>대</t>
        </is>
      </c>
      <c r="D717" s="3" t="inlineStr">
        <is>
          <t>답</t>
        </is>
      </c>
      <c r="E717" s="3" t="inlineStr">
        <is>
          <t>매매</t>
        </is>
      </c>
      <c r="F717" s="4" t="n">
        <v>42000</v>
      </c>
      <c r="G717" s="4" t="n">
        <v>4000</v>
      </c>
      <c r="H717" s="4" t="n">
        <v>1210</v>
      </c>
      <c r="I717" s="5" t="n">
        <v>34.7</v>
      </c>
      <c r="J717" s="4" t="n">
        <v>747.8</v>
      </c>
      <c r="K717" s="3" t="inlineStr">
        <is>
          <t>경지정리 된 답 생산녹지</t>
        </is>
      </c>
      <c r="L717" s="6">
        <f>HYPERLINK("https://fin.land.naver.com/articles/2647935302", "매물Link")</f>
        <v/>
      </c>
      <c r="M717" s="6">
        <f>HYPERLINK("https://map.naver.com/p/search/세종특별자치시 나성동 829", "지도Link")</f>
        <v/>
      </c>
      <c r="N717" s="6">
        <f>HYPERLINK("http://www.eum.go.kr/web/ar/lu/luLandDet.jsp?pnu=3611010700108290000&amp;isNoScr=script&amp;mode=search", "토지이음")</f>
        <v/>
      </c>
      <c r="O717" s="3" t="inlineStr">
        <is>
          <t>용암탑</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세종특별자치시 나성동 829</t>
        </is>
      </c>
      <c r="B718" s="3" t="inlineStr">
        <is>
          <t>중심상업지역</t>
        </is>
      </c>
      <c r="C718" s="3" t="inlineStr">
        <is>
          <t>대</t>
        </is>
      </c>
      <c r="D718" s="3" t="inlineStr">
        <is>
          <t>대</t>
        </is>
      </c>
      <c r="E718" s="3" t="inlineStr">
        <is>
          <t>매매</t>
        </is>
      </c>
      <c r="F718" s="4" t="n">
        <v>85000</v>
      </c>
      <c r="G718" s="4" t="n">
        <v>988</v>
      </c>
      <c r="H718" s="4" t="n">
        <v>299</v>
      </c>
      <c r="I718" s="5" t="n">
        <v>284.3</v>
      </c>
      <c r="J718" s="4" t="n">
        <v>747.8</v>
      </c>
      <c r="K718" s="3" t="inlineStr">
        <is>
          <t>현재 회사창고로 이용중이며 전면 넒은 주차장</t>
        </is>
      </c>
      <c r="L718" s="6">
        <f>HYPERLINK("https://fin.land.naver.com/articles/2649728000", "매물Link")</f>
        <v/>
      </c>
      <c r="M718" s="6">
        <f>HYPERLINK("https://map.naver.com/p/search/세종특별자치시 나성동 829", "지도Link")</f>
        <v/>
      </c>
      <c r="N718" s="6">
        <f>HYPERLINK("http://www.eum.go.kr/web/ar/lu/luLandDet.jsp?pnu=3611010700108290000&amp;isNoScr=script&amp;mode=search", "토지이음")</f>
        <v/>
      </c>
      <c r="O718" s="3" t="inlineStr">
        <is>
          <t>옥산제일사무소</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세종특별자치시 나성동 829</t>
        </is>
      </c>
      <c r="B719" s="3" t="inlineStr">
        <is>
          <t>중심상업지역</t>
        </is>
      </c>
      <c r="C719" s="3" t="inlineStr">
        <is>
          <t>대</t>
        </is>
      </c>
      <c r="D719" s="3" t="inlineStr">
        <is>
          <t>답</t>
        </is>
      </c>
      <c r="E719" s="3" t="inlineStr">
        <is>
          <t>매매</t>
        </is>
      </c>
      <c r="F719" s="4" t="n">
        <v>22900</v>
      </c>
      <c r="G719" s="4" t="n">
        <v>522</v>
      </c>
      <c r="H719" s="4" t="n">
        <v>158</v>
      </c>
      <c r="I719" s="5" t="n">
        <v>144.9</v>
      </c>
      <c r="J719" s="4" t="n">
        <v>747.8</v>
      </c>
      <c r="K719" s="3" t="inlineStr">
        <is>
          <t>미호천 인근 사통팔달 위치좋은 토지</t>
        </is>
      </c>
      <c r="L719" s="6">
        <f>HYPERLINK("https://fin.land.naver.com/articles/2649796848", "매물Link")</f>
        <v/>
      </c>
      <c r="M719" s="6">
        <f>HYPERLINK("https://map.naver.com/p/search/세종특별자치시 나성동 829", "지도Link")</f>
        <v/>
      </c>
      <c r="N719" s="6">
        <f>HYPERLINK("http://www.eum.go.kr/web/ar/lu/luLandDet.jsp?pnu=3611010700108290000&amp;isNoScr=script&amp;mode=search", "토지이음")</f>
        <v/>
      </c>
      <c r="O719" s="3" t="inlineStr">
        <is>
          <t>바로</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세종특별자치시 나성동 829</t>
        </is>
      </c>
      <c r="B720" s="3" t="inlineStr">
        <is>
          <t>중심상업지역</t>
        </is>
      </c>
      <c r="C720" s="3" t="inlineStr">
        <is>
          <t>대</t>
        </is>
      </c>
      <c r="D720" s="3" t="inlineStr">
        <is>
          <t>답</t>
        </is>
      </c>
      <c r="E720" s="3" t="inlineStr">
        <is>
          <t>매매</t>
        </is>
      </c>
      <c r="F720" s="4" t="n">
        <v>25000</v>
      </c>
      <c r="G720" s="4" t="n">
        <v>739</v>
      </c>
      <c r="H720" s="4" t="n">
        <v>224</v>
      </c>
      <c r="I720" s="5" t="n">
        <v>111.6</v>
      </c>
      <c r="J720" s="4" t="n">
        <v>747.8</v>
      </c>
      <c r="K720" s="3" t="inlineStr">
        <is>
          <t>nan</t>
        </is>
      </c>
      <c r="L720" s="6">
        <f>HYPERLINK("https://fin.land.naver.com/articles/2645970199", "매물Link")</f>
        <v/>
      </c>
      <c r="M720" s="6">
        <f>HYPERLINK("https://map.naver.com/p/search/세종특별자치시 나성동 829", "지도Link")</f>
        <v/>
      </c>
      <c r="N720" s="6">
        <f>HYPERLINK("http://www.eum.go.kr/web/ar/lu/luLandDet.jsp?pnu=3611010700108290000&amp;isNoScr=script&amp;mode=search", "토지이음")</f>
        <v/>
      </c>
      <c r="O720" s="3" t="inlineStr">
        <is>
          <t>대학</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세종특별자치시 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HYPERLINK("https://map.naver.com/p/search/세종특별자치시 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세종특별자치시 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HYPERLINK("https://map.naver.com/p/search/세종특별자치시 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세종특별자치시 나성동 829</t>
        </is>
      </c>
      <c r="B723" s="3" t="inlineStr">
        <is>
          <t>중심상업지역</t>
        </is>
      </c>
      <c r="C723" s="3" t="inlineStr">
        <is>
          <t>대</t>
        </is>
      </c>
      <c r="D723" s="3" t="inlineStr">
        <is>
          <t>대</t>
        </is>
      </c>
      <c r="E723" s="3" t="inlineStr">
        <is>
          <t>매매</t>
        </is>
      </c>
      <c r="F723" s="4" t="n">
        <v>48000</v>
      </c>
      <c r="G723" s="4" t="n">
        <v>265</v>
      </c>
      <c r="H723" s="4" t="n">
        <v>80</v>
      </c>
      <c r="I723" s="5" t="n">
        <v>600</v>
      </c>
      <c r="J723" s="4" t="n">
        <v>747.8</v>
      </c>
      <c r="K723" s="3" t="inlineStr">
        <is>
          <t>청주테크노폴리스내 단독 다가구 주택 부지</t>
        </is>
      </c>
      <c r="L723" s="6">
        <f>HYPERLINK("https://fin.land.naver.com/articles/2644034356", "매물Link")</f>
        <v/>
      </c>
      <c r="M723" s="6">
        <f>HYPERLINK("https://map.naver.com/p/search/세종특별자치시 나성동 829", "지도Link")</f>
        <v/>
      </c>
      <c r="N723" s="6">
        <f>HYPERLINK("http://www.eum.go.kr/web/ar/lu/luLandDet.jsp?pnu=3611010700108290000&amp;isNoScr=script&amp;mode=search", "토지이음")</f>
        <v/>
      </c>
      <c r="O723" s="3" t="inlineStr">
        <is>
          <t>강문구</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세종특별자치시 나성동 829</t>
        </is>
      </c>
      <c r="B724" s="3" t="inlineStr">
        <is>
          <t>중심상업지역</t>
        </is>
      </c>
      <c r="C724" s="3" t="inlineStr">
        <is>
          <t>대</t>
        </is>
      </c>
      <c r="D724" s="3" t="inlineStr">
        <is>
          <t>답</t>
        </is>
      </c>
      <c r="E724" s="3" t="inlineStr">
        <is>
          <t>매매</t>
        </is>
      </c>
      <c r="F724" s="4" t="n">
        <v>29000</v>
      </c>
      <c r="G724" s="4" t="n">
        <v>2612</v>
      </c>
      <c r="H724" s="4" t="n">
        <v>790</v>
      </c>
      <c r="I724" s="5" t="n">
        <v>36.7</v>
      </c>
      <c r="J724" s="4" t="n">
        <v>747.8</v>
      </c>
      <c r="K724" s="3" t="inlineStr">
        <is>
          <t>정봉동 생산녹지 농지 매매</t>
        </is>
      </c>
      <c r="L724" s="6">
        <f>HYPERLINK("https://fin.land.naver.com/articles/2646415812", "매물Link")</f>
        <v/>
      </c>
      <c r="M724" s="6">
        <f>HYPERLINK("https://map.naver.com/p/search/세종특별자치시 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세종특별자치시 나성동 829</t>
        </is>
      </c>
      <c r="B725" s="3" t="inlineStr">
        <is>
          <t>중심상업지역</t>
        </is>
      </c>
      <c r="C725" s="3" t="inlineStr">
        <is>
          <t>대</t>
        </is>
      </c>
      <c r="D725" s="3" t="inlineStr">
        <is>
          <t>답</t>
        </is>
      </c>
      <c r="E725" s="3" t="inlineStr">
        <is>
          <t>매매</t>
        </is>
      </c>
      <c r="F725" s="4" t="n">
        <v>17700</v>
      </c>
      <c r="G725" s="4" t="n">
        <v>1464</v>
      </c>
      <c r="H725" s="4" t="n">
        <v>443</v>
      </c>
      <c r="I725" s="5" t="n">
        <v>40</v>
      </c>
      <c r="J725" s="4" t="n">
        <v>747.8</v>
      </c>
      <c r="K725" s="3" t="inlineStr">
        <is>
          <t>정봉동 생산녹지 농지 매매</t>
        </is>
      </c>
      <c r="L725" s="6">
        <f>HYPERLINK("https://fin.land.naver.com/articles/2648840970", "매물Link")</f>
        <v/>
      </c>
      <c r="M725" s="6">
        <f>HYPERLINK("https://map.naver.com/p/search/세종특별자치시 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세종특별자치시 나성동 829</t>
        </is>
      </c>
      <c r="B726" s="3" t="inlineStr">
        <is>
          <t>중심상업지역</t>
        </is>
      </c>
      <c r="C726" s="3" t="inlineStr">
        <is>
          <t>대</t>
        </is>
      </c>
      <c r="D726" s="3" t="inlineStr">
        <is>
          <t>답</t>
        </is>
      </c>
      <c r="E726" s="3" t="inlineStr">
        <is>
          <t>매매</t>
        </is>
      </c>
      <c r="F726" s="4" t="n">
        <v>17000</v>
      </c>
      <c r="G726" s="4" t="n">
        <v>1484</v>
      </c>
      <c r="H726" s="4" t="n">
        <v>449</v>
      </c>
      <c r="I726" s="5" t="n">
        <v>37.9</v>
      </c>
      <c r="J726" s="4" t="n">
        <v>747.8</v>
      </c>
      <c r="K726" s="3" t="inlineStr">
        <is>
          <t>정봉동 생산녹지 농지 매매</t>
        </is>
      </c>
      <c r="L726" s="6">
        <f>HYPERLINK("https://fin.land.naver.com/articles/2649541216", "매물Link")</f>
        <v/>
      </c>
      <c r="M726" s="6">
        <f>HYPERLINK("https://map.naver.com/p/search/세종특별자치시 나성동 829", "지도Link")</f>
        <v/>
      </c>
      <c r="N726" s="6">
        <f>HYPERLINK("http://www.eum.go.kr/web/ar/lu/luLandDet.jsp?pnu=3611010700108290000&amp;isNoScr=script&amp;mode=search", "토지이음")</f>
        <v/>
      </c>
      <c r="O726" s="3" t="inlineStr">
        <is>
          <t>옥산금정</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세종특별자치시 나성동 829</t>
        </is>
      </c>
      <c r="B727" s="3" t="inlineStr">
        <is>
          <t>중심상업지역</t>
        </is>
      </c>
      <c r="C727" s="3" t="inlineStr">
        <is>
          <t>대</t>
        </is>
      </c>
      <c r="D727" s="3" t="inlineStr">
        <is>
          <t>임야</t>
        </is>
      </c>
      <c r="E727" s="3" t="inlineStr">
        <is>
          <t>매매</t>
        </is>
      </c>
      <c r="F727" s="4" t="n">
        <v>1100000</v>
      </c>
      <c r="G727" s="4" t="n">
        <v>26344</v>
      </c>
      <c r="H727" s="4" t="n">
        <v>7969</v>
      </c>
      <c r="I727" s="5" t="n">
        <v>138</v>
      </c>
      <c r="J727" s="4" t="n">
        <v>747.8</v>
      </c>
      <c r="K727" s="3" t="inlineStr">
        <is>
          <t>nan</t>
        </is>
      </c>
      <c r="L727" s="6">
        <f>HYPERLINK("https://fin.land.naver.com/articles/2646278017", "매물Link")</f>
        <v/>
      </c>
      <c r="M727" s="6">
        <f>HYPERLINK("https://map.naver.com/p/search/세종특별자치시 나성동 829", "지도Link")</f>
        <v/>
      </c>
      <c r="N727" s="6">
        <f>HYPERLINK("http://www.eum.go.kr/web/ar/lu/luLandDet.jsp?pnu=3611010700108290000&amp;isNoScr=script&amp;mode=search", "토지이음")</f>
        <v/>
      </c>
      <c r="O727" s="3" t="inlineStr">
        <is>
          <t>드림사무소</t>
        </is>
      </c>
      <c r="P727" s="3" t="n">
        <v>1</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세종특별자치시 나성동 829</t>
        </is>
      </c>
      <c r="B728" s="3" t="inlineStr">
        <is>
          <t>중심상업지역</t>
        </is>
      </c>
      <c r="C728" s="3" t="inlineStr">
        <is>
          <t>대</t>
        </is>
      </c>
      <c r="D728" s="3" t="inlineStr">
        <is>
          <t>잡종지</t>
        </is>
      </c>
      <c r="E728" s="3" t="inlineStr">
        <is>
          <t>매매</t>
        </is>
      </c>
      <c r="F728" s="4" t="n">
        <v>500000</v>
      </c>
      <c r="G728" s="4" t="n">
        <v>9593</v>
      </c>
      <c r="H728" s="4" t="n">
        <v>2902</v>
      </c>
      <c r="I728" s="5" t="n">
        <v>172.3</v>
      </c>
      <c r="J728" s="4" t="n">
        <v>747.8</v>
      </c>
      <c r="K728" s="3" t="inlineStr">
        <is>
          <t>도시지역 , 자연녹지지역 , 광로2류(폭 50m~70m)(접합)</t>
        </is>
      </c>
      <c r="L728" s="6">
        <f>HYPERLINK("https://fin.land.naver.com/articles/2648272525", "매물Link")</f>
        <v/>
      </c>
      <c r="M728" s="6">
        <f>HYPERLINK("https://map.naver.com/p/search/세종특별자치시 나성동 829", "지도Link")</f>
        <v/>
      </c>
      <c r="N728" s="6">
        <f>HYPERLINK("http://www.eum.go.kr/web/ar/lu/luLandDet.jsp?pnu=3611010700108290000&amp;isNoScr=script&amp;mode=search", "토지이음")</f>
        <v/>
      </c>
      <c r="O728" s="3" t="inlineStr">
        <is>
          <t>신영</t>
        </is>
      </c>
      <c r="P728" s="3" t="n">
        <v>2</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세종특별자치시 나성동 829</t>
        </is>
      </c>
      <c r="B729" s="3" t="inlineStr">
        <is>
          <t>중심상업지역</t>
        </is>
      </c>
      <c r="C729" s="3" t="inlineStr">
        <is>
          <t>대</t>
        </is>
      </c>
      <c r="D729" s="3" t="inlineStr">
        <is>
          <t>잡종지</t>
        </is>
      </c>
      <c r="E729" s="3" t="inlineStr">
        <is>
          <t>매매</t>
        </is>
      </c>
      <c r="F729" s="4" t="n">
        <v>550000</v>
      </c>
      <c r="G729" s="4" t="n">
        <v>9593</v>
      </c>
      <c r="H729" s="4" t="n">
        <v>2902</v>
      </c>
      <c r="I729" s="5" t="n">
        <v>189.5</v>
      </c>
      <c r="J729" s="4" t="n">
        <v>747.8</v>
      </c>
      <c r="K729" s="3" t="inlineStr">
        <is>
          <t>nan</t>
        </is>
      </c>
      <c r="L729" s="6">
        <f>HYPERLINK("https://fin.land.naver.com/articles/2648631427", "매물Link")</f>
        <v/>
      </c>
      <c r="M729" s="6">
        <f>HYPERLINK("https://map.naver.com/p/search/세종특별자치시 나성동 829", "지도Link")</f>
        <v/>
      </c>
      <c r="N729" s="6">
        <f>HYPERLINK("http://www.eum.go.kr/web/ar/lu/luLandDet.jsp?pnu=3611010700108290000&amp;isNoScr=script&amp;mode=search", "토지이음")</f>
        <v/>
      </c>
      <c r="O729" s="3" t="inlineStr">
        <is>
          <t>드림사무소</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세종특별자치시 나성동 829</t>
        </is>
      </c>
      <c r="B730" s="3" t="inlineStr">
        <is>
          <t>중심상업지역</t>
        </is>
      </c>
      <c r="C730" s="3" t="inlineStr">
        <is>
          <t>대</t>
        </is>
      </c>
      <c r="D730" s="3" t="inlineStr">
        <is>
          <t>대</t>
        </is>
      </c>
      <c r="E730" s="3" t="inlineStr">
        <is>
          <t>매매</t>
        </is>
      </c>
      <c r="F730" s="4" t="n">
        <v>300000</v>
      </c>
      <c r="G730" s="4" t="n">
        <v>1403</v>
      </c>
      <c r="H730" s="4" t="n">
        <v>424</v>
      </c>
      <c r="I730" s="5" t="n">
        <v>707.5</v>
      </c>
      <c r="J730" s="4" t="n">
        <v>747.8</v>
      </c>
      <c r="K730" s="3" t="inlineStr">
        <is>
          <t>nan</t>
        </is>
      </c>
      <c r="L730" s="6">
        <f>HYPERLINK("https://fin.land.naver.com/articles/2647042944", "매물Link")</f>
        <v/>
      </c>
      <c r="M730" s="6">
        <f>HYPERLINK("https://map.naver.com/p/search/세종특별자치시 나성동 829", "지도Link")</f>
        <v/>
      </c>
      <c r="N730" s="6">
        <f>HYPERLINK("http://www.eum.go.kr/web/ar/lu/luLandDet.jsp?pnu=3611010700108290000&amp;isNoScr=script&amp;mode=search", "토지이음")</f>
        <v/>
      </c>
      <c r="O730" s="3" t="inlineStr">
        <is>
          <t>정세영</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세종특별자치시 나성동 829</t>
        </is>
      </c>
      <c r="B731" s="3" t="inlineStr">
        <is>
          <t>중심상업지역</t>
        </is>
      </c>
      <c r="C731" s="3" t="inlineStr">
        <is>
          <t>대</t>
        </is>
      </c>
      <c r="D731" s="3" t="inlineStr">
        <is>
          <t>공장용지</t>
        </is>
      </c>
      <c r="E731" s="3" t="inlineStr">
        <is>
          <t>매매</t>
        </is>
      </c>
      <c r="F731" s="4" t="n">
        <v>680000</v>
      </c>
      <c r="G731" s="4" t="n">
        <v>2490</v>
      </c>
      <c r="H731" s="4" t="n">
        <v>753</v>
      </c>
      <c r="I731" s="5" t="n">
        <v>903.1</v>
      </c>
      <c r="J731" s="4" t="n">
        <v>747.8</v>
      </c>
      <c r="K731" s="3" t="inlineStr">
        <is>
          <t>nan</t>
        </is>
      </c>
      <c r="L731" s="6">
        <f>HYPERLINK("https://fin.land.naver.com/articles/2647768745", "매물Link")</f>
        <v/>
      </c>
      <c r="M731" s="6">
        <f>HYPERLINK("https://map.naver.com/p/search/세종특별자치시 나성동 829", "지도Link")</f>
        <v/>
      </c>
      <c r="N731" s="6">
        <f>HYPERLINK("http://www.eum.go.kr/web/ar/lu/luLandDet.jsp?pnu=3611010700108290000&amp;isNoScr=script&amp;mode=search", "토지이음")</f>
        <v/>
      </c>
      <c r="O731" s="3" t="inlineStr">
        <is>
          <t>청주합동</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세종특별자치시 나성동 829</t>
        </is>
      </c>
      <c r="B732" s="3" t="inlineStr">
        <is>
          <t>중심상업지역</t>
        </is>
      </c>
      <c r="C732" s="3" t="inlineStr">
        <is>
          <t>대</t>
        </is>
      </c>
      <c r="D732" s="3" t="inlineStr">
        <is>
          <t>대</t>
        </is>
      </c>
      <c r="E732" s="3" t="inlineStr">
        <is>
          <t>매매</t>
        </is>
      </c>
      <c r="F732" s="4" t="n">
        <v>117000</v>
      </c>
      <c r="G732" s="4" t="n">
        <v>626</v>
      </c>
      <c r="H732" s="4" t="n">
        <v>189</v>
      </c>
      <c r="I732" s="5" t="n">
        <v>619</v>
      </c>
      <c r="J732" s="4" t="n">
        <v>747.8</v>
      </c>
      <c r="K732" s="3" t="inlineStr">
        <is>
          <t>nan</t>
        </is>
      </c>
      <c r="L732" s="6">
        <f>HYPERLINK("https://fin.land.naver.com/articles/2648225530", "매물Link")</f>
        <v/>
      </c>
      <c r="M732" s="6">
        <f>HYPERLINK("https://map.naver.com/p/search/세종특별자치시 나성동 829", "지도Link")</f>
        <v/>
      </c>
      <c r="N732" s="6">
        <f>HYPERLINK("http://www.eum.go.kr/web/ar/lu/luLandDet.jsp?pnu=3611010700108290000&amp;isNoScr=script&amp;mode=search", "토지이음")</f>
        <v/>
      </c>
      <c r="O732" s="3" t="inlineStr">
        <is>
          <t>좋은터</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세종특별자치시 나성동 829</t>
        </is>
      </c>
      <c r="B733" s="3" t="inlineStr">
        <is>
          <t>중심상업지역</t>
        </is>
      </c>
      <c r="C733" s="3" t="inlineStr">
        <is>
          <t>대</t>
        </is>
      </c>
      <c r="D733" s="3" t="inlineStr">
        <is>
          <t>전</t>
        </is>
      </c>
      <c r="E733" s="3" t="inlineStr">
        <is>
          <t>매매</t>
        </is>
      </c>
      <c r="F733" s="4" t="n">
        <v>62000</v>
      </c>
      <c r="G733" s="4" t="n">
        <v>377</v>
      </c>
      <c r="H733" s="4" t="n">
        <v>114</v>
      </c>
      <c r="I733" s="5" t="n">
        <v>543.9</v>
      </c>
      <c r="J733" s="4" t="n">
        <v>747.8</v>
      </c>
      <c r="K733" s="3" t="inlineStr">
        <is>
          <t>큰도로 바로 접한 토지다가구건축 추천병원,터미널가까움</t>
        </is>
      </c>
      <c r="L733" s="6">
        <f>HYPERLINK("https://fin.land.naver.com/articles/2643911189", "매물Link")</f>
        <v/>
      </c>
      <c r="M733" s="6">
        <f>HYPERLINK("https://map.naver.com/p/search/세종특별자치시 나성동 829", "지도Link")</f>
        <v/>
      </c>
      <c r="N733" s="6">
        <f>HYPERLINK("http://www.eum.go.kr/web/ar/lu/luLandDet.jsp?pnu=3611010700108290000&amp;isNoScr=script&amp;mode=search", "토지이음")</f>
        <v/>
      </c>
      <c r="O733" s="3" t="inlineStr">
        <is>
          <t>비하삼일</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세종특별자치시 나성동 829</t>
        </is>
      </c>
      <c r="B734" s="3" t="inlineStr">
        <is>
          <t>중심상업지역</t>
        </is>
      </c>
      <c r="C734" s="3" t="inlineStr">
        <is>
          <t>대</t>
        </is>
      </c>
      <c r="D734" s="3" t="inlineStr">
        <is>
          <t>전</t>
        </is>
      </c>
      <c r="E734" s="3" t="inlineStr">
        <is>
          <t>매매</t>
        </is>
      </c>
      <c r="F734" s="4" t="n">
        <v>37600</v>
      </c>
      <c r="G734" s="4" t="n">
        <v>415</v>
      </c>
      <c r="H734" s="4" t="n">
        <v>126</v>
      </c>
      <c r="I734" s="5" t="n">
        <v>298.4</v>
      </c>
      <c r="J734" s="4" t="n">
        <v>747.8</v>
      </c>
      <c r="K734" s="3" t="inlineStr">
        <is>
          <t>대도로변 도보 5분거리 다가구 건추가능</t>
        </is>
      </c>
      <c r="L734" s="6">
        <f>HYPERLINK("https://fin.land.naver.com/articles/2645066605", "매물Link")</f>
        <v/>
      </c>
      <c r="M734" s="6">
        <f>HYPERLINK("https://map.naver.com/p/search/세종특별자치시 나성동 829", "지도Link")</f>
        <v/>
      </c>
      <c r="N734" s="6">
        <f>HYPERLINK("http://www.eum.go.kr/web/ar/lu/luLandDet.jsp?pnu=3611010700108290000&amp;isNoScr=script&amp;mode=search", "토지이음")</f>
        <v/>
      </c>
      <c r="O734" s="3" t="inlineStr">
        <is>
          <t>효성</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세종특별자치시 나성동 829</t>
        </is>
      </c>
      <c r="B735" s="3" t="inlineStr">
        <is>
          <t>중심상업지역</t>
        </is>
      </c>
      <c r="C735" s="3" t="inlineStr">
        <is>
          <t>대</t>
        </is>
      </c>
      <c r="D735" s="3" t="inlineStr">
        <is>
          <t>대</t>
        </is>
      </c>
      <c r="E735" s="3" t="inlineStr">
        <is>
          <t>매매</t>
        </is>
      </c>
      <c r="F735" s="4" t="n">
        <v>95000</v>
      </c>
      <c r="G735" s="4" t="n">
        <v>314</v>
      </c>
      <c r="H735" s="4" t="n">
        <v>95</v>
      </c>
      <c r="I735" s="5" t="n">
        <v>1000</v>
      </c>
      <c r="J735" s="4" t="n">
        <v>747.8</v>
      </c>
      <c r="K735" s="3" t="inlineStr">
        <is>
          <t>상가주택 건축 적합</t>
        </is>
      </c>
      <c r="L735" s="6">
        <f>HYPERLINK("https://fin.land.naver.com/articles/2646010505", "매물Link")</f>
        <v/>
      </c>
      <c r="M735" s="6">
        <f>HYPERLINK("https://map.naver.com/p/search/세종특별자치시 나성동 829", "지도Link")</f>
        <v/>
      </c>
      <c r="N735" s="6">
        <f>HYPERLINK("http://www.eum.go.kr/web/ar/lu/luLandDet.jsp?pnu=3611010700108290000&amp;isNoScr=script&amp;mode=search", "토지이음")</f>
        <v/>
      </c>
      <c r="O735" s="3" t="inlineStr">
        <is>
          <t>케이투(k2)</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세종특별자치시 나성동 829</t>
        </is>
      </c>
      <c r="B736" s="3" t="inlineStr">
        <is>
          <t>중심상업지역</t>
        </is>
      </c>
      <c r="C736" s="3" t="inlineStr">
        <is>
          <t>대</t>
        </is>
      </c>
      <c r="D736" s="3" t="inlineStr">
        <is>
          <t>임야</t>
        </is>
      </c>
      <c r="E736" s="3" t="inlineStr">
        <is>
          <t>매매</t>
        </is>
      </c>
      <c r="F736" s="4" t="n">
        <v>80000</v>
      </c>
      <c r="G736" s="4" t="n">
        <v>1084</v>
      </c>
      <c r="H736" s="4" t="n">
        <v>328</v>
      </c>
      <c r="I736" s="5" t="n">
        <v>243.9</v>
      </c>
      <c r="J736" s="4" t="n">
        <v>747.8</v>
      </c>
      <c r="K736" s="3" t="inlineStr">
        <is>
          <t>4차선도로접</t>
        </is>
      </c>
      <c r="L736" s="6">
        <f>HYPERLINK("https://fin.land.naver.com/articles/2647016324", "매물Link")</f>
        <v/>
      </c>
      <c r="M736" s="6">
        <f>HYPERLINK("https://map.naver.com/p/search/세종특별자치시 나성동 829", "지도Link")</f>
        <v/>
      </c>
      <c r="N736" s="6">
        <f>HYPERLINK("http://www.eum.go.kr/web/ar/lu/luLandDet.jsp?pnu=3611010700108290000&amp;isNoScr=script&amp;mode=search", "토지이음")</f>
        <v/>
      </c>
      <c r="O736" s="3" t="inlineStr">
        <is>
          <t>강남</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세종특별자치시 나성동 829</t>
        </is>
      </c>
      <c r="B737" s="3" t="inlineStr">
        <is>
          <t>중심상업지역</t>
        </is>
      </c>
      <c r="C737" s="3" t="inlineStr">
        <is>
          <t>대</t>
        </is>
      </c>
      <c r="D737" s="3" t="inlineStr">
        <is>
          <t>전</t>
        </is>
      </c>
      <c r="E737" s="3" t="inlineStr">
        <is>
          <t>매매</t>
        </is>
      </c>
      <c r="F737" s="4" t="n">
        <v>240500</v>
      </c>
      <c r="G737" s="4" t="n">
        <v>2651</v>
      </c>
      <c r="H737" s="4" t="n">
        <v>802</v>
      </c>
      <c r="I737" s="5" t="n">
        <v>299.9</v>
      </c>
      <c r="J737" s="4" t="n">
        <v>747.8</v>
      </c>
      <c r="K737" s="3" t="inlineStr">
        <is>
          <t>외 1필지(도로) 82m2 포함
지상의 수목은 매매 다상에서 제외됨</t>
        </is>
      </c>
      <c r="L737" s="6">
        <f>HYPERLINK("https://fin.land.naver.com/articles/2647618882", "매물Link")</f>
        <v/>
      </c>
      <c r="M737" s="6">
        <f>HYPERLINK("https://map.naver.com/p/search/세종특별자치시 나성동 829", "지도Link")</f>
        <v/>
      </c>
      <c r="N737" s="6">
        <f>HYPERLINK("http://www.eum.go.kr/web/ar/lu/luLandDet.jsp?pnu=3611010700108290000&amp;isNoScr=script&amp;mode=search", "토지이음")</f>
        <v/>
      </c>
      <c r="O737" s="3" t="inlineStr">
        <is>
          <t>우리동네</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세종특별자치시 나성동 829</t>
        </is>
      </c>
      <c r="B738" s="3" t="inlineStr">
        <is>
          <t>중심상업지역</t>
        </is>
      </c>
      <c r="C738" s="3" t="inlineStr">
        <is>
          <t>대</t>
        </is>
      </c>
      <c r="D738" s="3" t="inlineStr">
        <is>
          <t>주차장</t>
        </is>
      </c>
      <c r="E738" s="3" t="inlineStr">
        <is>
          <t>매매</t>
        </is>
      </c>
      <c r="F738" s="4" t="n">
        <v>135000</v>
      </c>
      <c r="G738" s="4" t="n">
        <v>896</v>
      </c>
      <c r="H738" s="4" t="n">
        <v>271</v>
      </c>
      <c r="I738" s="5" t="n">
        <v>498.2</v>
      </c>
      <c r="J738" s="4" t="n">
        <v>747.8</v>
      </c>
      <c r="K738" s="3" t="inlineStr">
        <is>
          <t>청주 테크노폴리스 단지내 주차장 용지 매매</t>
        </is>
      </c>
      <c r="L738" s="6">
        <f>HYPERLINK("https://fin.land.naver.com/articles/2647648313", "매물Link")</f>
        <v/>
      </c>
      <c r="M738" s="6">
        <f>HYPERLINK("https://map.naver.com/p/search/세종특별자치시 나성동 829", "지도Link")</f>
        <v/>
      </c>
      <c r="N738" s="6">
        <f>HYPERLINK("http://www.eum.go.kr/web/ar/lu/luLandDet.jsp?pnu=3611010700108290000&amp;isNoScr=script&amp;mode=search", "토지이음")</f>
        <v/>
      </c>
      <c r="O738" s="3" t="inlineStr">
        <is>
          <t>강우림</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세종특별자치시 나성동 829</t>
        </is>
      </c>
      <c r="B739" s="3" t="inlineStr">
        <is>
          <t>중심상업지역</t>
        </is>
      </c>
      <c r="C739" s="3" t="inlineStr">
        <is>
          <t>대</t>
        </is>
      </c>
      <c r="D739" s="3" t="inlineStr">
        <is>
          <t>답</t>
        </is>
      </c>
      <c r="E739" s="3" t="inlineStr">
        <is>
          <t>매매</t>
        </is>
      </c>
      <c r="F739" s="4" t="n">
        <v>55000</v>
      </c>
      <c r="G739" s="4" t="n">
        <v>4017</v>
      </c>
      <c r="H739" s="4" t="n">
        <v>1215</v>
      </c>
      <c r="I739" s="5" t="n">
        <v>45.3</v>
      </c>
      <c r="J739" s="4" t="n">
        <v>747.8</v>
      </c>
      <c r="K739" s="3" t="inlineStr">
        <is>
          <t>신촌동 하우스 5개동</t>
        </is>
      </c>
      <c r="L739" s="6">
        <f>HYPERLINK("https://fin.land.naver.com/articles/2646287407", "매물Link")</f>
        <v/>
      </c>
      <c r="M739" s="6">
        <f>HYPERLINK("https://map.naver.com/p/search/세종특별자치시 나성동 829", "지도Link")</f>
        <v/>
      </c>
      <c r="N739" s="6">
        <f>HYPERLINK("http://www.eum.go.kr/web/ar/lu/luLandDet.jsp?pnu=3611010700108290000&amp;isNoScr=script&amp;mode=search", "토지이음")</f>
        <v/>
      </c>
      <c r="O739" s="3" t="inlineStr">
        <is>
          <t>수풀림</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세종특별자치시 나성동 829</t>
        </is>
      </c>
      <c r="B740" s="3" t="inlineStr">
        <is>
          <t>중심상업지역</t>
        </is>
      </c>
      <c r="C740" s="3" t="inlineStr">
        <is>
          <t>대</t>
        </is>
      </c>
      <c r="D740" s="3" t="inlineStr">
        <is>
          <t>답</t>
        </is>
      </c>
      <c r="E740" s="3" t="inlineStr">
        <is>
          <t>매매</t>
        </is>
      </c>
      <c r="F740" s="4" t="n">
        <v>103000</v>
      </c>
      <c r="G740" s="4" t="n">
        <v>3411</v>
      </c>
      <c r="H740" s="4" t="n">
        <v>1032</v>
      </c>
      <c r="I740" s="5" t="n">
        <v>99.8</v>
      </c>
      <c r="J740" s="4" t="n">
        <v>747.8</v>
      </c>
      <c r="K740" s="3" t="inlineStr">
        <is>
          <t>신전동 토지 매매</t>
        </is>
      </c>
      <c r="L740" s="6">
        <f>HYPERLINK("https://fin.land.naver.com/articles/2647132557", "매물Link")</f>
        <v/>
      </c>
      <c r="M740" s="6">
        <f>HYPERLINK("https://map.naver.com/p/search/세종특별자치시 나성동 829", "지도Link")</f>
        <v/>
      </c>
      <c r="N740" s="6">
        <f>HYPERLINK("http://www.eum.go.kr/web/ar/lu/luLandDet.jsp?pnu=3611010700108290000&amp;isNoScr=script&amp;mode=search", "토지이음")</f>
        <v/>
      </c>
      <c r="O740" s="3" t="inlineStr">
        <is>
          <t>사거리</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세종특별자치시 나성동 829</t>
        </is>
      </c>
      <c r="B741" s="3" t="inlineStr">
        <is>
          <t>중심상업지역</t>
        </is>
      </c>
      <c r="C741" s="3" t="inlineStr">
        <is>
          <t>대</t>
        </is>
      </c>
      <c r="D741" s="3" t="inlineStr">
        <is>
          <t>임야</t>
        </is>
      </c>
      <c r="E741" s="3" t="inlineStr">
        <is>
          <t>매매</t>
        </is>
      </c>
      <c r="F741" s="4" t="n">
        <v>17000</v>
      </c>
      <c r="G741" s="4" t="n">
        <v>396</v>
      </c>
      <c r="H741" s="4" t="n">
        <v>120</v>
      </c>
      <c r="I741" s="5" t="n">
        <v>141.7</v>
      </c>
      <c r="J741" s="4" t="n">
        <v>747.8</v>
      </c>
      <c r="K741" s="3" t="inlineStr">
        <is>
          <t>도심지에서 가까운 조성완료된 전원주택지</t>
        </is>
      </c>
      <c r="L741" s="6">
        <f>HYPERLINK("https://fin.land.naver.com/articles/2648363453", "매물Link")</f>
        <v/>
      </c>
      <c r="M741" s="6">
        <f>HYPERLINK("https://map.naver.com/p/search/세종특별자치시 나성동 829", "지도Link")</f>
        <v/>
      </c>
      <c r="N741" s="6">
        <f>HYPERLINK("http://www.eum.go.kr/web/ar/lu/luLandDet.jsp?pnu=3611010700108290000&amp;isNoScr=script&amp;mode=search", "토지이음")</f>
        <v/>
      </c>
      <c r="O741" s="3" t="inlineStr">
        <is>
          <t>명진</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세종특별자치시 나성동 829</t>
        </is>
      </c>
      <c r="B742" s="3" t="inlineStr">
        <is>
          <t>중심상업지역</t>
        </is>
      </c>
      <c r="C742" s="3" t="inlineStr">
        <is>
          <t>대</t>
        </is>
      </c>
      <c r="D742" s="3" t="inlineStr">
        <is>
          <t>답</t>
        </is>
      </c>
      <c r="E742" s="3" t="inlineStr">
        <is>
          <t>매매</t>
        </is>
      </c>
      <c r="F742" s="4" t="n">
        <v>65000</v>
      </c>
      <c r="G742" s="4" t="n">
        <v>1653</v>
      </c>
      <c r="H742" s="4" t="n">
        <v>500</v>
      </c>
      <c r="I742" s="5" t="n">
        <v>130</v>
      </c>
      <c r="J742" s="4" t="n">
        <v>747.8</v>
      </c>
      <c r="K742" s="3" t="inlineStr">
        <is>
          <t>경부 IC에서 석곡 JC  중간 지점 자연녹지</t>
        </is>
      </c>
      <c r="L742" s="6">
        <f>HYPERLINK("https://fin.land.naver.com/articles/2647363542", "매물Link")</f>
        <v/>
      </c>
      <c r="M742" s="6">
        <f>HYPERLINK("https://map.naver.com/p/search/세종특별자치시 나성동 829", "지도Link")</f>
        <v/>
      </c>
      <c r="N742" s="6">
        <f>HYPERLINK("http://www.eum.go.kr/web/ar/lu/luLandDet.jsp?pnu=3611010700108290000&amp;isNoScr=script&amp;mode=search", "토지이음")</f>
        <v/>
      </c>
      <c r="O742" s="3" t="inlineStr">
        <is>
          <t>윤</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세종특별자치시 나성동 829</t>
        </is>
      </c>
      <c r="B743" s="3" t="inlineStr">
        <is>
          <t>중심상업지역</t>
        </is>
      </c>
      <c r="C743" s="3" t="inlineStr">
        <is>
          <t>대</t>
        </is>
      </c>
      <c r="D743" s="3" t="inlineStr">
        <is>
          <t>전</t>
        </is>
      </c>
      <c r="E743" s="3" t="inlineStr">
        <is>
          <t>매매</t>
        </is>
      </c>
      <c r="F743" s="4" t="n">
        <v>40000</v>
      </c>
      <c r="G743" s="4" t="n">
        <v>296</v>
      </c>
      <c r="H743" s="4" t="n">
        <v>90</v>
      </c>
      <c r="I743" s="5" t="n">
        <v>444.4</v>
      </c>
      <c r="J743" s="4" t="n">
        <v>747.8</v>
      </c>
      <c r="K743" s="3" t="inlineStr">
        <is>
          <t>모양좋은  토지  투자</t>
        </is>
      </c>
      <c r="L743" s="6">
        <f>HYPERLINK("https://fin.land.naver.com/articles/2648123337", "매물Link")</f>
        <v/>
      </c>
      <c r="M743" s="6">
        <f>HYPERLINK("https://map.naver.com/p/search/세종특별자치시 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세종특별자치시 나성동 829</t>
        </is>
      </c>
      <c r="B744" s="3" t="inlineStr">
        <is>
          <t>중심상업지역</t>
        </is>
      </c>
      <c r="C744" s="3" t="inlineStr">
        <is>
          <t>대</t>
        </is>
      </c>
      <c r="D744" s="3" t="inlineStr">
        <is>
          <t>전</t>
        </is>
      </c>
      <c r="E744" s="3" t="inlineStr">
        <is>
          <t>매매</t>
        </is>
      </c>
      <c r="F744" s="4" t="n">
        <v>1215000</v>
      </c>
      <c r="G744" s="4" t="n">
        <v>44629</v>
      </c>
      <c r="H744" s="4" t="n">
        <v>13500</v>
      </c>
      <c r="I744" s="5" t="n">
        <v>90</v>
      </c>
      <c r="J744" s="4" t="n">
        <v>747.8</v>
      </c>
      <c r="K744" s="3" t="inlineStr">
        <is>
          <t>급매 남청주ic 5분 개발 허가 및 토목공사 완료된 저렴한 대형 토지</t>
        </is>
      </c>
      <c r="L744" s="6">
        <f>HYPERLINK("https://fin.land.naver.com/articles/2648586916", "매물Link")</f>
        <v/>
      </c>
      <c r="M744" s="6">
        <f>HYPERLINK("https://map.naver.com/p/search/세종특별자치시 나성동 829", "지도Link")</f>
        <v/>
      </c>
      <c r="N744" s="6">
        <f>HYPERLINK("http://www.eum.go.kr/web/ar/lu/luLandDet.jsp?pnu=3611010700108290000&amp;isNoScr=script&amp;mode=search", "토지이음")</f>
        <v/>
      </c>
      <c r="O744" s="3" t="inlineStr">
        <is>
          <t>더원</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세종특별자치시 나성동 829</t>
        </is>
      </c>
      <c r="B745" s="3" t="inlineStr">
        <is>
          <t>중심상업지역</t>
        </is>
      </c>
      <c r="C745" s="3" t="inlineStr">
        <is>
          <t>대</t>
        </is>
      </c>
      <c r="D745" s="3" t="inlineStr">
        <is>
          <t>답</t>
        </is>
      </c>
      <c r="E745" s="3" t="inlineStr">
        <is>
          <t>매매</t>
        </is>
      </c>
      <c r="F745" s="4" t="n">
        <v>7300</v>
      </c>
      <c r="G745" s="4" t="n">
        <v>579</v>
      </c>
      <c r="H745" s="4" t="n">
        <v>175</v>
      </c>
      <c r="I745" s="5" t="n">
        <v>41.7</v>
      </c>
      <c r="J745" s="4" t="n">
        <v>747.8</v>
      </c>
      <c r="K745" s="3" t="inlineStr">
        <is>
          <t>Point 투자 추천, 현도산단 부지 주변 국유지 접함 땅 모양 좋음</t>
        </is>
      </c>
      <c r="L745" s="6">
        <f>HYPERLINK("https://fin.land.naver.com/articles/2648629825", "매물Link")</f>
        <v/>
      </c>
      <c r="M745" s="6">
        <f>HYPERLINK("https://map.naver.com/p/search/세종특별자치시 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세종특별자치시 나성동 829</t>
        </is>
      </c>
      <c r="B746" s="3" t="inlineStr">
        <is>
          <t>중심상업지역</t>
        </is>
      </c>
      <c r="C746" s="3" t="inlineStr">
        <is>
          <t>대</t>
        </is>
      </c>
      <c r="D746" s="3" t="inlineStr">
        <is>
          <t>전</t>
        </is>
      </c>
      <c r="E746" s="3" t="inlineStr">
        <is>
          <t>매매</t>
        </is>
      </c>
      <c r="F746" s="4" t="n">
        <v>7900</v>
      </c>
      <c r="G746" s="4" t="n">
        <v>1064</v>
      </c>
      <c r="H746" s="4" t="n">
        <v>322</v>
      </c>
      <c r="I746" s="5" t="n">
        <v>24.5</v>
      </c>
      <c r="J746" s="4" t="n">
        <v>747.8</v>
      </c>
      <c r="K746" s="3" t="inlineStr">
        <is>
          <t>주말농장 농업경영</t>
        </is>
      </c>
      <c r="L746" s="6">
        <f>HYPERLINK("https://fin.land.naver.com/articles/2648936337", "매물Link")</f>
        <v/>
      </c>
      <c r="M746" s="6">
        <f>HYPERLINK("https://map.naver.com/p/search/세종특별자치시 나성동 829", "지도Link")</f>
        <v/>
      </c>
      <c r="N746" s="6">
        <f>HYPERLINK("http://www.eum.go.kr/web/ar/lu/luLandDet.jsp?pnu=3611010700108290000&amp;isNoScr=script&amp;mode=search", "토지이음")</f>
        <v/>
      </c>
      <c r="O746" s="3" t="inlineStr">
        <is>
          <t>우리동네</t>
        </is>
      </c>
      <c r="P746" s="3" t="n">
        <v>1</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세종특별자치시 나성동 829</t>
        </is>
      </c>
      <c r="B747" s="3" t="inlineStr">
        <is>
          <t>중심상업지역</t>
        </is>
      </c>
      <c r="C747" s="3" t="inlineStr">
        <is>
          <t>대</t>
        </is>
      </c>
      <c r="D747" s="3" t="inlineStr">
        <is>
          <t>전</t>
        </is>
      </c>
      <c r="E747" s="3" t="inlineStr">
        <is>
          <t>매매</t>
        </is>
      </c>
      <c r="F747" s="4" t="n">
        <v>197000</v>
      </c>
      <c r="G747" s="4" t="n">
        <v>3256</v>
      </c>
      <c r="H747" s="4" t="n">
        <v>985</v>
      </c>
      <c r="I747" s="5" t="n">
        <v>200</v>
      </c>
      <c r="J747" s="4" t="n">
        <v>747.8</v>
      </c>
      <c r="K747" s="3" t="inlineStr">
        <is>
          <t>신탄진 5분 1종일반 배산임수 정남향 청정지역 사옥 창고 전원주택 별장</t>
        </is>
      </c>
      <c r="L747" s="6">
        <f>HYPERLINK("https://fin.land.naver.com/articles/2648974854", "매물Link")</f>
        <v/>
      </c>
      <c r="M747" s="6">
        <f>HYPERLINK("https://map.naver.com/p/search/세종특별자치시 나성동 829", "지도Link")</f>
        <v/>
      </c>
      <c r="N747" s="6">
        <f>HYPERLINK("http://www.eum.go.kr/web/ar/lu/luLandDet.jsp?pnu=3611010700108290000&amp;isNoScr=script&amp;mode=search", "토지이음")</f>
        <v/>
      </c>
      <c r="O747" s="3" t="inlineStr">
        <is>
          <t>뉴태양</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세종특별자치시 나성동 829</t>
        </is>
      </c>
      <c r="B748" s="3" t="inlineStr">
        <is>
          <t>중심상업지역</t>
        </is>
      </c>
      <c r="C748" s="3" t="inlineStr">
        <is>
          <t>대</t>
        </is>
      </c>
      <c r="D748" s="3" t="inlineStr">
        <is>
          <t>전</t>
        </is>
      </c>
      <c r="E748" s="3" t="inlineStr">
        <is>
          <t>매매</t>
        </is>
      </c>
      <c r="F748" s="4" t="n">
        <v>14000</v>
      </c>
      <c r="G748" s="4" t="n">
        <v>660</v>
      </c>
      <c r="H748" s="4" t="n">
        <v>200</v>
      </c>
      <c r="I748" s="5" t="n">
        <v>70</v>
      </c>
      <c r="J748" s="4" t="n">
        <v>747.8</v>
      </c>
      <c r="K748" s="3" t="inlineStr">
        <is>
          <t>Point 포장도로 접한 대청댐 상류 수변뷰, 주말농장 추천</t>
        </is>
      </c>
      <c r="L748" s="6">
        <f>HYPERLINK("https://fin.land.naver.com/articles/2646677100", "매물Link")</f>
        <v/>
      </c>
      <c r="M748" s="6">
        <f>HYPERLINK("https://map.naver.com/p/search/세종특별자치시 나성동 829", "지도Link")</f>
        <v/>
      </c>
      <c r="N748" s="6">
        <f>HYPERLINK("http://www.eum.go.kr/web/ar/lu/luLandDet.jsp?pnu=3611010700108290000&amp;isNoScr=script&amp;mode=search", "토지이음")</f>
        <v/>
      </c>
      <c r="O748" s="3" t="inlineStr">
        <is>
          <t>도마호반</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세종특별자치시 나성동 829</t>
        </is>
      </c>
      <c r="B749" s="3" t="inlineStr">
        <is>
          <t>중심상업지역</t>
        </is>
      </c>
      <c r="C749" s="3" t="inlineStr">
        <is>
          <t>대</t>
        </is>
      </c>
      <c r="D749" s="3" t="inlineStr">
        <is>
          <t>답</t>
        </is>
      </c>
      <c r="E749" s="3" t="inlineStr">
        <is>
          <t>매매</t>
        </is>
      </c>
      <c r="F749" s="4" t="n">
        <v>12000</v>
      </c>
      <c r="G749" s="4" t="n">
        <v>762</v>
      </c>
      <c r="H749" s="4" t="n">
        <v>231</v>
      </c>
      <c r="I749" s="5" t="n">
        <v>51.9</v>
      </c>
      <c r="J749" s="4" t="n">
        <v>747.8</v>
      </c>
      <c r="K749" s="3" t="inlineStr">
        <is>
          <t>Point 대청댐 주변 수변 위치, 도로 접근성 땅 모양 좋고 양지 바름</t>
        </is>
      </c>
      <c r="L749" s="6">
        <f>HYPERLINK("https://fin.land.naver.com/articles/2646968760", "매물Link")</f>
        <v/>
      </c>
      <c r="M749" s="6">
        <f>HYPERLINK("https://map.naver.com/p/search/세종특별자치시 나성동 829", "지도Link")</f>
        <v/>
      </c>
      <c r="N749" s="6">
        <f>HYPERLINK("http://www.eum.go.kr/web/ar/lu/luLandDet.jsp?pnu=3611010700108290000&amp;isNoScr=script&amp;mode=search", "토지이음")</f>
        <v/>
      </c>
      <c r="O749" s="3" t="inlineStr">
        <is>
          <t>도마호반</t>
        </is>
      </c>
      <c r="P749" s="3" t="n">
        <v>2</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세종특별자치시 나성동 829</t>
        </is>
      </c>
      <c r="B750" s="3" t="inlineStr">
        <is>
          <t>중심상업지역</t>
        </is>
      </c>
      <c r="C750" s="3" t="inlineStr">
        <is>
          <t>대</t>
        </is>
      </c>
      <c r="D750" s="3" t="inlineStr">
        <is>
          <t>전</t>
        </is>
      </c>
      <c r="E750" s="3" t="inlineStr">
        <is>
          <t>매매</t>
        </is>
      </c>
      <c r="F750" s="4" t="n">
        <v>17700</v>
      </c>
      <c r="G750" s="4" t="n">
        <v>1501</v>
      </c>
      <c r="H750" s="4" t="n">
        <v>454</v>
      </c>
      <c r="I750" s="5" t="n">
        <v>39</v>
      </c>
      <c r="J750" s="4" t="n">
        <v>747.8</v>
      </c>
      <c r="K750" s="3" t="inlineStr">
        <is>
          <t>노산리 주말농장 밭</t>
        </is>
      </c>
      <c r="L750" s="6">
        <f>HYPERLINK("https://fin.land.naver.com/articles/2649545093", "매물Link")</f>
        <v/>
      </c>
      <c r="M750" s="6">
        <f>HYPERLINK("https://map.naver.com/p/search/세종특별자치시 나성동 829", "지도Link")</f>
        <v/>
      </c>
      <c r="N750" s="6">
        <f>HYPERLINK("http://www.eum.go.kr/web/ar/lu/luLandDet.jsp?pnu=3611010700108290000&amp;isNoScr=script&amp;mode=search", "토지이음")</f>
        <v/>
      </c>
      <c r="O750" s="3" t="inlineStr">
        <is>
          <t>우리동네</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세종특별자치시 나성동 829</t>
        </is>
      </c>
      <c r="B751" s="3" t="inlineStr">
        <is>
          <t>중심상업지역</t>
        </is>
      </c>
      <c r="C751" s="3" t="inlineStr">
        <is>
          <t>대</t>
        </is>
      </c>
      <c r="D751" s="3" t="inlineStr">
        <is>
          <t>전</t>
        </is>
      </c>
      <c r="E751" s="3" t="inlineStr">
        <is>
          <t>매매</t>
        </is>
      </c>
      <c r="F751" s="4" t="n">
        <v>15500</v>
      </c>
      <c r="G751" s="4" t="n">
        <v>1309</v>
      </c>
      <c r="H751" s="4" t="n">
        <v>396</v>
      </c>
      <c r="I751" s="5" t="n">
        <v>39.1</v>
      </c>
      <c r="J751" s="4" t="n">
        <v>747.8</v>
      </c>
      <c r="K751" s="3" t="inlineStr">
        <is>
          <t>노산리 밭</t>
        </is>
      </c>
      <c r="L751" s="6">
        <f>HYPERLINK("https://fin.land.naver.com/articles/2649545274", "매물Link")</f>
        <v/>
      </c>
      <c r="M751" s="6">
        <f>HYPERLINK("https://map.naver.com/p/search/세종특별자치시 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세종특별자치시 나성동 829</t>
        </is>
      </c>
      <c r="B752" s="3" t="inlineStr">
        <is>
          <t>중심상업지역</t>
        </is>
      </c>
      <c r="C752" s="3" t="inlineStr">
        <is>
          <t>대</t>
        </is>
      </c>
      <c r="D752" s="3" t="inlineStr">
        <is>
          <t>대</t>
        </is>
      </c>
      <c r="E752" s="3" t="inlineStr">
        <is>
          <t>매매</t>
        </is>
      </c>
      <c r="F752" s="4" t="n">
        <v>31350</v>
      </c>
      <c r="G752" s="4" t="n">
        <v>691</v>
      </c>
      <c r="H752" s="4" t="n">
        <v>209</v>
      </c>
      <c r="I752" s="5" t="n">
        <v>150</v>
      </c>
      <c r="J752" s="4" t="n">
        <v>747.8</v>
      </c>
      <c r="K752" s="3" t="inlineStr">
        <is>
          <t>현도면 구옥있음  철거후 신축가능</t>
        </is>
      </c>
      <c r="L752" s="6">
        <f>HYPERLINK("https://fin.land.naver.com/articles/2646163240", "매물Link")</f>
        <v/>
      </c>
      <c r="M752" s="6">
        <f>HYPERLINK("https://map.naver.com/p/search/세종특별자치시 나성동 829", "지도Link")</f>
        <v/>
      </c>
      <c r="N752" s="6">
        <f>HYPERLINK("http://www.eum.go.kr/web/ar/lu/luLandDet.jsp?pnu=3611010700108290000&amp;isNoScr=script&amp;mode=search", "토지이음")</f>
        <v/>
      </c>
      <c r="O752" s="3" t="inlineStr">
        <is>
          <t>더원</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세종특별자치시 나성동 829</t>
        </is>
      </c>
      <c r="B753" s="3" t="inlineStr">
        <is>
          <t>중심상업지역</t>
        </is>
      </c>
      <c r="C753" s="3" t="inlineStr">
        <is>
          <t>대</t>
        </is>
      </c>
      <c r="D753" s="3" t="inlineStr">
        <is>
          <t>대</t>
        </is>
      </c>
      <c r="E753" s="3" t="inlineStr">
        <is>
          <t>매매</t>
        </is>
      </c>
      <c r="F753" s="4" t="n">
        <v>7800</v>
      </c>
      <c r="G753" s="4" t="n">
        <v>115</v>
      </c>
      <c r="H753" s="4" t="n">
        <v>35</v>
      </c>
      <c r="I753" s="5" t="n">
        <v>222.9</v>
      </c>
      <c r="J753" s="4" t="n">
        <v>747.8</v>
      </c>
      <c r="K753" s="3" t="inlineStr">
        <is>
          <t>Point 계획관리지역, 성장관리계획구역</t>
        </is>
      </c>
      <c r="L753" s="6">
        <f>HYPERLINK("https://fin.land.naver.com/articles/2647899710", "매물Link")</f>
        <v/>
      </c>
      <c r="M753" s="6">
        <f>HYPERLINK("https://map.naver.com/p/search/세종특별자치시 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세종특별자치시 나성동 829</t>
        </is>
      </c>
      <c r="B754" s="3" t="inlineStr">
        <is>
          <t>중심상업지역</t>
        </is>
      </c>
      <c r="C754" s="3" t="inlineStr">
        <is>
          <t>대</t>
        </is>
      </c>
      <c r="D754" s="3" t="inlineStr">
        <is>
          <t>공장용지</t>
        </is>
      </c>
      <c r="E754" s="3" t="inlineStr">
        <is>
          <t>매매</t>
        </is>
      </c>
      <c r="F754" s="4" t="n">
        <v>1200000</v>
      </c>
      <c r="G754" s="4" t="n">
        <v>305730</v>
      </c>
      <c r="H754" s="4" t="n">
        <v>92483</v>
      </c>
      <c r="I754" s="5" t="n">
        <v>13</v>
      </c>
      <c r="J754" s="4" t="n">
        <v>747.8</v>
      </c>
      <c r="K754" s="3" t="inlineStr">
        <is>
          <t>남청주IC와 가까워 대형차 진출입이 편리한 곳, 현도 산업단지 인근</t>
        </is>
      </c>
      <c r="L754" s="6">
        <f>HYPERLINK("https://fin.land.naver.com/articles/2645782674", "매물Link")</f>
        <v/>
      </c>
      <c r="M754" s="6">
        <f>HYPERLINK("https://map.naver.com/p/search/세종특별자치시 나성동 829", "지도Link")</f>
        <v/>
      </c>
      <c r="N754" s="6">
        <f>HYPERLINK("http://www.eum.go.kr/web/ar/lu/luLandDet.jsp?pnu=3611010700108290000&amp;isNoScr=script&amp;mode=search", "토지이음")</f>
        <v/>
      </c>
      <c r="O754" s="3" t="inlineStr">
        <is>
          <t>(주)미르</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세종특별자치시 나성동 829</t>
        </is>
      </c>
      <c r="B755" s="3" t="inlineStr">
        <is>
          <t>중심상업지역</t>
        </is>
      </c>
      <c r="C755" s="3" t="inlineStr">
        <is>
          <t>대</t>
        </is>
      </c>
      <c r="D755" s="3" t="inlineStr">
        <is>
          <t>전</t>
        </is>
      </c>
      <c r="E755" s="3" t="inlineStr">
        <is>
          <t>매매</t>
        </is>
      </c>
      <c r="F755" s="4" t="n">
        <v>13000</v>
      </c>
      <c r="G755" s="4" t="n">
        <v>1871</v>
      </c>
      <c r="H755" s="4" t="n">
        <v>566</v>
      </c>
      <c r="I755" s="5" t="n">
        <v>23</v>
      </c>
      <c r="J755" s="4" t="n">
        <v>747.8</v>
      </c>
      <c r="K755" s="3" t="inlineStr">
        <is>
          <t>Point 조망 좋음, 대전,세종,청주 근교 주말농장용 추천, 도로있음</t>
        </is>
      </c>
      <c r="L755" s="6">
        <f>HYPERLINK("https://fin.land.naver.com/articles/2645837278", "매물Link")</f>
        <v/>
      </c>
      <c r="M755" s="6">
        <f>HYPERLINK("https://map.naver.com/p/search/세종특별자치시 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세종특별자치시 나성동 829</t>
        </is>
      </c>
      <c r="B756" s="3" t="inlineStr">
        <is>
          <t>중심상업지역</t>
        </is>
      </c>
      <c r="C756" s="3" t="inlineStr">
        <is>
          <t>대</t>
        </is>
      </c>
      <c r="D756" s="3" t="inlineStr">
        <is>
          <t>대</t>
        </is>
      </c>
      <c r="E756" s="3" t="inlineStr">
        <is>
          <t>매매</t>
        </is>
      </c>
      <c r="F756" s="4" t="n">
        <v>25000</v>
      </c>
      <c r="G756" s="4" t="n">
        <v>448</v>
      </c>
      <c r="H756" s="4" t="n">
        <v>136</v>
      </c>
      <c r="I756" s="5" t="n">
        <v>183.8</v>
      </c>
      <c r="J756" s="4" t="n">
        <v>747.8</v>
      </c>
      <c r="K756" s="3" t="inlineStr">
        <is>
          <t>터 좋은 대지 신탄진 5분거리</t>
        </is>
      </c>
      <c r="L756" s="6">
        <f>HYPERLINK("https://fin.land.naver.com/articles/2646088553", "매물Link")</f>
        <v/>
      </c>
      <c r="M756" s="6">
        <f>HYPERLINK("https://map.naver.com/p/search/세종특별자치시 나성동 829", "지도Link")</f>
        <v/>
      </c>
      <c r="N756" s="6">
        <f>HYPERLINK("http://www.eum.go.kr/web/ar/lu/luLandDet.jsp?pnu=3611010700108290000&amp;isNoScr=script&amp;mode=search", "토지이음")</f>
        <v/>
      </c>
      <c r="O756" s="3" t="inlineStr">
        <is>
          <t>우리동네</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세종특별자치시 나성동 829</t>
        </is>
      </c>
      <c r="B757" s="3" t="inlineStr">
        <is>
          <t>중심상업지역</t>
        </is>
      </c>
      <c r="C757" s="3" t="inlineStr">
        <is>
          <t>대</t>
        </is>
      </c>
      <c r="D757" s="3" t="inlineStr">
        <is>
          <t>전</t>
        </is>
      </c>
      <c r="E757" s="3" t="inlineStr">
        <is>
          <t>매매</t>
        </is>
      </c>
      <c r="F757" s="4" t="n">
        <v>26900</v>
      </c>
      <c r="G757" s="4" t="n">
        <v>2963</v>
      </c>
      <c r="H757" s="4" t="n">
        <v>896</v>
      </c>
      <c r="I757" s="5" t="n">
        <v>30</v>
      </c>
      <c r="J757" s="4" t="n">
        <v>747.8</v>
      </c>
      <c r="K757" s="3" t="inlineStr">
        <is>
          <t>다육,과수,화원등 추천</t>
        </is>
      </c>
      <c r="L757" s="6">
        <f>HYPERLINK("https://fin.land.naver.com/articles/2646091811", "매물Link")</f>
        <v/>
      </c>
      <c r="M757" s="6">
        <f>HYPERLINK("https://map.naver.com/p/search/세종특별자치시 나성동 829", "지도Link")</f>
        <v/>
      </c>
      <c r="N757" s="6">
        <f>HYPERLINK("http://www.eum.go.kr/web/ar/lu/luLandDet.jsp?pnu=3611010700108290000&amp;isNoScr=script&amp;mode=search", "토지이음")</f>
        <v/>
      </c>
      <c r="O757" s="3" t="inlineStr">
        <is>
          <t>우리동네</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세종특별자치시 나성동 829</t>
        </is>
      </c>
      <c r="B758" s="3" t="inlineStr">
        <is>
          <t>중심상업지역</t>
        </is>
      </c>
      <c r="C758" s="3" t="inlineStr">
        <is>
          <t>대</t>
        </is>
      </c>
      <c r="D758" s="3" t="inlineStr">
        <is>
          <t>전</t>
        </is>
      </c>
      <c r="E758" s="3" t="inlineStr">
        <is>
          <t>매매</t>
        </is>
      </c>
      <c r="F758" s="4" t="n">
        <v>8900</v>
      </c>
      <c r="G758" s="4" t="n">
        <v>1038</v>
      </c>
      <c r="H758" s="4" t="n">
        <v>314</v>
      </c>
      <c r="I758" s="5" t="n">
        <v>28.3</v>
      </c>
      <c r="J758" s="4" t="n">
        <v>747.8</v>
      </c>
      <c r="K758" s="3" t="inlineStr">
        <is>
          <t>Point 과수원 추천, 대토, 농지원부, 구거 접함, 진입포장도로 연결</t>
        </is>
      </c>
      <c r="L758" s="6">
        <f>HYPERLINK("https://fin.land.naver.com/articles/2646504175", "매물Link")</f>
        <v/>
      </c>
      <c r="M758" s="6">
        <f>HYPERLINK("https://map.naver.com/p/search/세종특별자치시 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세종특별자치시 나성동 829</t>
        </is>
      </c>
      <c r="B759" s="3" t="inlineStr">
        <is>
          <t>중심상업지역</t>
        </is>
      </c>
      <c r="C759" s="3" t="inlineStr">
        <is>
          <t>대</t>
        </is>
      </c>
      <c r="D759" s="3" t="inlineStr">
        <is>
          <t>전</t>
        </is>
      </c>
      <c r="E759" s="3" t="inlineStr">
        <is>
          <t>매매</t>
        </is>
      </c>
      <c r="F759" s="4" t="n">
        <v>19000</v>
      </c>
      <c r="G759" s="4" t="n">
        <v>2169</v>
      </c>
      <c r="H759" s="4" t="n">
        <v>656</v>
      </c>
      <c r="I759" s="5" t="n">
        <v>29</v>
      </c>
      <c r="J759" s="4" t="n">
        <v>747.8</v>
      </c>
      <c r="K759" s="3" t="inlineStr">
        <is>
          <t>Point 양지바르고 땅이 좋음, 농지원부용, 현황도로 접함</t>
        </is>
      </c>
      <c r="L759" s="6">
        <f>HYPERLINK("https://fin.land.naver.com/articles/2646676849", "매물Link")</f>
        <v/>
      </c>
      <c r="M759" s="6">
        <f>HYPERLINK("https://map.naver.com/p/search/세종특별자치시 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세종특별자치시 나성동 829</t>
        </is>
      </c>
      <c r="B760" s="3" t="inlineStr">
        <is>
          <t>중심상업지역</t>
        </is>
      </c>
      <c r="C760" s="3" t="inlineStr">
        <is>
          <t>대</t>
        </is>
      </c>
      <c r="D760" s="3" t="inlineStr">
        <is>
          <t>답</t>
        </is>
      </c>
      <c r="E760" s="3" t="inlineStr">
        <is>
          <t>매매</t>
        </is>
      </c>
      <c r="F760" s="4" t="n">
        <v>21300</v>
      </c>
      <c r="G760" s="4" t="n">
        <v>2003</v>
      </c>
      <c r="H760" s="4" t="n">
        <v>606</v>
      </c>
      <c r="I760" s="5" t="n">
        <v>35.1</v>
      </c>
      <c r="J760" s="4" t="n">
        <v>747.8</v>
      </c>
      <c r="K760" s="3" t="inlineStr">
        <is>
          <t>Point 지적상 도로 접함, 땅 모양 좋음, 주말농장용 추천</t>
        </is>
      </c>
      <c r="L760" s="6">
        <f>HYPERLINK("https://fin.land.naver.com/articles/2646676877", "매물Link")</f>
        <v/>
      </c>
      <c r="M760" s="6">
        <f>HYPERLINK("https://map.naver.com/p/search/세종특별자치시 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세종특별자치시 나성동 829</t>
        </is>
      </c>
      <c r="B761" s="3" t="inlineStr">
        <is>
          <t>중심상업지역</t>
        </is>
      </c>
      <c r="C761" s="3" t="inlineStr">
        <is>
          <t>대</t>
        </is>
      </c>
      <c r="D761" s="3" t="inlineStr">
        <is>
          <t>임야</t>
        </is>
      </c>
      <c r="E761" s="3" t="inlineStr">
        <is>
          <t>매매</t>
        </is>
      </c>
      <c r="F761" s="4" t="n">
        <v>14500</v>
      </c>
      <c r="G761" s="4" t="n">
        <v>2202</v>
      </c>
      <c r="H761" s="4" t="n">
        <v>666</v>
      </c>
      <c r="I761" s="5" t="n">
        <v>21.8</v>
      </c>
      <c r="J761" s="4" t="n">
        <v>747.8</v>
      </c>
      <c r="K761" s="3" t="inlineStr">
        <is>
          <t>Point 세종, 대전 근교,산세 좋음, 진입도로가 있어서 접근성이 좋음</t>
        </is>
      </c>
      <c r="L761" s="6">
        <f>HYPERLINK("https://fin.land.naver.com/articles/2646676967", "매물Link")</f>
        <v/>
      </c>
      <c r="M761" s="6">
        <f>HYPERLINK("https://map.naver.com/p/search/세종특별자치시 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세종특별자치시 나성동 829</t>
        </is>
      </c>
      <c r="B762" s="3" t="inlineStr">
        <is>
          <t>중심상업지역</t>
        </is>
      </c>
      <c r="C762" s="3" t="inlineStr">
        <is>
          <t>대</t>
        </is>
      </c>
      <c r="D762" s="3" t="inlineStr">
        <is>
          <t>전</t>
        </is>
      </c>
      <c r="E762" s="3" t="inlineStr">
        <is>
          <t>매매</t>
        </is>
      </c>
      <c r="F762" s="4" t="n">
        <v>5200</v>
      </c>
      <c r="G762" s="4" t="n">
        <v>631</v>
      </c>
      <c r="H762" s="4" t="n">
        <v>191</v>
      </c>
      <c r="I762" s="5" t="n">
        <v>27.2</v>
      </c>
      <c r="J762" s="4" t="n">
        <v>747.8</v>
      </c>
      <c r="K762" s="3" t="inlineStr">
        <is>
          <t>Point 주말농장용, 주말농장용, 도로 접근 가능</t>
        </is>
      </c>
      <c r="L762" s="6">
        <f>HYPERLINK("https://fin.land.naver.com/articles/2646677031", "매물Link")</f>
        <v/>
      </c>
      <c r="M762" s="6">
        <f>HYPERLINK("https://map.naver.com/p/search/세종특별자치시 나성동 829", "지도Link")</f>
        <v/>
      </c>
      <c r="N762" s="6">
        <f>HYPERLINK("http://www.eum.go.kr/web/ar/lu/luLandDet.jsp?pnu=3611010700108290000&amp;isNoScr=script&amp;mode=search", "토지이음")</f>
        <v/>
      </c>
      <c r="O762" s="3" t="inlineStr">
        <is>
          <t>도마호반</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세종특별자치시 나성동 829</t>
        </is>
      </c>
      <c r="B763" s="3" t="inlineStr">
        <is>
          <t>중심상업지역</t>
        </is>
      </c>
      <c r="C763" s="3" t="inlineStr">
        <is>
          <t>대</t>
        </is>
      </c>
      <c r="D763" s="3" t="inlineStr">
        <is>
          <t>답</t>
        </is>
      </c>
      <c r="E763" s="3" t="inlineStr">
        <is>
          <t>매매</t>
        </is>
      </c>
      <c r="F763" s="4" t="n">
        <v>22000</v>
      </c>
      <c r="G763" s="4" t="n">
        <v>943</v>
      </c>
      <c r="H763" s="4" t="n">
        <v>285</v>
      </c>
      <c r="I763" s="5" t="n">
        <v>77.2</v>
      </c>
      <c r="J763" s="4" t="n">
        <v>747.8</v>
      </c>
      <c r="K763" s="3" t="inlineStr">
        <is>
          <t>Point 투자용,창고부지,전원주택용지추천,도로접,활용도 높은 저렴한토지</t>
        </is>
      </c>
      <c r="L763" s="6">
        <f>HYPERLINK("https://fin.land.naver.com/articles/2646677053", "매물Link")</f>
        <v/>
      </c>
      <c r="M763" s="6">
        <f>HYPERLINK("https://map.naver.com/p/search/세종특별자치시 나성동 829", "지도Link")</f>
        <v/>
      </c>
      <c r="N763" s="6">
        <f>HYPERLINK("http://www.eum.go.kr/web/ar/lu/luLandDet.jsp?pnu=3611010700108290000&amp;isNoScr=script&amp;mode=search", "토지이음")</f>
        <v/>
      </c>
      <c r="O763" s="3" t="inlineStr">
        <is>
          <t>도마호반</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세종특별자치시 나성동 829</t>
        </is>
      </c>
      <c r="B764" s="3" t="inlineStr">
        <is>
          <t>중심상업지역</t>
        </is>
      </c>
      <c r="C764" s="3" t="inlineStr">
        <is>
          <t>대</t>
        </is>
      </c>
      <c r="D764" s="3" t="inlineStr">
        <is>
          <t>답</t>
        </is>
      </c>
      <c r="E764" s="3" t="inlineStr">
        <is>
          <t>매매</t>
        </is>
      </c>
      <c r="F764" s="4" t="n">
        <v>36000</v>
      </c>
      <c r="G764" s="4" t="n">
        <v>1170</v>
      </c>
      <c r="H764" s="4" t="n">
        <v>354</v>
      </c>
      <c r="I764" s="5" t="n">
        <v>101.7</v>
      </c>
      <c r="J764" s="4" t="n">
        <v>747.8</v>
      </c>
      <c r="K764" s="3" t="inlineStr">
        <is>
          <t>Point 농지원부용, 주말농장, 투자용</t>
        </is>
      </c>
      <c r="L764" s="6">
        <f>HYPERLINK("https://fin.land.naver.com/articles/2646677119", "매물Link")</f>
        <v/>
      </c>
      <c r="M764" s="6">
        <f>HYPERLINK("https://map.naver.com/p/search/세종특별자치시 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세종특별자치시 나성동 829</t>
        </is>
      </c>
      <c r="B765" s="3" t="inlineStr">
        <is>
          <t>중심상업지역</t>
        </is>
      </c>
      <c r="C765" s="3" t="inlineStr">
        <is>
          <t>대</t>
        </is>
      </c>
      <c r="D765" s="3" t="inlineStr">
        <is>
          <t>답</t>
        </is>
      </c>
      <c r="E765" s="3" t="inlineStr">
        <is>
          <t>매매</t>
        </is>
      </c>
      <c r="F765" s="4" t="n">
        <v>52000</v>
      </c>
      <c r="G765" s="4" t="n">
        <v>1893</v>
      </c>
      <c r="H765" s="4" t="n">
        <v>573</v>
      </c>
      <c r="I765" s="5" t="n">
        <v>90.8</v>
      </c>
      <c r="J765" s="4" t="n">
        <v>747.8</v>
      </c>
      <c r="K765" s="3" t="inlineStr">
        <is>
          <t>Point 집입도로 있고, 공장, 창고 추천, 시세보다 저렴</t>
        </is>
      </c>
      <c r="L765" s="6">
        <f>HYPERLINK("https://fin.land.naver.com/articles/2646677149", "매물Link")</f>
        <v/>
      </c>
      <c r="M765" s="6">
        <f>HYPERLINK("https://map.naver.com/p/search/세종특별자치시 나성동 829", "지도Link")</f>
        <v/>
      </c>
      <c r="N765" s="6">
        <f>HYPERLINK("http://www.eum.go.kr/web/ar/lu/luLandDet.jsp?pnu=3611010700108290000&amp;isNoScr=script&amp;mode=search", "토지이음")</f>
        <v/>
      </c>
      <c r="O765" s="3" t="inlineStr">
        <is>
          <t>도마호반</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세종특별자치시 나성동 829</t>
        </is>
      </c>
      <c r="B766" s="3" t="inlineStr">
        <is>
          <t>중심상업지역</t>
        </is>
      </c>
      <c r="C766" s="3" t="inlineStr">
        <is>
          <t>대</t>
        </is>
      </c>
      <c r="D766" s="3" t="inlineStr">
        <is>
          <t>답</t>
        </is>
      </c>
      <c r="E766" s="3" t="inlineStr">
        <is>
          <t>매매</t>
        </is>
      </c>
      <c r="F766" s="4" t="n">
        <v>19500</v>
      </c>
      <c r="G766" s="4" t="n">
        <v>3663</v>
      </c>
      <c r="H766" s="4" t="n">
        <v>1108</v>
      </c>
      <c r="I766" s="5" t="n">
        <v>17.6</v>
      </c>
      <c r="J766" s="4" t="n">
        <v>747.8</v>
      </c>
      <c r="K766" s="3" t="inlineStr">
        <is>
          <t>Point 자연인 추천 토지, 구거 접함, 청정지역</t>
        </is>
      </c>
      <c r="L766" s="6">
        <f>HYPERLINK("https://fin.land.naver.com/articles/2646814699", "매물Link")</f>
        <v/>
      </c>
      <c r="M766" s="6">
        <f>HYPERLINK("https://map.naver.com/p/search/세종특별자치시 나성동 829", "지도Link")</f>
        <v/>
      </c>
      <c r="N766" s="6">
        <f>HYPERLINK("http://www.eum.go.kr/web/ar/lu/luLandDet.jsp?pnu=3611010700108290000&amp;isNoScr=script&amp;mode=search", "토지이음")</f>
        <v/>
      </c>
      <c r="O766" s="3" t="inlineStr">
        <is>
          <t>도마호반</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세종특별자치시 나성동 829</t>
        </is>
      </c>
      <c r="B767" s="3" t="inlineStr">
        <is>
          <t>중심상업지역</t>
        </is>
      </c>
      <c r="C767" s="3" t="inlineStr">
        <is>
          <t>대</t>
        </is>
      </c>
      <c r="D767" s="3" t="inlineStr">
        <is>
          <t>대</t>
        </is>
      </c>
      <c r="E767" s="3" t="inlineStr">
        <is>
          <t>매매</t>
        </is>
      </c>
      <c r="F767" s="4" t="n">
        <v>1400000</v>
      </c>
      <c r="G767" s="4" t="n">
        <v>92562</v>
      </c>
      <c r="H767" s="4" t="n">
        <v>28000</v>
      </c>
      <c r="I767" s="5" t="n">
        <v>50</v>
      </c>
      <c r="J767" s="4" t="n">
        <v>747.8</v>
      </c>
      <c r="K767" s="3" t="inlineStr">
        <is>
          <t>2차선도로접 나대지 남청주ic 5분거리 물류창고추천</t>
        </is>
      </c>
      <c r="L767" s="6">
        <f>HYPERLINK("https://fin.land.naver.com/articles/2647750720", "매물Link")</f>
        <v/>
      </c>
      <c r="M767" s="6">
        <f>HYPERLINK("https://map.naver.com/p/search/세종특별자치시 나성동 829", "지도Link")</f>
        <v/>
      </c>
      <c r="N767" s="6">
        <f>HYPERLINK("http://www.eum.go.kr/web/ar/lu/luLandDet.jsp?pnu=3611010700108290000&amp;isNoScr=script&amp;mode=search", "토지이음")</f>
        <v/>
      </c>
      <c r="O767" s="3" t="inlineStr">
        <is>
          <t>플러스태양</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세종특별자치시 나성동 829</t>
        </is>
      </c>
      <c r="B768" s="3" t="inlineStr">
        <is>
          <t>중심상업지역</t>
        </is>
      </c>
      <c r="C768" s="3" t="inlineStr">
        <is>
          <t>대</t>
        </is>
      </c>
      <c r="D768" s="3" t="inlineStr">
        <is>
          <t>전</t>
        </is>
      </c>
      <c r="E768" s="3" t="inlineStr">
        <is>
          <t>매매</t>
        </is>
      </c>
      <c r="F768" s="4" t="n">
        <v>17250</v>
      </c>
      <c r="G768" s="4" t="n">
        <v>1501</v>
      </c>
      <c r="H768" s="4" t="n">
        <v>454</v>
      </c>
      <c r="I768" s="5" t="n">
        <v>38</v>
      </c>
      <c r="J768" s="4" t="n">
        <v>747.8</v>
      </c>
      <c r="K768" s="3" t="inlineStr">
        <is>
          <t>노산리 토지 매매, 신탄진네거리에서 차량으로 5분 거리</t>
        </is>
      </c>
      <c r="L768" s="6">
        <f>HYPERLINK("https://fin.land.naver.com/articles/2645703848", "매물Link")</f>
        <v/>
      </c>
      <c r="M768" s="6">
        <f>HYPERLINK("https://map.naver.com/p/search/세종특별자치시 나성동 829", "지도Link")</f>
        <v/>
      </c>
      <c r="N768" s="6">
        <f>HYPERLINK("http://www.eum.go.kr/web/ar/lu/luLandDet.jsp?pnu=3611010700108290000&amp;isNoScr=script&amp;mode=search", "토지이음")</f>
        <v/>
      </c>
      <c r="O768" s="3" t="inlineStr">
        <is>
          <t>대지</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세종특별자치시 나성동 829</t>
        </is>
      </c>
      <c r="B769" s="3" t="inlineStr">
        <is>
          <t>중심상업지역</t>
        </is>
      </c>
      <c r="C769" s="3" t="inlineStr">
        <is>
          <t>대</t>
        </is>
      </c>
      <c r="D769" s="3" t="inlineStr">
        <is>
          <t>전</t>
        </is>
      </c>
      <c r="E769" s="3" t="inlineStr">
        <is>
          <t>매매</t>
        </is>
      </c>
      <c r="F769" s="4" t="n">
        <v>35000</v>
      </c>
      <c r="G769" s="4" t="n">
        <v>2585</v>
      </c>
      <c r="H769" s="4" t="n">
        <v>782</v>
      </c>
      <c r="I769" s="5" t="n">
        <v>44.8</v>
      </c>
      <c r="J769" s="4" t="n">
        <v>747.8</v>
      </c>
      <c r="K769" s="3" t="inlineStr">
        <is>
          <t>수도.전기,농막설치됨</t>
        </is>
      </c>
      <c r="L769" s="6">
        <f>HYPERLINK("https://fin.land.naver.com/articles/2644476078", "매물Link")</f>
        <v/>
      </c>
      <c r="M769" s="6">
        <f>HYPERLINK("https://map.naver.com/p/search/세종특별자치시 나성동 829", "지도Link")</f>
        <v/>
      </c>
      <c r="N769" s="6">
        <f>HYPERLINK("http://www.eum.go.kr/web/ar/lu/luLandDet.jsp?pnu=3611010700108290000&amp;isNoScr=script&amp;mode=search", "토지이음")</f>
        <v/>
      </c>
      <c r="O769" s="3" t="inlineStr">
        <is>
          <t>남청주ic합동무소</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세종특별자치시 나성동 829</t>
        </is>
      </c>
      <c r="B770" s="3" t="inlineStr">
        <is>
          <t>중심상업지역</t>
        </is>
      </c>
      <c r="C770" s="3" t="inlineStr">
        <is>
          <t>대</t>
        </is>
      </c>
      <c r="D770" s="3" t="inlineStr">
        <is>
          <t>답</t>
        </is>
      </c>
      <c r="E770" s="3" t="inlineStr">
        <is>
          <t>매매</t>
        </is>
      </c>
      <c r="F770" s="4" t="n">
        <v>52000</v>
      </c>
      <c r="G770" s="4" t="n">
        <v>4988</v>
      </c>
      <c r="H770" s="4" t="n">
        <v>1509</v>
      </c>
      <c r="I770" s="5" t="n">
        <v>34.5</v>
      </c>
      <c r="J770" s="4" t="n">
        <v>747.8</v>
      </c>
      <c r="K770" s="3" t="inlineStr">
        <is>
          <t>농림지역 도로접한 좋은토지 전답 두필지 매매</t>
        </is>
      </c>
      <c r="L770" s="6">
        <f>HYPERLINK("https://fin.land.naver.com/articles/2647067982", "매물Link")</f>
        <v/>
      </c>
      <c r="M770" s="6">
        <f>HYPERLINK("https://map.naver.com/p/search/세종특별자치시 나성동 829", "지도Link")</f>
        <v/>
      </c>
      <c r="N770" s="6">
        <f>HYPERLINK("http://www.eum.go.kr/web/ar/lu/luLandDet.jsp?pnu=3611010700108290000&amp;isNoScr=script&amp;mode=search", "토지이음")</f>
        <v/>
      </c>
      <c r="O770" s="3" t="inlineStr">
        <is>
          <t>방서비타민</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세종특별자치시 나성동 829</t>
        </is>
      </c>
      <c r="B771" s="3" t="inlineStr">
        <is>
          <t>중심상업지역</t>
        </is>
      </c>
      <c r="C771" s="3" t="inlineStr">
        <is>
          <t>대</t>
        </is>
      </c>
      <c r="D771" s="3" t="inlineStr">
        <is>
          <t>전</t>
        </is>
      </c>
      <c r="E771" s="3" t="inlineStr">
        <is>
          <t>매매</t>
        </is>
      </c>
      <c r="F771" s="4" t="n">
        <v>46000</v>
      </c>
      <c r="G771" s="4" t="n">
        <v>942</v>
      </c>
      <c r="H771" s="4" t="n">
        <v>285</v>
      </c>
      <c r="I771" s="5" t="n">
        <v>161.4</v>
      </c>
      <c r="J771" s="4" t="n">
        <v>747.8</v>
      </c>
      <c r="K771" s="3" t="inlineStr">
        <is>
          <t>석판리 전망 좋은 토지 매매</t>
        </is>
      </c>
      <c r="L771" s="6">
        <f>HYPERLINK("https://fin.land.naver.com/articles/2647110764", "매물Link")</f>
        <v/>
      </c>
      <c r="M771" s="6">
        <f>HYPERLINK("https://map.naver.com/p/search/세종특별자치시 나성동 829", "지도Link")</f>
        <v/>
      </c>
      <c r="N771" s="6">
        <f>HYPERLINK("http://www.eum.go.kr/web/ar/lu/luLandDet.jsp?pnu=3611010700108290000&amp;isNoScr=script&amp;mode=search", "토지이음")</f>
        <v/>
      </c>
      <c r="O771" s="3" t="inlineStr">
        <is>
          <t>삼성사무소</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세종특별자치시 나성동 829</t>
        </is>
      </c>
      <c r="B772" s="3" t="inlineStr">
        <is>
          <t>중심상업지역</t>
        </is>
      </c>
      <c r="C772" s="3" t="inlineStr">
        <is>
          <t>대</t>
        </is>
      </c>
      <c r="D772" s="3" t="inlineStr">
        <is>
          <t>답</t>
        </is>
      </c>
      <c r="E772" s="3" t="inlineStr">
        <is>
          <t>매매</t>
        </is>
      </c>
      <c r="F772" s="4" t="n">
        <v>286000</v>
      </c>
      <c r="G772" s="4" t="n">
        <v>4720</v>
      </c>
      <c r="H772" s="4" t="n">
        <v>1428</v>
      </c>
      <c r="I772" s="5" t="n">
        <v>200.3</v>
      </c>
      <c r="J772" s="4" t="n">
        <v>747.8</v>
      </c>
      <c r="K772" s="3" t="inlineStr">
        <is>
          <t>nan</t>
        </is>
      </c>
      <c r="L772" s="6">
        <f>HYPERLINK("https://fin.land.naver.com/articles/2647309703", "매물Link")</f>
        <v/>
      </c>
      <c r="M772" s="6">
        <f>HYPERLINK("https://map.naver.com/p/search/세종특별자치시 나성동 829", "지도Link")</f>
        <v/>
      </c>
      <c r="N772" s="6">
        <f>HYPERLINK("http://www.eum.go.kr/web/ar/lu/luLandDet.jsp?pnu=3611010700108290000&amp;isNoScr=script&amp;mode=search", "토지이음")</f>
        <v/>
      </c>
      <c r="O772" s="3" t="inlineStr">
        <is>
          <t>황금</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세종특별자치시 나성동 829</t>
        </is>
      </c>
      <c r="B773" s="3" t="inlineStr">
        <is>
          <t>중심상업지역</t>
        </is>
      </c>
      <c r="C773" s="3" t="inlineStr">
        <is>
          <t>대</t>
        </is>
      </c>
      <c r="D773" s="3" t="inlineStr">
        <is>
          <t>답</t>
        </is>
      </c>
      <c r="E773" s="3" t="inlineStr">
        <is>
          <t>매매</t>
        </is>
      </c>
      <c r="F773" s="4" t="n">
        <v>44000</v>
      </c>
      <c r="G773" s="4" t="n">
        <v>4568</v>
      </c>
      <c r="H773" s="4" t="n">
        <v>1382</v>
      </c>
      <c r="I773" s="5" t="n">
        <v>31.8</v>
      </c>
      <c r="J773" s="4" t="n">
        <v>747.8</v>
      </c>
      <c r="K773" s="3" t="inlineStr">
        <is>
          <t>전원주택 지로 추천합니다</t>
        </is>
      </c>
      <c r="L773" s="6">
        <f>HYPERLINK("https://fin.land.naver.com/articles/2647310736", "매물Link")</f>
        <v/>
      </c>
      <c r="M773" s="6">
        <f>HYPERLINK("https://map.naver.com/p/search/세종특별자치시 나성동 829", "지도Link")</f>
        <v/>
      </c>
      <c r="N773" s="6">
        <f>HYPERLINK("http://www.eum.go.kr/web/ar/lu/luLandDet.jsp?pnu=3611010700108290000&amp;isNoScr=script&amp;mode=search", "토지이음")</f>
        <v/>
      </c>
      <c r="O773" s="3" t="inlineStr">
        <is>
          <t>황금</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세종특별자치시 나성동 829</t>
        </is>
      </c>
      <c r="B774" s="3" t="inlineStr">
        <is>
          <t>중심상업지역</t>
        </is>
      </c>
      <c r="C774" s="3" t="inlineStr">
        <is>
          <t>대</t>
        </is>
      </c>
      <c r="D774" s="3" t="inlineStr">
        <is>
          <t>답</t>
        </is>
      </c>
      <c r="E774" s="3" t="inlineStr">
        <is>
          <t>매매</t>
        </is>
      </c>
      <c r="F774" s="4" t="n">
        <v>160000</v>
      </c>
      <c r="G774" s="4" t="n">
        <v>917</v>
      </c>
      <c r="H774" s="4" t="n">
        <v>277</v>
      </c>
      <c r="I774" s="5" t="n">
        <v>577.6</v>
      </c>
      <c r="J774" s="4" t="n">
        <v>747.8</v>
      </c>
      <c r="K774" s="3" t="inlineStr">
        <is>
          <t>nan</t>
        </is>
      </c>
      <c r="L774" s="6">
        <f>HYPERLINK("https://fin.land.naver.com/articles/2647470269", "매물Link")</f>
        <v/>
      </c>
      <c r="M774" s="6">
        <f>HYPERLINK("https://map.naver.com/p/search/세종특별자치시 나성동 829", "지도Link")</f>
        <v/>
      </c>
      <c r="N774" s="6">
        <f>HYPERLINK("http://www.eum.go.kr/web/ar/lu/luLandDet.jsp?pnu=3611010700108290000&amp;isNoScr=script&amp;mode=search", "토지이음")</f>
        <v/>
      </c>
      <c r="O774" s="3" t="inlineStr">
        <is>
          <t>좋은터</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세종특별자치시 나성동 829</t>
        </is>
      </c>
      <c r="B775" s="3" t="inlineStr">
        <is>
          <t>중심상업지역</t>
        </is>
      </c>
      <c r="C775" s="3" t="inlineStr">
        <is>
          <t>대</t>
        </is>
      </c>
      <c r="D775" s="3" t="inlineStr">
        <is>
          <t>대</t>
        </is>
      </c>
      <c r="E775" s="3" t="inlineStr">
        <is>
          <t>매매</t>
        </is>
      </c>
      <c r="F775" s="4" t="n">
        <v>425000</v>
      </c>
      <c r="G775" s="4" t="n">
        <v>4693</v>
      </c>
      <c r="H775" s="4" t="n">
        <v>1420</v>
      </c>
      <c r="I775" s="5" t="n">
        <v>299.3</v>
      </c>
      <c r="J775" s="4" t="n">
        <v>747.8</v>
      </c>
      <c r="K775" s="3" t="inlineStr">
        <is>
          <t>nan</t>
        </is>
      </c>
      <c r="L775" s="6">
        <f>HYPERLINK("https://fin.land.naver.com/articles/2647471399", "매물Link")</f>
        <v/>
      </c>
      <c r="M775" s="6">
        <f>HYPERLINK("https://map.naver.com/p/search/세종특별자치시 나성동 829", "지도Link")</f>
        <v/>
      </c>
      <c r="N775" s="6">
        <f>HYPERLINK("http://www.eum.go.kr/web/ar/lu/luLandDet.jsp?pnu=3611010700108290000&amp;isNoScr=script&amp;mode=search", "토지이음")</f>
        <v/>
      </c>
      <c r="O775" s="3" t="inlineStr">
        <is>
          <t>좋은터</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세종특별자치시 나성동 829</t>
        </is>
      </c>
      <c r="B776" s="3" t="inlineStr">
        <is>
          <t>중심상업지역</t>
        </is>
      </c>
      <c r="C776" s="3" t="inlineStr">
        <is>
          <t>대</t>
        </is>
      </c>
      <c r="D776" s="3" t="inlineStr">
        <is>
          <t>답</t>
        </is>
      </c>
      <c r="E776" s="3" t="inlineStr">
        <is>
          <t>매매</t>
        </is>
      </c>
      <c r="F776" s="4" t="n">
        <v>23500</v>
      </c>
      <c r="G776" s="4" t="n">
        <v>1028</v>
      </c>
      <c r="H776" s="4" t="n">
        <v>311</v>
      </c>
      <c r="I776" s="5" t="n">
        <v>75.59999999999999</v>
      </c>
      <c r="J776" s="4" t="n">
        <v>747.8</v>
      </c>
      <c r="K776" s="3" t="inlineStr">
        <is>
          <t>남이면 수대리 토지매매</t>
        </is>
      </c>
      <c r="L776" s="6">
        <f>HYPERLINK("https://fin.land.naver.com/articles/2647565268", "매물Link")</f>
        <v/>
      </c>
      <c r="M776" s="6">
        <f>HYPERLINK("https://map.naver.com/p/search/세종특별자치시 나성동 829", "지도Link")</f>
        <v/>
      </c>
      <c r="N776" s="6">
        <f>HYPERLINK("http://www.eum.go.kr/web/ar/lu/luLandDet.jsp?pnu=3611010700108290000&amp;isNoScr=script&amp;mode=search", "토지이음")</f>
        <v/>
      </c>
      <c r="O776" s="3" t="inlineStr">
        <is>
          <t>진</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세종특별자치시 나성동 829</t>
        </is>
      </c>
      <c r="B777" s="3" t="inlineStr">
        <is>
          <t>중심상업지역</t>
        </is>
      </c>
      <c r="C777" s="3" t="inlineStr">
        <is>
          <t>대</t>
        </is>
      </c>
      <c r="D777" s="3" t="inlineStr">
        <is>
          <t>답</t>
        </is>
      </c>
      <c r="E777" s="3" t="inlineStr">
        <is>
          <t>매매</t>
        </is>
      </c>
      <c r="F777" s="4" t="n">
        <v>178777</v>
      </c>
      <c r="G777" s="4" t="n">
        <v>3940</v>
      </c>
      <c r="H777" s="4" t="n">
        <v>1192</v>
      </c>
      <c r="I777" s="5" t="n">
        <v>150</v>
      </c>
      <c r="J777" s="4" t="n">
        <v>747.8</v>
      </c>
      <c r="K777" s="3" t="inlineStr">
        <is>
          <t>청주세종간 자동차전용도로 부근의 2차선에 접한 토지임</t>
        </is>
      </c>
      <c r="L777" s="6">
        <f>HYPERLINK("https://fin.land.naver.com/articles/2647681684", "매물Link")</f>
        <v/>
      </c>
      <c r="M777" s="6">
        <f>HYPERLINK("https://map.naver.com/p/search/세종특별자치시 나성동 829", "지도Link")</f>
        <v/>
      </c>
      <c r="N777" s="6">
        <f>HYPERLINK("http://www.eum.go.kr/web/ar/lu/luLandDet.jsp?pnu=3611010700108290000&amp;isNoScr=script&amp;mode=search", "토지이음")</f>
        <v/>
      </c>
      <c r="O777" s="3" t="inlineStr">
        <is>
          <t>교차로</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세종특별자치시 나성동 829</t>
        </is>
      </c>
      <c r="B778" s="3" t="inlineStr">
        <is>
          <t>중심상업지역</t>
        </is>
      </c>
      <c r="C778" s="3" t="inlineStr">
        <is>
          <t>대</t>
        </is>
      </c>
      <c r="D778" s="3" t="inlineStr">
        <is>
          <t>임야</t>
        </is>
      </c>
      <c r="E778" s="3" t="inlineStr">
        <is>
          <t>매매</t>
        </is>
      </c>
      <c r="F778" s="4" t="n">
        <v>105000</v>
      </c>
      <c r="G778" s="4" t="n">
        <v>9914</v>
      </c>
      <c r="H778" s="4" t="n">
        <v>2999</v>
      </c>
      <c r="I778" s="5" t="n">
        <v>35</v>
      </c>
      <c r="J778" s="4" t="n">
        <v>747.8</v>
      </c>
      <c r="K778" s="3" t="inlineStr">
        <is>
          <t>nan</t>
        </is>
      </c>
      <c r="L778" s="6">
        <f>HYPERLINK("https://fin.land.naver.com/articles/2647682631", "매물Link")</f>
        <v/>
      </c>
      <c r="M778" s="6">
        <f>HYPERLINK("https://map.naver.com/p/search/세종특별자치시 나성동 829", "지도Link")</f>
        <v/>
      </c>
      <c r="N778" s="6">
        <f>HYPERLINK("http://www.eum.go.kr/web/ar/lu/luLandDet.jsp?pnu=3611010700108290000&amp;isNoScr=script&amp;mode=search", "토지이음")</f>
        <v/>
      </c>
      <c r="O778" s="3" t="inlineStr">
        <is>
          <t>교차로</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세종특별자치시 나성동 829</t>
        </is>
      </c>
      <c r="B779" s="3" t="inlineStr">
        <is>
          <t>중심상업지역</t>
        </is>
      </c>
      <c r="C779" s="3" t="inlineStr">
        <is>
          <t>대</t>
        </is>
      </c>
      <c r="D779" s="3" t="inlineStr">
        <is>
          <t>답</t>
        </is>
      </c>
      <c r="E779" s="3" t="inlineStr">
        <is>
          <t>매매</t>
        </is>
      </c>
      <c r="F779" s="4" t="n">
        <v>12500</v>
      </c>
      <c r="G779" s="4" t="n">
        <v>4119</v>
      </c>
      <c r="H779" s="4" t="n">
        <v>1246</v>
      </c>
      <c r="I779" s="5" t="n">
        <v>10</v>
      </c>
      <c r="J779" s="4" t="n">
        <v>747.8</v>
      </c>
      <c r="K779" s="3" t="inlineStr">
        <is>
          <t>구거에 접해있는 땅, 객토로 땅의 쓰임새 좋아요.</t>
        </is>
      </c>
      <c r="L779" s="6">
        <f>HYPERLINK("https://fin.land.naver.com/articles/2647750927", "매물Link")</f>
        <v/>
      </c>
      <c r="M779" s="6">
        <f>HYPERLINK("https://map.naver.com/p/search/세종특별자치시 나성동 829", "지도Link")</f>
        <v/>
      </c>
      <c r="N779" s="6">
        <f>HYPERLINK("http://www.eum.go.kr/web/ar/lu/luLandDet.jsp?pnu=3611010700108290000&amp;isNoScr=script&amp;mode=search", "토지이음")</f>
        <v/>
      </c>
      <c r="O779" s="3" t="inlineStr">
        <is>
          <t>굿모닝  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세종특별자치시 나성동 829</t>
        </is>
      </c>
      <c r="B780" s="3" t="inlineStr">
        <is>
          <t>중심상업지역</t>
        </is>
      </c>
      <c r="C780" s="3" t="inlineStr">
        <is>
          <t>대</t>
        </is>
      </c>
      <c r="D780" s="3" t="inlineStr">
        <is>
          <t>전</t>
        </is>
      </c>
      <c r="E780" s="3" t="inlineStr">
        <is>
          <t>매매</t>
        </is>
      </c>
      <c r="F780" s="4" t="n">
        <v>12900</v>
      </c>
      <c r="G780" s="4" t="n">
        <v>1071</v>
      </c>
      <c r="H780" s="4" t="n">
        <v>324</v>
      </c>
      <c r="I780" s="5" t="n">
        <v>39.8</v>
      </c>
      <c r="J780" s="4" t="n">
        <v>747.8</v>
      </c>
      <c r="K780" s="3" t="inlineStr">
        <is>
          <t>도로가 있는 구거에 접해있고 남향에 모양도 이쁜 땅</t>
        </is>
      </c>
      <c r="L780" s="6">
        <f>HYPERLINK("https://fin.land.naver.com/articles/2647756260", "매물Link")</f>
        <v/>
      </c>
      <c r="M780" s="6">
        <f>HYPERLINK("https://map.naver.com/p/search/세종특별자치시 나성동 829", "지도Link")</f>
        <v/>
      </c>
      <c r="N780" s="6">
        <f>HYPERLINK("http://www.eum.go.kr/web/ar/lu/luLandDet.jsp?pnu=3611010700108290000&amp;isNoScr=script&amp;mode=search", "토지이음")</f>
        <v/>
      </c>
      <c r="O780" s="3" t="inlineStr">
        <is>
          <t>굿모닝  사무소</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세종특별자치시 나성동 829</t>
        </is>
      </c>
      <c r="B781" s="3" t="inlineStr">
        <is>
          <t>중심상업지역</t>
        </is>
      </c>
      <c r="C781" s="3" t="inlineStr">
        <is>
          <t>대</t>
        </is>
      </c>
      <c r="D781" s="3" t="inlineStr">
        <is>
          <t>대</t>
        </is>
      </c>
      <c r="E781" s="3" t="inlineStr">
        <is>
          <t>매매</t>
        </is>
      </c>
      <c r="F781" s="4" t="n">
        <v>350000</v>
      </c>
      <c r="G781" s="4" t="n">
        <v>3710</v>
      </c>
      <c r="H781" s="4" t="n">
        <v>1122</v>
      </c>
      <c r="I781" s="5" t="n">
        <v>311.9</v>
      </c>
      <c r="J781" s="4" t="n">
        <v>747.8</v>
      </c>
      <c r="K781" s="3" t="inlineStr">
        <is>
          <t>nan</t>
        </is>
      </c>
      <c r="L781" s="6">
        <f>HYPERLINK("https://fin.land.naver.com/articles/2648227980", "매물Link")</f>
        <v/>
      </c>
      <c r="M781" s="6">
        <f>HYPERLINK("https://map.naver.com/p/search/세종특별자치시 나성동 829", "지도Link")</f>
        <v/>
      </c>
      <c r="N781" s="6">
        <f>HYPERLINK("http://www.eum.go.kr/web/ar/lu/luLandDet.jsp?pnu=3611010700108290000&amp;isNoScr=script&amp;mode=search", "토지이음")</f>
        <v/>
      </c>
      <c r="O781" s="3" t="inlineStr">
        <is>
          <t>좋은터</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세종특별자치시 나성동 829</t>
        </is>
      </c>
      <c r="B782" s="3" t="inlineStr">
        <is>
          <t>중심상업지역</t>
        </is>
      </c>
      <c r="C782" s="3" t="inlineStr">
        <is>
          <t>대</t>
        </is>
      </c>
      <c r="D782" s="3" t="inlineStr">
        <is>
          <t>답</t>
        </is>
      </c>
      <c r="E782" s="3" t="inlineStr">
        <is>
          <t>매매</t>
        </is>
      </c>
      <c r="F782" s="4" t="n">
        <v>374000</v>
      </c>
      <c r="G782" s="4" t="n">
        <v>7291</v>
      </c>
      <c r="H782" s="4" t="n">
        <v>2206</v>
      </c>
      <c r="I782" s="5" t="n">
        <v>169.5</v>
      </c>
      <c r="J782" s="4" t="n">
        <v>747.8</v>
      </c>
      <c r="K782" s="3" t="inlineStr">
        <is>
          <t>nan</t>
        </is>
      </c>
      <c r="L782" s="6">
        <f>HYPERLINK("https://fin.land.naver.com/articles/2648228201", "매물Link")</f>
        <v/>
      </c>
      <c r="M782" s="6">
        <f>HYPERLINK("https://map.naver.com/p/search/세종특별자치시 나성동 829", "지도Link")</f>
        <v/>
      </c>
      <c r="N782" s="6">
        <f>HYPERLINK("http://www.eum.go.kr/web/ar/lu/luLandDet.jsp?pnu=3611010700108290000&amp;isNoScr=script&amp;mode=search", "토지이음")</f>
        <v/>
      </c>
      <c r="O782" s="3" t="inlineStr">
        <is>
          <t>좋은터</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세종특별자치시 나성동 829</t>
        </is>
      </c>
      <c r="B783" s="3" t="inlineStr">
        <is>
          <t>중심상업지역</t>
        </is>
      </c>
      <c r="C783" s="3" t="inlineStr">
        <is>
          <t>대</t>
        </is>
      </c>
      <c r="D783" s="3" t="inlineStr">
        <is>
          <t>대</t>
        </is>
      </c>
      <c r="E783" s="3" t="inlineStr">
        <is>
          <t>매매</t>
        </is>
      </c>
      <c r="F783" s="4" t="n">
        <v>11500</v>
      </c>
      <c r="G783" s="4" t="n">
        <v>760</v>
      </c>
      <c r="H783" s="4" t="n">
        <v>230</v>
      </c>
      <c r="I783" s="5" t="n">
        <v>50</v>
      </c>
      <c r="J783" s="4" t="n">
        <v>747.8</v>
      </c>
      <c r="K783" s="3" t="inlineStr">
        <is>
          <t>건축허가,토목공사 완료상태.토지 옆에 조그만 도랑 있음.</t>
        </is>
      </c>
      <c r="L783" s="6">
        <f>HYPERLINK("https://fin.land.naver.com/articles/2648234032", "매물Link")</f>
        <v/>
      </c>
      <c r="M783" s="6">
        <f>HYPERLINK("https://map.naver.com/p/search/세종특별자치시 나성동 829", "지도Link")</f>
        <v/>
      </c>
      <c r="N783" s="6">
        <f>HYPERLINK("http://www.eum.go.kr/web/ar/lu/luLandDet.jsp?pnu=3611010700108290000&amp;isNoScr=script&amp;mode=search", "토지이음")</f>
        <v/>
      </c>
      <c r="O783" s="3" t="inlineStr">
        <is>
          <t>청와대합동사무소</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세종특별자치시 나성동 829</t>
        </is>
      </c>
      <c r="B784" s="3" t="inlineStr">
        <is>
          <t>중심상업지역</t>
        </is>
      </c>
      <c r="C784" s="3" t="inlineStr">
        <is>
          <t>대</t>
        </is>
      </c>
      <c r="D784" s="3" t="inlineStr">
        <is>
          <t>체육용지</t>
        </is>
      </c>
      <c r="E784" s="3" t="inlineStr">
        <is>
          <t>매매</t>
        </is>
      </c>
      <c r="F784" s="4" t="n">
        <v>850000</v>
      </c>
      <c r="G784" s="4" t="n">
        <v>103313</v>
      </c>
      <c r="H784" s="4" t="n">
        <v>31252</v>
      </c>
      <c r="I784" s="5" t="n">
        <v>27.2</v>
      </c>
      <c r="J784" s="4" t="n">
        <v>747.8</v>
      </c>
      <c r="K784" s="3" t="inlineStr">
        <is>
          <t>세종시 입구, 다목적 토지 입니다</t>
        </is>
      </c>
      <c r="L784" s="6">
        <f>HYPERLINK("https://fin.land.naver.com/articles/2647041696", "매물Link")</f>
        <v/>
      </c>
      <c r="M784" s="6">
        <f>HYPERLINK("https://map.naver.com/p/search/세종특별자치시 나성동 829", "지도Link")</f>
        <v/>
      </c>
      <c r="N784" s="6">
        <f>HYPERLINK("http://www.eum.go.kr/web/ar/lu/luLandDet.jsp?pnu=3611010700108290000&amp;isNoScr=script&amp;mode=search", "토지이음")</f>
        <v/>
      </c>
      <c r="O784" s="3" t="inlineStr">
        <is>
          <t>대일</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세종특별자치시 나성동 829</t>
        </is>
      </c>
      <c r="B785" s="3" t="inlineStr">
        <is>
          <t>중심상업지역</t>
        </is>
      </c>
      <c r="C785" s="3" t="inlineStr">
        <is>
          <t>대</t>
        </is>
      </c>
      <c r="D785" s="3" t="inlineStr">
        <is>
          <t>답</t>
        </is>
      </c>
      <c r="E785" s="3" t="inlineStr">
        <is>
          <t>매매</t>
        </is>
      </c>
      <c r="F785" s="4" t="n">
        <v>50290</v>
      </c>
      <c r="G785" s="4" t="n">
        <v>4750</v>
      </c>
      <c r="H785" s="4" t="n">
        <v>1437</v>
      </c>
      <c r="I785" s="5" t="n">
        <v>35</v>
      </c>
      <c r="J785" s="4" t="n">
        <v>747.8</v>
      </c>
      <c r="K785" s="3" t="inlineStr">
        <is>
          <t>nan</t>
        </is>
      </c>
      <c r="L785" s="6">
        <f>HYPERLINK("https://fin.land.naver.com/articles/2646980400", "매물Link")</f>
        <v/>
      </c>
      <c r="M785" s="6">
        <f>HYPERLINK("https://map.naver.com/p/search/세종특별자치시 나성동 829", "지도Link")</f>
        <v/>
      </c>
      <c r="N785" s="6">
        <f>HYPERLINK("http://www.eum.go.kr/web/ar/lu/luLandDet.jsp?pnu=3611010700108290000&amp;isNoScr=script&amp;mode=search", "토지이음")</f>
        <v/>
      </c>
      <c r="O785" s="3" t="inlineStr">
        <is>
          <t>교차로</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세종특별자치시 나성동 829</t>
        </is>
      </c>
      <c r="B786" s="3" t="inlineStr">
        <is>
          <t>중심상업지역</t>
        </is>
      </c>
      <c r="C786" s="3" t="inlineStr">
        <is>
          <t>대</t>
        </is>
      </c>
      <c r="D786" s="3" t="inlineStr">
        <is>
          <t>공장용지</t>
        </is>
      </c>
      <c r="E786" s="3" t="inlineStr">
        <is>
          <t>매매</t>
        </is>
      </c>
      <c r="F786" s="4" t="n">
        <v>550000</v>
      </c>
      <c r="G786" s="4" t="n">
        <v>18456</v>
      </c>
      <c r="H786" s="4" t="n">
        <v>5583</v>
      </c>
      <c r="I786" s="5" t="n">
        <v>98.5</v>
      </c>
      <c r="J786" s="4" t="n">
        <v>747.8</v>
      </c>
      <c r="K786" s="3" t="inlineStr">
        <is>
          <t>급매물공장용지허가완료</t>
        </is>
      </c>
      <c r="L786" s="6">
        <f>HYPERLINK("https://fin.land.naver.com/articles/2644477497", "매물Link")</f>
        <v/>
      </c>
      <c r="M786" s="6">
        <f>HYPERLINK("https://map.naver.com/p/search/세종특별자치시 나성동 829", "지도Link")</f>
        <v/>
      </c>
      <c r="N786" s="6">
        <f>HYPERLINK("http://www.eum.go.kr/web/ar/lu/luLandDet.jsp?pnu=3611010700108290000&amp;isNoScr=script&amp;mode=search", "토지이음")</f>
        <v/>
      </c>
      <c r="O786" s="3" t="inlineStr">
        <is>
          <t>남청주ic합동무소</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세종특별자치시 나성동 829</t>
        </is>
      </c>
      <c r="B787" s="3" t="inlineStr">
        <is>
          <t>중심상업지역</t>
        </is>
      </c>
      <c r="C787" s="3" t="inlineStr">
        <is>
          <t>대</t>
        </is>
      </c>
      <c r="D787" s="3" t="inlineStr">
        <is>
          <t>답</t>
        </is>
      </c>
      <c r="E787" s="3" t="inlineStr">
        <is>
          <t>매매</t>
        </is>
      </c>
      <c r="F787" s="4" t="n">
        <v>38000</v>
      </c>
      <c r="G787" s="4" t="n">
        <v>2324</v>
      </c>
      <c r="H787" s="4" t="n">
        <v>703</v>
      </c>
      <c r="I787" s="5" t="n">
        <v>54.1</v>
      </c>
      <c r="J787" s="4" t="n">
        <v>747.8</v>
      </c>
      <c r="K787" s="3" t="inlineStr">
        <is>
          <t>남이초 인근 전으로 사용 중 창고나 근생욜지로 추천</t>
        </is>
      </c>
      <c r="L787" s="6">
        <f>HYPERLINK("https://fin.land.naver.com/articles/2644790347", "매물Link")</f>
        <v/>
      </c>
      <c r="M787" s="6">
        <f>HYPERLINK("https://map.naver.com/p/search/세종특별자치시 나성동 829", "지도Link")</f>
        <v/>
      </c>
      <c r="N787" s="6">
        <f>HYPERLINK("http://www.eum.go.kr/web/ar/lu/luLandDet.jsp?pnu=3611010700108290000&amp;isNoScr=script&amp;mode=search", "토지이음")</f>
        <v/>
      </c>
      <c r="O787" s="3" t="inlineStr">
        <is>
          <t>태평</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세종특별자치시 나성동 829</t>
        </is>
      </c>
      <c r="B788" s="3" t="inlineStr">
        <is>
          <t>중심상업지역</t>
        </is>
      </c>
      <c r="C788" s="3" t="inlineStr">
        <is>
          <t>대</t>
        </is>
      </c>
      <c r="D788" s="3" t="inlineStr">
        <is>
          <t>전</t>
        </is>
      </c>
      <c r="E788" s="3" t="inlineStr">
        <is>
          <t>매매</t>
        </is>
      </c>
      <c r="F788" s="4" t="n">
        <v>42000</v>
      </c>
      <c r="G788" s="4" t="n">
        <v>2307</v>
      </c>
      <c r="H788" s="4" t="n">
        <v>698</v>
      </c>
      <c r="I788" s="5" t="n">
        <v>60.2</v>
      </c>
      <c r="J788" s="4" t="n">
        <v>747.8</v>
      </c>
      <c r="K788" s="3" t="inlineStr">
        <is>
          <t>분할가능 전원택지 최적 자연취락지구.2~3필지로 분할 사용가능</t>
        </is>
      </c>
      <c r="L788" s="6">
        <f>HYPERLINK("https://fin.land.naver.com/articles/2645313482", "매물Link")</f>
        <v/>
      </c>
      <c r="M788" s="6">
        <f>HYPERLINK("https://map.naver.com/p/search/세종특별자치시 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세종특별자치시 나성동 829</t>
        </is>
      </c>
      <c r="B789" s="3" t="inlineStr">
        <is>
          <t>중심상업지역</t>
        </is>
      </c>
      <c r="C789" s="3" t="inlineStr">
        <is>
          <t>대</t>
        </is>
      </c>
      <c r="D789" s="3" t="inlineStr">
        <is>
          <t>전</t>
        </is>
      </c>
      <c r="E789" s="3" t="inlineStr">
        <is>
          <t>매매</t>
        </is>
      </c>
      <c r="F789" s="4" t="n">
        <v>23500</v>
      </c>
      <c r="G789" s="4" t="n">
        <v>1189</v>
      </c>
      <c r="H789" s="4" t="n">
        <v>360</v>
      </c>
      <c r="I789" s="5" t="n">
        <v>65.3</v>
      </c>
      <c r="J789" s="4" t="n">
        <v>747.8</v>
      </c>
      <c r="K789" s="3" t="inlineStr">
        <is>
          <t>갈원리 마을 뒷편 전원주택지입니다. 취락지구(건폐율높음)</t>
        </is>
      </c>
      <c r="L789" s="6">
        <f>HYPERLINK("https://fin.land.naver.com/articles/2645313564", "매물Link")</f>
        <v/>
      </c>
      <c r="M789" s="6">
        <f>HYPERLINK("https://map.naver.com/p/search/세종특별자치시 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세종특별자치시 나성동 829</t>
        </is>
      </c>
      <c r="B790" s="3" t="inlineStr">
        <is>
          <t>중심상업지역</t>
        </is>
      </c>
      <c r="C790" s="3" t="inlineStr">
        <is>
          <t>대</t>
        </is>
      </c>
      <c r="D790" s="3" t="inlineStr">
        <is>
          <t>전</t>
        </is>
      </c>
      <c r="E790" s="3" t="inlineStr">
        <is>
          <t>매매</t>
        </is>
      </c>
      <c r="F790" s="4" t="n">
        <v>168000</v>
      </c>
      <c r="G790" s="4" t="n">
        <v>6177</v>
      </c>
      <c r="H790" s="4" t="n">
        <v>1869</v>
      </c>
      <c r="I790" s="5" t="n">
        <v>89.90000000000001</v>
      </c>
      <c r="J790" s="4" t="n">
        <v>747.8</v>
      </c>
      <c r="K790" s="3" t="inlineStr">
        <is>
          <t>총 5필지로 구성된 자연녹지.공장 창고가능. 창고 밀집지역</t>
        </is>
      </c>
      <c r="L790" s="6">
        <f>HYPERLINK("https://fin.land.naver.com/articles/2645313593", "매물Link")</f>
        <v/>
      </c>
      <c r="M790" s="6">
        <f>HYPERLINK("https://map.naver.com/p/search/세종특별자치시 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세종특별자치시 나성동 829</t>
        </is>
      </c>
      <c r="B791" s="3" t="inlineStr">
        <is>
          <t>중심상업지역</t>
        </is>
      </c>
      <c r="C791" s="3" t="inlineStr">
        <is>
          <t>대</t>
        </is>
      </c>
      <c r="D791" s="3" t="inlineStr">
        <is>
          <t>전</t>
        </is>
      </c>
      <c r="E791" s="3" t="inlineStr">
        <is>
          <t>매매</t>
        </is>
      </c>
      <c r="F791" s="4" t="n">
        <v>116000</v>
      </c>
      <c r="G791" s="4" t="n">
        <v>6408</v>
      </c>
      <c r="H791" s="4" t="n">
        <v>1938</v>
      </c>
      <c r="I791" s="5" t="n">
        <v>59.9</v>
      </c>
      <c r="J791" s="4" t="n">
        <v>747.8</v>
      </c>
      <c r="K791" s="3" t="inlineStr">
        <is>
          <t>nan</t>
        </is>
      </c>
      <c r="L791" s="6">
        <f>HYPERLINK("https://fin.land.naver.com/articles/2645313644", "매물Link")</f>
        <v/>
      </c>
      <c r="M791" s="6">
        <f>HYPERLINK("https://map.naver.com/p/search/세종특별자치시 나성동 829", "지도Link")</f>
        <v/>
      </c>
      <c r="N791" s="6">
        <f>HYPERLINK("http://www.eum.go.kr/web/ar/lu/luLandDet.jsp?pnu=3611010700108290000&amp;isNoScr=script&amp;mode=search", "토지이음")</f>
        <v/>
      </c>
      <c r="O791" s="3" t="inlineStr">
        <is>
          <t>사랑</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세종특별자치시 나성동 829</t>
        </is>
      </c>
      <c r="B792" s="3" t="inlineStr">
        <is>
          <t>중심상업지역</t>
        </is>
      </c>
      <c r="C792" s="3" t="inlineStr">
        <is>
          <t>대</t>
        </is>
      </c>
      <c r="D792" s="3" t="inlineStr">
        <is>
          <t>답</t>
        </is>
      </c>
      <c r="E792" s="3" t="inlineStr">
        <is>
          <t>매매</t>
        </is>
      </c>
      <c r="F792" s="4" t="n">
        <v>100000</v>
      </c>
      <c r="G792" s="4" t="n">
        <v>3199</v>
      </c>
      <c r="H792" s="4" t="n">
        <v>968</v>
      </c>
      <c r="I792" s="5" t="n">
        <v>103.3</v>
      </c>
      <c r="J792" s="4" t="n">
        <v>747.8</v>
      </c>
      <c r="K792" s="3" t="inlineStr">
        <is>
          <t>가마리 길성이백숙옆 답으로구성 두필지,가격조절가능</t>
        </is>
      </c>
      <c r="L792" s="6">
        <f>HYPERLINK("https://fin.land.naver.com/articles/2645517912", "매물Link")</f>
        <v/>
      </c>
      <c r="M792" s="6">
        <f>HYPERLINK("https://map.naver.com/p/search/세종특별자치시 나성동 829", "지도Link")</f>
        <v/>
      </c>
      <c r="N792" s="6">
        <f>HYPERLINK("http://www.eum.go.kr/web/ar/lu/luLandDet.jsp?pnu=3611010700108290000&amp;isNoScr=script&amp;mode=search", "토지이음")</f>
        <v/>
      </c>
      <c r="O792" s="3" t="inlineStr">
        <is>
          <t>남양휴튼합동무소</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세종특별자치시 나성동 829</t>
        </is>
      </c>
      <c r="B793" s="3" t="inlineStr">
        <is>
          <t>중심상업지역</t>
        </is>
      </c>
      <c r="C793" s="3" t="inlineStr">
        <is>
          <t>대</t>
        </is>
      </c>
      <c r="D793" s="3" t="inlineStr">
        <is>
          <t>대</t>
        </is>
      </c>
      <c r="E793" s="3" t="inlineStr">
        <is>
          <t>매매</t>
        </is>
      </c>
      <c r="F793" s="4" t="n">
        <v>10500</v>
      </c>
      <c r="G793" s="4" t="n">
        <v>824</v>
      </c>
      <c r="H793" s="4" t="n">
        <v>249</v>
      </c>
      <c r="I793" s="5" t="n">
        <v>42.2</v>
      </c>
      <c r="J793" s="4" t="n">
        <v>747.8</v>
      </c>
      <c r="K793" s="3" t="inlineStr">
        <is>
          <t>3m도로에 접한 대지(계획관리) 주택허가 득한 나대지</t>
        </is>
      </c>
      <c r="L793" s="6">
        <f>HYPERLINK("https://fin.land.naver.com/articles/2645564061", "매물Link")</f>
        <v/>
      </c>
      <c r="M793" s="6">
        <f>HYPERLINK("https://map.naver.com/p/search/세종특별자치시 나성동 829", "지도Link")</f>
        <v/>
      </c>
      <c r="N793" s="6">
        <f>HYPERLINK("http://www.eum.go.kr/web/ar/lu/luLandDet.jsp?pnu=3611010700108290000&amp;isNoScr=script&amp;mode=search", "토지이음")</f>
        <v/>
      </c>
      <c r="O793" s="3" t="inlineStr">
        <is>
          <t>새온누리</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세종특별자치시 나성동 829</t>
        </is>
      </c>
      <c r="B794" s="3" t="inlineStr">
        <is>
          <t>중심상업지역</t>
        </is>
      </c>
      <c r="C794" s="3" t="inlineStr">
        <is>
          <t>대</t>
        </is>
      </c>
      <c r="D794" s="3" t="inlineStr">
        <is>
          <t>답</t>
        </is>
      </c>
      <c r="E794" s="3" t="inlineStr">
        <is>
          <t>매매</t>
        </is>
      </c>
      <c r="F794" s="4" t="n">
        <v>60000</v>
      </c>
      <c r="G794" s="4" t="n">
        <v>2603</v>
      </c>
      <c r="H794" s="4" t="n">
        <v>787</v>
      </c>
      <c r="I794" s="5" t="n">
        <v>76.2</v>
      </c>
      <c r="J794" s="4" t="n">
        <v>747.8</v>
      </c>
      <c r="K794" s="3" t="inlineStr">
        <is>
          <t>소규모공장 작업장 창고로 적격 요양원자리도 적격</t>
        </is>
      </c>
      <c r="L794" s="6">
        <f>HYPERLINK("https://fin.land.naver.com/articles/2645633812", "매물Link")</f>
        <v/>
      </c>
      <c r="M794" s="6">
        <f>HYPERLINK("https://map.naver.com/p/search/세종특별자치시 나성동 829", "지도Link")</f>
        <v/>
      </c>
      <c r="N794" s="6">
        <f>HYPERLINK("http://www.eum.go.kr/web/ar/lu/luLandDet.jsp?pnu=3611010700108290000&amp;isNoScr=script&amp;mode=search", "토지이음")</f>
        <v/>
      </c>
      <c r="O794" s="3" t="inlineStr">
        <is>
          <t>명진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세종특별자치시 나성동 829</t>
        </is>
      </c>
      <c r="B795" s="3" t="inlineStr">
        <is>
          <t>중심상업지역</t>
        </is>
      </c>
      <c r="C795" s="3" t="inlineStr">
        <is>
          <t>대</t>
        </is>
      </c>
      <c r="D795" s="3" t="inlineStr">
        <is>
          <t>전</t>
        </is>
      </c>
      <c r="E795" s="3" t="inlineStr">
        <is>
          <t>매매</t>
        </is>
      </c>
      <c r="F795" s="4" t="n">
        <v>14000</v>
      </c>
      <c r="G795" s="4" t="n">
        <v>660</v>
      </c>
      <c r="H795" s="4" t="n">
        <v>200</v>
      </c>
      <c r="I795" s="5" t="n">
        <v>70</v>
      </c>
      <c r="J795" s="4" t="n">
        <v>747.8</v>
      </c>
      <c r="K795" s="3" t="inlineStr">
        <is>
          <t>포장도로접 전망좋음 땅모양 네모반듯 농막설치하고 주말농장 하실분 추천</t>
        </is>
      </c>
      <c r="L795" s="6">
        <f>HYPERLINK("https://fin.land.naver.com/articles/2646312193", "매물Link")</f>
        <v/>
      </c>
      <c r="M795" s="6">
        <f>HYPERLINK("https://map.naver.com/p/search/세종특별자치시 나성동 829", "지도Link")</f>
        <v/>
      </c>
      <c r="N795" s="6">
        <f>HYPERLINK("http://www.eum.go.kr/web/ar/lu/luLandDet.jsp?pnu=3611010700108290000&amp;isNoScr=script&amp;mode=search", "토지이음")</f>
        <v/>
      </c>
      <c r="O795" s="3" t="inlineStr">
        <is>
          <t>신두꺼비</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세종특별자치시 나성동 829</t>
        </is>
      </c>
      <c r="B796" s="3" t="inlineStr">
        <is>
          <t>중심상업지역</t>
        </is>
      </c>
      <c r="C796" s="3" t="inlineStr">
        <is>
          <t>대</t>
        </is>
      </c>
      <c r="D796" s="3" t="inlineStr">
        <is>
          <t>답</t>
        </is>
      </c>
      <c r="E796" s="3" t="inlineStr">
        <is>
          <t>매매</t>
        </is>
      </c>
      <c r="F796" s="4" t="n">
        <v>6500</v>
      </c>
      <c r="G796" s="4" t="n">
        <v>910</v>
      </c>
      <c r="H796" s="4" t="n">
        <v>275</v>
      </c>
      <c r="I796" s="5" t="n">
        <v>23.6</v>
      </c>
      <c r="J796" s="4" t="n">
        <v>747.8</v>
      </c>
      <c r="K796" s="3" t="inlineStr">
        <is>
          <t>농림지역,농업진흥구역,가축사육제한구역,접도구역</t>
        </is>
      </c>
      <c r="L796" s="6">
        <f>HYPERLINK("https://fin.land.naver.com/articles/2646675098", "매물Link")</f>
        <v/>
      </c>
      <c r="M796" s="6">
        <f>HYPERLINK("https://map.naver.com/p/search/세종특별자치시 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세종특별자치시 나성동 829</t>
        </is>
      </c>
      <c r="B797" s="3" t="inlineStr">
        <is>
          <t>중심상업지역</t>
        </is>
      </c>
      <c r="C797" s="3" t="inlineStr">
        <is>
          <t>대</t>
        </is>
      </c>
      <c r="D797" s="3" t="inlineStr">
        <is>
          <t>전</t>
        </is>
      </c>
      <c r="E797" s="3" t="inlineStr">
        <is>
          <t>매매</t>
        </is>
      </c>
      <c r="F797" s="4" t="n">
        <v>15000</v>
      </c>
      <c r="G797" s="4" t="n">
        <v>1835</v>
      </c>
      <c r="H797" s="4" t="n">
        <v>555</v>
      </c>
      <c r="I797" s="5" t="n">
        <v>27</v>
      </c>
      <c r="J797" s="4" t="n">
        <v>747.8</v>
      </c>
      <c r="K797" s="3" t="inlineStr">
        <is>
          <t>도시지역, 자연녹지지역 가축사육제한구역, 농막(원룸)있음</t>
        </is>
      </c>
      <c r="L797" s="6">
        <f>HYPERLINK("https://fin.land.naver.com/articles/2646675105", "매물Link")</f>
        <v/>
      </c>
      <c r="M797" s="6">
        <f>HYPERLINK("https://map.naver.com/p/search/세종특별자치시 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세종특별자치시 나성동 829</t>
        </is>
      </c>
      <c r="B798" s="3" t="inlineStr">
        <is>
          <t>중심상업지역</t>
        </is>
      </c>
      <c r="C798" s="3" t="inlineStr">
        <is>
          <t>대</t>
        </is>
      </c>
      <c r="D798" s="3" t="inlineStr">
        <is>
          <t>전</t>
        </is>
      </c>
      <c r="E798" s="3" t="inlineStr">
        <is>
          <t>매매</t>
        </is>
      </c>
      <c r="F798" s="4" t="n">
        <v>17500</v>
      </c>
      <c r="G798" s="4" t="n">
        <v>1420</v>
      </c>
      <c r="H798" s="4" t="n">
        <v>430</v>
      </c>
      <c r="I798" s="5" t="n">
        <v>40.7</v>
      </c>
      <c r="J798" s="4" t="n">
        <v>747.8</v>
      </c>
      <c r="K798" s="3" t="inlineStr">
        <is>
          <t>전망좋은 남향, 주말농장이나 대토용으로 추천, 가격절충가능</t>
        </is>
      </c>
      <c r="L798" s="6">
        <f>HYPERLINK("https://fin.land.naver.com/articles/2646675185", "매물Link")</f>
        <v/>
      </c>
      <c r="M798" s="6">
        <f>HYPERLINK("https://map.naver.com/p/search/세종특별자치시 나성동 829", "지도Link")</f>
        <v/>
      </c>
      <c r="N798" s="6">
        <f>HYPERLINK("http://www.eum.go.kr/web/ar/lu/luLandDet.jsp?pnu=3611010700108290000&amp;isNoScr=script&amp;mode=search", "토지이음")</f>
        <v/>
      </c>
      <c r="O798" s="3" t="inlineStr">
        <is>
          <t>세상을여는</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세종특별자치시 나성동 829</t>
        </is>
      </c>
      <c r="B799" s="3" t="inlineStr">
        <is>
          <t>중심상업지역</t>
        </is>
      </c>
      <c r="C799" s="3" t="inlineStr">
        <is>
          <t>대</t>
        </is>
      </c>
      <c r="D799" s="3" t="inlineStr">
        <is>
          <t>답</t>
        </is>
      </c>
      <c r="E799" s="3" t="inlineStr">
        <is>
          <t>매매</t>
        </is>
      </c>
      <c r="F799" s="4" t="n">
        <v>6400</v>
      </c>
      <c r="G799" s="4" t="n">
        <v>1048</v>
      </c>
      <c r="H799" s="4" t="n">
        <v>317</v>
      </c>
      <c r="I799" s="5" t="n">
        <v>20.2</v>
      </c>
      <c r="J799" s="4" t="n">
        <v>747.8</v>
      </c>
      <c r="K799" s="3" t="inlineStr">
        <is>
          <t>남향의 산자락에 붙어 있는 토지임</t>
        </is>
      </c>
      <c r="L799" s="6">
        <f>HYPERLINK("https://fin.land.naver.com/articles/2646980261", "매물Link")</f>
        <v/>
      </c>
      <c r="M799" s="6">
        <f>HYPERLINK("https://map.naver.com/p/search/세종특별자치시 나성동 829", "지도Link")</f>
        <v/>
      </c>
      <c r="N799" s="6">
        <f>HYPERLINK("http://www.eum.go.kr/web/ar/lu/luLandDet.jsp?pnu=3611010700108290000&amp;isNoScr=script&amp;mode=search", "토지이음")</f>
        <v/>
      </c>
      <c r="O799" s="3" t="inlineStr">
        <is>
          <t>교차로</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세종특별자치시 나성동 829</t>
        </is>
      </c>
      <c r="B800" s="3" t="inlineStr">
        <is>
          <t>중심상업지역</t>
        </is>
      </c>
      <c r="C800" s="3" t="inlineStr">
        <is>
          <t>대</t>
        </is>
      </c>
      <c r="D800" s="3" t="inlineStr">
        <is>
          <t>전</t>
        </is>
      </c>
      <c r="E800" s="3" t="inlineStr">
        <is>
          <t>매매</t>
        </is>
      </c>
      <c r="F800" s="4" t="n">
        <v>40000</v>
      </c>
      <c r="G800" s="4" t="n">
        <v>661</v>
      </c>
      <c r="H800" s="4" t="n">
        <v>200</v>
      </c>
      <c r="I800" s="5" t="n">
        <v>200</v>
      </c>
      <c r="J800" s="4" t="n">
        <v>747.8</v>
      </c>
      <c r="K800" s="3" t="inlineStr">
        <is>
          <t>신전동 토지 매매</t>
        </is>
      </c>
      <c r="L800" s="6">
        <f>HYPERLINK("https://fin.land.naver.com/articles/2647140382", "매물Link")</f>
        <v/>
      </c>
      <c r="M800" s="6">
        <f>HYPERLINK("https://map.naver.com/p/search/세종특별자치시 나성동 829", "지도Link")</f>
        <v/>
      </c>
      <c r="N800" s="6">
        <f>HYPERLINK("http://www.eum.go.kr/web/ar/lu/luLandDet.jsp?pnu=3611010700108290000&amp;isNoScr=script&amp;mode=search", "토지이음")</f>
        <v/>
      </c>
      <c r="O800" s="3" t="inlineStr">
        <is>
          <t>사거리</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세종특별자치시 나성동 829</t>
        </is>
      </c>
      <c r="B801" s="3" t="inlineStr">
        <is>
          <t>중심상업지역</t>
        </is>
      </c>
      <c r="C801" s="3" t="inlineStr">
        <is>
          <t>대</t>
        </is>
      </c>
      <c r="D801" s="3" t="inlineStr">
        <is>
          <t>대</t>
        </is>
      </c>
      <c r="E801" s="3" t="inlineStr">
        <is>
          <t>매매</t>
        </is>
      </c>
      <c r="F801" s="4" t="n">
        <v>12000</v>
      </c>
      <c r="G801" s="4" t="n">
        <v>569</v>
      </c>
      <c r="H801" s="4" t="n">
        <v>172</v>
      </c>
      <c r="I801" s="5" t="n">
        <v>69.8</v>
      </c>
      <c r="J801" s="4" t="n">
        <v>747.8</v>
      </c>
      <c r="K801" s="3" t="inlineStr">
        <is>
          <t>Point 주택 건축 가능, 도로 접함</t>
        </is>
      </c>
      <c r="L801" s="6">
        <f>HYPERLINK("https://fin.land.naver.com/articles/2645576528", "매물Link")</f>
        <v/>
      </c>
      <c r="M801" s="6">
        <f>HYPERLINK("https://map.naver.com/p/search/세종특별자치시 나성동 829", "지도Link")</f>
        <v/>
      </c>
      <c r="N801" s="6">
        <f>HYPERLINK("http://www.eum.go.kr/web/ar/lu/luLandDet.jsp?pnu=3611010700108290000&amp;isNoScr=script&amp;mode=search", "토지이음")</f>
        <v/>
      </c>
      <c r="O801" s="3" t="inlineStr">
        <is>
          <t>도마호반</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세종특별자치시 나성동 829</t>
        </is>
      </c>
      <c r="B802" s="3" t="inlineStr">
        <is>
          <t>중심상업지역</t>
        </is>
      </c>
      <c r="C802" s="3" t="inlineStr">
        <is>
          <t>대</t>
        </is>
      </c>
      <c r="D802" s="3" t="inlineStr">
        <is>
          <t>대</t>
        </is>
      </c>
      <c r="E802" s="3" t="inlineStr">
        <is>
          <t>매매</t>
        </is>
      </c>
      <c r="F802" s="4" t="n">
        <v>125000</v>
      </c>
      <c r="G802" s="4" t="n">
        <v>496</v>
      </c>
      <c r="H802" s="4" t="n">
        <v>150</v>
      </c>
      <c r="I802" s="5" t="n">
        <v>833.3</v>
      </c>
      <c r="J802" s="4" t="n">
        <v>747.8</v>
      </c>
      <c r="K802" s="3" t="inlineStr">
        <is>
          <t>청주시 봉명사거리 상업용지 매매 12.5억</t>
        </is>
      </c>
      <c r="L802" s="6">
        <f>HYPERLINK("https://fin.land.naver.com/articles/2646082642", "매물Link")</f>
        <v/>
      </c>
      <c r="M802" s="6">
        <f>HYPERLINK("https://map.naver.com/p/search/세종특별자치시 나성동 829", "지도Link")</f>
        <v/>
      </c>
      <c r="N802" s="6">
        <f>HYPERLINK("http://www.eum.go.kr/web/ar/lu/luLandDet.jsp?pnu=3611010700108290000&amp;isNoScr=script&amp;mode=search", "토지이음")</f>
        <v/>
      </c>
      <c r="O802" s="3" t="inlineStr">
        <is>
          <t>땅야박영수사무소</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세종특별자치시 나성동 829</t>
        </is>
      </c>
      <c r="B803" s="3" t="inlineStr">
        <is>
          <t>중심상업지역</t>
        </is>
      </c>
      <c r="C803" s="3" t="inlineStr">
        <is>
          <t>대</t>
        </is>
      </c>
      <c r="D803" s="3" t="inlineStr">
        <is>
          <t>주유소용지</t>
        </is>
      </c>
      <c r="E803" s="3" t="inlineStr">
        <is>
          <t>매매</t>
        </is>
      </c>
      <c r="F803" s="4" t="n">
        <v>460000</v>
      </c>
      <c r="G803" s="4" t="n">
        <v>2019</v>
      </c>
      <c r="H803" s="4" t="n">
        <v>611</v>
      </c>
      <c r="I803" s="5" t="n">
        <v>752.9</v>
      </c>
      <c r="J803" s="4" t="n">
        <v>747.8</v>
      </c>
      <c r="K803" s="3" t="inlineStr">
        <is>
          <t>청주시 봉명동 대로변 토지매매</t>
        </is>
      </c>
      <c r="L803" s="6">
        <f>HYPERLINK("https://fin.land.naver.com/articles/2646786227", "매물Link")</f>
        <v/>
      </c>
      <c r="M803" s="6">
        <f>HYPERLINK("https://map.naver.com/p/search/세종특별자치시 나성동 829", "지도Link")</f>
        <v/>
      </c>
      <c r="N803" s="6">
        <f>HYPERLINK("http://www.eum.go.kr/web/ar/lu/luLandDet.jsp?pnu=3611010700108290000&amp;isNoScr=script&amp;mode=search", "토지이음")</f>
        <v/>
      </c>
      <c r="O803" s="3" t="inlineStr">
        <is>
          <t>땅야박영수사무소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세종특별자치시 나성동 829</t>
        </is>
      </c>
      <c r="B804" s="3" t="inlineStr">
        <is>
          <t>중심상업지역</t>
        </is>
      </c>
      <c r="C804" s="3" t="inlineStr">
        <is>
          <t>대</t>
        </is>
      </c>
      <c r="D804" s="3" t="inlineStr">
        <is>
          <t>대</t>
        </is>
      </c>
      <c r="E804" s="3" t="inlineStr">
        <is>
          <t>매매</t>
        </is>
      </c>
      <c r="F804" s="4" t="n">
        <v>28000</v>
      </c>
      <c r="G804" s="4" t="n">
        <v>209</v>
      </c>
      <c r="H804" s="4" t="n">
        <v>63</v>
      </c>
      <c r="I804" s="5" t="n">
        <v>444.4</v>
      </c>
      <c r="J804" s="4" t="n">
        <v>747.8</v>
      </c>
      <c r="K804" s="3" t="inlineStr">
        <is>
          <t>중앙여고 지적공사 인근 코너 각지</t>
        </is>
      </c>
      <c r="L804" s="6">
        <f>HYPERLINK("https://fin.land.naver.com/articles/2646905611", "매물Link")</f>
        <v/>
      </c>
      <c r="M804" s="6">
        <f>HYPERLINK("https://map.naver.com/p/search/세종특별자치시 나성동 829", "지도Link")</f>
        <v/>
      </c>
      <c r="N804" s="6">
        <f>HYPERLINK("http://www.eum.go.kr/web/ar/lu/luLandDet.jsp?pnu=3611010700108290000&amp;isNoScr=script&amp;mode=search", "토지이음")</f>
        <v/>
      </c>
      <c r="O804" s="3" t="inlineStr">
        <is>
          <t>潤윤</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세종특별자치시 나성동 829</t>
        </is>
      </c>
      <c r="B805" s="3" t="inlineStr">
        <is>
          <t>중심상업지역</t>
        </is>
      </c>
      <c r="C805" s="3" t="inlineStr">
        <is>
          <t>대</t>
        </is>
      </c>
      <c r="D805" s="3" t="inlineStr">
        <is>
          <t>대</t>
        </is>
      </c>
      <c r="E805" s="3" t="inlineStr">
        <is>
          <t>월세</t>
        </is>
      </c>
      <c r="F805" s="4" t="n">
        <v>500</v>
      </c>
      <c r="G805" s="4" t="n">
        <v>610</v>
      </c>
      <c r="H805" s="4" t="n">
        <v>185</v>
      </c>
      <c r="I805" s="5" t="n">
        <v>0.8</v>
      </c>
      <c r="J805" s="4" t="n">
        <v>747.8</v>
      </c>
      <c r="K805" s="3" t="inlineStr">
        <is>
          <t>nan</t>
        </is>
      </c>
      <c r="L805" s="6">
        <f>HYPERLINK("https://fin.land.naver.com/articles/2647078804", "매물Link")</f>
        <v/>
      </c>
      <c r="M805" s="6">
        <f>HYPERLINK("https://map.naver.com/p/search/세종특별자치시 나성동 829", "지도Link")</f>
        <v/>
      </c>
      <c r="N805" s="6">
        <f>HYPERLINK("http://www.eum.go.kr/web/ar/lu/luLandDet.jsp?pnu=3611010700108290000&amp;isNoScr=script&amp;mode=search", "토지이음")</f>
        <v/>
      </c>
      <c r="O805" s="3" t="inlineStr">
        <is>
          <t>지구촌무소</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세종특별자치시 나성동 829</t>
        </is>
      </c>
      <c r="B806" s="3" t="inlineStr">
        <is>
          <t>중심상업지역</t>
        </is>
      </c>
      <c r="C806" s="3" t="inlineStr">
        <is>
          <t>대</t>
        </is>
      </c>
      <c r="D806" s="3" t="inlineStr">
        <is>
          <t>대</t>
        </is>
      </c>
      <c r="E806" s="3" t="inlineStr">
        <is>
          <t>매매</t>
        </is>
      </c>
      <c r="F806" s="4" t="n">
        <v>68000</v>
      </c>
      <c r="G806" s="4" t="n">
        <v>376</v>
      </c>
      <c r="H806" s="4" t="n">
        <v>114</v>
      </c>
      <c r="I806" s="5" t="n">
        <v>596.5</v>
      </c>
      <c r="J806" s="4" t="n">
        <v>747.8</v>
      </c>
      <c r="K806" s="3" t="inlineStr">
        <is>
          <t>흥덕구 봉명동 송절중학교앞 20m~25m 도로 코너에 있는토지입니다</t>
        </is>
      </c>
      <c r="L806" s="6">
        <f>HYPERLINK("https://fin.land.naver.com/articles/2647082160", "매물Link")</f>
        <v/>
      </c>
      <c r="M806" s="6">
        <f>HYPERLINK("https://map.naver.com/p/search/세종특별자치시 나성동 829", "지도Link")</f>
        <v/>
      </c>
      <c r="N806" s="6">
        <f>HYPERLINK("http://www.eum.go.kr/web/ar/lu/luLandDet.jsp?pnu=3611010700108290000&amp;isNoScr=script&amp;mode=search", "토지이음")</f>
        <v/>
      </c>
      <c r="O806" s="3" t="inlineStr">
        <is>
          <t>지구촌무소</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세종특별자치시 나성동 829</t>
        </is>
      </c>
      <c r="B807" s="3" t="inlineStr">
        <is>
          <t>중심상업지역</t>
        </is>
      </c>
      <c r="C807" s="3" t="inlineStr">
        <is>
          <t>대</t>
        </is>
      </c>
      <c r="D807" s="3" t="inlineStr">
        <is>
          <t>대</t>
        </is>
      </c>
      <c r="E807" s="3" t="inlineStr">
        <is>
          <t>매매</t>
        </is>
      </c>
      <c r="F807" s="4" t="n">
        <v>44000</v>
      </c>
      <c r="G807" s="4" t="n">
        <v>211</v>
      </c>
      <c r="H807" s="4" t="n">
        <v>64</v>
      </c>
      <c r="I807" s="5" t="n">
        <v>687.5</v>
      </c>
      <c r="J807" s="4" t="n">
        <v>747.8</v>
      </c>
      <c r="K807" s="3" t="inlineStr">
        <is>
          <t>sk뷰자이인근.단독주택건축.교통편리.최대한조율</t>
        </is>
      </c>
      <c r="L807" s="6">
        <f>HYPERLINK("https://fin.land.naver.com/articles/2648090665", "매물Link")</f>
        <v/>
      </c>
      <c r="M807" s="6">
        <f>HYPERLINK("https://map.naver.com/p/search/세종특별자치시 나성동 829", "지도Link")</f>
        <v/>
      </c>
      <c r="N807" s="6">
        <f>HYPERLINK("http://www.eum.go.kr/web/ar/lu/luLandDet.jsp?pnu=3611010700108290000&amp;isNoScr=script&amp;mode=search", "토지이음")</f>
        <v/>
      </c>
      <c r="O807" s="3" t="inlineStr">
        <is>
          <t>조은</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세종특별자치시 나성동 829</t>
        </is>
      </c>
      <c r="B808" s="3" t="inlineStr">
        <is>
          <t>중심상업지역</t>
        </is>
      </c>
      <c r="C808" s="3" t="inlineStr">
        <is>
          <t>대</t>
        </is>
      </c>
      <c r="D808" s="3" t="inlineStr">
        <is>
          <t>대</t>
        </is>
      </c>
      <c r="E808" s="3" t="inlineStr">
        <is>
          <t>매매</t>
        </is>
      </c>
      <c r="F808" s="4" t="n">
        <v>325000</v>
      </c>
      <c r="G808" s="4" t="n">
        <v>1653</v>
      </c>
      <c r="H808" s="4" t="n">
        <v>500</v>
      </c>
      <c r="I808" s="5" t="n">
        <v>650</v>
      </c>
      <c r="J808" s="4" t="n">
        <v>747.8</v>
      </c>
      <c r="K808" s="3" t="inlineStr">
        <is>
          <t>삼면이 도로접한 위치의 토지 준공업지역</t>
        </is>
      </c>
      <c r="L808" s="6">
        <f>HYPERLINK("https://fin.land.naver.com/articles/2646668569", "매물Link")</f>
        <v/>
      </c>
      <c r="M808" s="6">
        <f>HYPERLINK("https://map.naver.com/p/search/세종특별자치시 나성동 829", "지도Link")</f>
        <v/>
      </c>
      <c r="N808" s="6">
        <f>HYPERLINK("http://www.eum.go.kr/web/ar/lu/luLandDet.jsp?pnu=3611010700108290000&amp;isNoScr=script&amp;mode=search", "토지이음")</f>
        <v/>
      </c>
      <c r="O808" s="3" t="inlineStr">
        <is>
          <t>더원</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세종특별자치시 나성동 829</t>
        </is>
      </c>
      <c r="B809" s="3" t="inlineStr">
        <is>
          <t>중심상업지역</t>
        </is>
      </c>
      <c r="C809" s="3" t="inlineStr">
        <is>
          <t>대</t>
        </is>
      </c>
      <c r="D809" s="3" t="inlineStr">
        <is>
          <t>대</t>
        </is>
      </c>
      <c r="E809" s="3" t="inlineStr">
        <is>
          <t>매매</t>
        </is>
      </c>
      <c r="F809" s="4" t="n">
        <v>427200</v>
      </c>
      <c r="G809" s="4" t="n">
        <v>2356</v>
      </c>
      <c r="H809" s="4" t="n">
        <v>713</v>
      </c>
      <c r="I809" s="5" t="n">
        <v>599.2</v>
      </c>
      <c r="J809" s="4" t="n">
        <v>747.8</v>
      </c>
      <c r="K809" s="3" t="inlineStr">
        <is>
          <t>봉명동 현대아이파크 대로변 접한 메인코너 각지 토지 위치최상</t>
        </is>
      </c>
      <c r="L809" s="6">
        <f>HYPERLINK("https://fin.land.naver.com/articles/2646668704", "매물Link")</f>
        <v/>
      </c>
      <c r="M809" s="6">
        <f>HYPERLINK("https://map.naver.com/p/search/세종특별자치시 나성동 829", "지도Link")</f>
        <v/>
      </c>
      <c r="N809" s="6">
        <f>HYPERLINK("http://www.eum.go.kr/web/ar/lu/luLandDet.jsp?pnu=3611010700108290000&amp;isNoScr=script&amp;mode=search", "토지이음")</f>
        <v/>
      </c>
      <c r="O809" s="3" t="inlineStr">
        <is>
          <t>더원</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세종특별자치시 나성동 829</t>
        </is>
      </c>
      <c r="B810" s="3" t="inlineStr">
        <is>
          <t>중심상업지역</t>
        </is>
      </c>
      <c r="C810" s="3" t="inlineStr">
        <is>
          <t>대</t>
        </is>
      </c>
      <c r="D810" s="3" t="inlineStr">
        <is>
          <t>대</t>
        </is>
      </c>
      <c r="E810" s="3" t="inlineStr">
        <is>
          <t>매매</t>
        </is>
      </c>
      <c r="F810" s="4" t="n">
        <v>200000</v>
      </c>
      <c r="G810" s="4" t="n">
        <v>859</v>
      </c>
      <c r="H810" s="4" t="n">
        <v>260</v>
      </c>
      <c r="I810" s="5" t="n">
        <v>769.2</v>
      </c>
      <c r="J810" s="4" t="n">
        <v>747.8</v>
      </c>
      <c r="K810" s="3" t="inlineStr">
        <is>
          <t>봉명동 예술의 전당 인근 대로 각지 토지 매매</t>
        </is>
      </c>
      <c r="L810" s="6">
        <f>HYPERLINK("https://fin.land.naver.com/articles/2647368526", "매물Link")</f>
        <v/>
      </c>
      <c r="M810" s="6">
        <f>HYPERLINK("https://map.naver.com/p/search/세종특별자치시 나성동 829", "지도Link")</f>
        <v/>
      </c>
      <c r="N810" s="6">
        <f>HYPERLINK("http://www.eum.go.kr/web/ar/lu/luLandDet.jsp?pnu=3611010700108290000&amp;isNoScr=script&amp;mode=search", "토지이음")</f>
        <v/>
      </c>
      <c r="O810" s="3" t="inlineStr">
        <is>
          <t>윤</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세종특별자치시 나성동 829</t>
        </is>
      </c>
      <c r="B811" s="3" t="inlineStr">
        <is>
          <t>중심상업지역</t>
        </is>
      </c>
      <c r="C811" s="3" t="inlineStr">
        <is>
          <t>대</t>
        </is>
      </c>
      <c r="D811" s="3" t="inlineStr">
        <is>
          <t>대</t>
        </is>
      </c>
      <c r="E811" s="3" t="inlineStr">
        <is>
          <t>매매</t>
        </is>
      </c>
      <c r="F811" s="4" t="n">
        <v>20000</v>
      </c>
      <c r="G811" s="4" t="n">
        <v>142</v>
      </c>
      <c r="H811" s="4" t="n">
        <v>43</v>
      </c>
      <c r="I811" s="5" t="n">
        <v>465.1</v>
      </c>
      <c r="J811" s="4" t="n">
        <v>747.8</v>
      </c>
      <c r="K811" s="3" t="inlineStr">
        <is>
          <t>현재나지대임.복대4거리 포스코아파트부근 소형주택지적합</t>
        </is>
      </c>
      <c r="L811" s="6">
        <f>HYPERLINK("https://fin.land.naver.com/articles/2647034808", "매물Link")</f>
        <v/>
      </c>
      <c r="M811" s="6">
        <f>HYPERLINK("https://map.naver.com/p/search/세종특별자치시 나성동 829", "지도Link")</f>
        <v/>
      </c>
      <c r="N811" s="6">
        <f>HYPERLINK("http://www.eum.go.kr/web/ar/lu/luLandDet.jsp?pnu=3611010700108290000&amp;isNoScr=script&amp;mode=search", "토지이음")</f>
        <v/>
      </c>
      <c r="O811" s="3" t="inlineStr">
        <is>
          <t>청와대합동</t>
        </is>
      </c>
      <c r="P811" s="3" t="n">
        <v>1</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세종특별자치시 나성동 829</t>
        </is>
      </c>
      <c r="B812" s="3" t="inlineStr">
        <is>
          <t>중심상업지역</t>
        </is>
      </c>
      <c r="C812" s="3" t="inlineStr">
        <is>
          <t>대</t>
        </is>
      </c>
      <c r="D812" s="3" t="inlineStr">
        <is>
          <t>대</t>
        </is>
      </c>
      <c r="E812" s="3" t="inlineStr">
        <is>
          <t>매매</t>
        </is>
      </c>
      <c r="F812" s="4" t="n">
        <v>180000</v>
      </c>
      <c r="G812" s="4" t="n">
        <v>745</v>
      </c>
      <c r="H812" s="4" t="n">
        <v>225</v>
      </c>
      <c r="I812" s="5" t="n">
        <v>800</v>
      </c>
      <c r="J812" s="4" t="n">
        <v>747.8</v>
      </c>
      <c r="K812" s="3" t="inlineStr">
        <is>
          <t>nan</t>
        </is>
      </c>
      <c r="L812" s="6">
        <f>HYPERLINK("https://fin.land.naver.com/articles/2647474430", "매물Link")</f>
        <v/>
      </c>
      <c r="M812" s="6">
        <f>HYPERLINK("https://map.naver.com/p/search/세종특별자치시 나성동 829", "지도Link")</f>
        <v/>
      </c>
      <c r="N812" s="6">
        <f>HYPERLINK("http://www.eum.go.kr/web/ar/lu/luLandDet.jsp?pnu=3611010700108290000&amp;isNoScr=script&amp;mode=search", "토지이음")</f>
        <v/>
      </c>
      <c r="O812" s="3" t="inlineStr">
        <is>
          <t>좋은터</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세종특별자치시 나성동 829</t>
        </is>
      </c>
      <c r="B813" s="3" t="inlineStr">
        <is>
          <t>중심상업지역</t>
        </is>
      </c>
      <c r="C813" s="3" t="inlineStr">
        <is>
          <t>대</t>
        </is>
      </c>
      <c r="D813" s="3" t="inlineStr">
        <is>
          <t>대</t>
        </is>
      </c>
      <c r="E813" s="3" t="inlineStr">
        <is>
          <t>매매</t>
        </is>
      </c>
      <c r="F813" s="4" t="n">
        <v>292000</v>
      </c>
      <c r="G813" s="4" t="n">
        <v>964</v>
      </c>
      <c r="H813" s="4" t="n">
        <v>292</v>
      </c>
      <c r="I813" s="5" t="n">
        <v>1000</v>
      </c>
      <c r="J813" s="4" t="n">
        <v>747.8</v>
      </c>
      <c r="K813" s="3" t="inlineStr">
        <is>
          <t>6차선대로변 청주 중심권 복대가경 사창지구 세시보다저렴매물</t>
        </is>
      </c>
      <c r="L813" s="6">
        <f>HYPERLINK("https://fin.land.naver.com/articles/2647605959", "매물Link")</f>
        <v/>
      </c>
      <c r="M813" s="6">
        <f>HYPERLINK("https://map.naver.com/p/search/세종특별자치시 나성동 829", "지도Link")</f>
        <v/>
      </c>
      <c r="N813" s="6">
        <f>HYPERLINK("http://www.eum.go.kr/web/ar/lu/luLandDet.jsp?pnu=3611010700108290000&amp;isNoScr=script&amp;mode=search", "토지이음")</f>
        <v/>
      </c>
      <c r="O813" s="3" t="inlineStr">
        <is>
          <t>자이원</t>
        </is>
      </c>
      <c r="P813" s="3" t="n">
        <v>2</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세종특별자치시 나성동 829</t>
        </is>
      </c>
      <c r="B814" s="3" t="inlineStr">
        <is>
          <t>중심상업지역</t>
        </is>
      </c>
      <c r="C814" s="3" t="inlineStr">
        <is>
          <t>대</t>
        </is>
      </c>
      <c r="D814" s="3" t="inlineStr">
        <is>
          <t>공장용지</t>
        </is>
      </c>
      <c r="E814" s="3" t="inlineStr">
        <is>
          <t>매매</t>
        </is>
      </c>
      <c r="F814" s="4" t="n">
        <v>540000</v>
      </c>
      <c r="G814" s="4" t="n">
        <v>4463</v>
      </c>
      <c r="H814" s="4" t="n">
        <v>1350</v>
      </c>
      <c r="I814" s="5" t="n">
        <v>400</v>
      </c>
      <c r="J814" s="4" t="n">
        <v>747.8</v>
      </c>
      <c r="K814" s="3" t="inlineStr">
        <is>
          <t>신봉동 대성중학교 부근 준공업단지내 공장용지 입니다</t>
        </is>
      </c>
      <c r="L814" s="6">
        <f>HYPERLINK("https://fin.land.naver.com/articles/2647077790", "매물Link")</f>
        <v/>
      </c>
      <c r="M814" s="6">
        <f>HYPERLINK("https://map.naver.com/p/search/세종특별자치시 나성동 829", "지도Link")</f>
        <v/>
      </c>
      <c r="N814" s="6">
        <f>HYPERLINK("http://www.eum.go.kr/web/ar/lu/luLandDet.jsp?pnu=3611010700108290000&amp;isNoScr=script&amp;mode=search", "토지이음")</f>
        <v/>
      </c>
      <c r="O814" s="3" t="inlineStr">
        <is>
          <t>지구촌무소</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세종특별자치시 나성동 829</t>
        </is>
      </c>
      <c r="B815" s="3" t="inlineStr">
        <is>
          <t>중심상업지역</t>
        </is>
      </c>
      <c r="C815" s="3" t="inlineStr">
        <is>
          <t>대</t>
        </is>
      </c>
      <c r="D815" s="3" t="inlineStr">
        <is>
          <t>전</t>
        </is>
      </c>
      <c r="E815" s="3" t="inlineStr">
        <is>
          <t>매매</t>
        </is>
      </c>
      <c r="F815" s="4" t="n">
        <v>8500</v>
      </c>
      <c r="G815" s="4" t="n">
        <v>744</v>
      </c>
      <c r="H815" s="4" t="n">
        <v>225</v>
      </c>
      <c r="I815" s="5" t="n">
        <v>37.8</v>
      </c>
      <c r="J815" s="4" t="n">
        <v>747.8</v>
      </c>
      <c r="K815" s="3" t="inlineStr">
        <is>
          <t>nan</t>
        </is>
      </c>
      <c r="L815" s="6">
        <f>HYPERLINK("https://fin.land.naver.com/articles/2647622545", "매물Link")</f>
        <v/>
      </c>
      <c r="M815" s="6">
        <f>HYPERLINK("https://map.naver.com/p/search/세종특별자치시 나성동 829", "지도Link")</f>
        <v/>
      </c>
      <c r="N815" s="6">
        <f>HYPERLINK("http://www.eum.go.kr/web/ar/lu/luLandDet.jsp?pnu=3611010700108290000&amp;isNoScr=script&amp;mode=search", "토지이음")</f>
        <v/>
      </c>
      <c r="O815" s="3" t="inlineStr">
        <is>
          <t>가가</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세종특별자치시 나성동 829</t>
        </is>
      </c>
      <c r="B816" s="3" t="inlineStr">
        <is>
          <t>중심상업지역</t>
        </is>
      </c>
      <c r="C816" s="3" t="inlineStr">
        <is>
          <t>대</t>
        </is>
      </c>
      <c r="D816" s="3" t="inlineStr">
        <is>
          <t>전</t>
        </is>
      </c>
      <c r="E816" s="3" t="inlineStr">
        <is>
          <t>매매</t>
        </is>
      </c>
      <c r="F816" s="4" t="n">
        <v>43000</v>
      </c>
      <c r="G816" s="4" t="n">
        <v>1309</v>
      </c>
      <c r="H816" s="4" t="n">
        <v>396</v>
      </c>
      <c r="I816" s="5" t="n">
        <v>108.6</v>
      </c>
      <c r="J816" s="4" t="n">
        <v>747.8</v>
      </c>
      <c r="K816" s="3" t="inlineStr">
        <is>
          <t>석곡교차로 호암방죽인근, 교통요충지, 주말농장 및 투자용</t>
        </is>
      </c>
      <c r="L816" s="6">
        <f>HYPERLINK("https://fin.land.naver.com/articles/2650064748", "매물Link")</f>
        <v/>
      </c>
      <c r="M816" s="6">
        <f>HYPERLINK("https://map.naver.com/p/search/세종특별자치시 나성동 829", "지도Link")</f>
        <v/>
      </c>
      <c r="N816" s="6">
        <f>HYPERLINK("http://www.eum.go.kr/web/ar/lu/luLandDet.jsp?pnu=3611010700108290000&amp;isNoScr=script&amp;mode=search", "토지이음")</f>
        <v/>
      </c>
      <c r="O816" s="3" t="inlineStr">
        <is>
          <t>개신푸르지오</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세종특별자치시 나성동 829</t>
        </is>
      </c>
      <c r="B817" s="3" t="inlineStr">
        <is>
          <t>중심상업지역</t>
        </is>
      </c>
      <c r="C817" s="3" t="inlineStr">
        <is>
          <t>대</t>
        </is>
      </c>
      <c r="D817" s="3" t="inlineStr">
        <is>
          <t>대</t>
        </is>
      </c>
      <c r="E817" s="3" t="inlineStr">
        <is>
          <t>매매</t>
        </is>
      </c>
      <c r="F817" s="4" t="n">
        <v>61200</v>
      </c>
      <c r="G817" s="4" t="n">
        <v>1308</v>
      </c>
      <c r="H817" s="4" t="n">
        <v>396</v>
      </c>
      <c r="I817" s="5" t="n">
        <v>154.5</v>
      </c>
      <c r="J817" s="4" t="n">
        <v>747.8</v>
      </c>
      <c r="K817" s="3" t="inlineStr">
        <is>
          <t>휴암동 단독 주택 토지 매매</t>
        </is>
      </c>
      <c r="L817" s="6">
        <f>HYPERLINK("https://fin.land.naver.com/articles/2644210603", "매물Link")</f>
        <v/>
      </c>
      <c r="M817" s="6">
        <f>HYPERLINK("https://map.naver.com/p/search/세종특별자치시 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세종특별자치시 나성동 829</t>
        </is>
      </c>
      <c r="B818" s="3" t="inlineStr">
        <is>
          <t>중심상업지역</t>
        </is>
      </c>
      <c r="C818" s="3" t="inlineStr">
        <is>
          <t>대</t>
        </is>
      </c>
      <c r="D818" s="3" t="inlineStr">
        <is>
          <t>답</t>
        </is>
      </c>
      <c r="E818" s="3" t="inlineStr">
        <is>
          <t>매매</t>
        </is>
      </c>
      <c r="F818" s="4" t="n">
        <v>160000</v>
      </c>
      <c r="G818" s="4" t="n">
        <v>2086</v>
      </c>
      <c r="H818" s="4" t="n">
        <v>631</v>
      </c>
      <c r="I818" s="5" t="n">
        <v>253.6</v>
      </c>
      <c r="J818" s="4" t="n">
        <v>747.8</v>
      </c>
      <c r="K818" s="3" t="inlineStr">
        <is>
          <t>휴암동 토지 매매</t>
        </is>
      </c>
      <c r="L818" s="6">
        <f>HYPERLINK("https://fin.land.naver.com/articles/2645889689", "매물Link")</f>
        <v/>
      </c>
      <c r="M818" s="6">
        <f>HYPERLINK("https://map.naver.com/p/search/세종특별자치시 나성동 829", "지도Link")</f>
        <v/>
      </c>
      <c r="N818" s="6">
        <f>HYPERLINK("http://www.eum.go.kr/web/ar/lu/luLandDet.jsp?pnu=3611010700108290000&amp;isNoScr=script&amp;mode=search", "토지이음")</f>
        <v/>
      </c>
      <c r="O818" s="3" t="inlineStr">
        <is>
          <t>사거리</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세종특별자치시 나성동 829</t>
        </is>
      </c>
      <c r="B819" s="3" t="inlineStr">
        <is>
          <t>중심상업지역</t>
        </is>
      </c>
      <c r="C819" s="3" t="inlineStr">
        <is>
          <t>대</t>
        </is>
      </c>
      <c r="D819" s="3" t="inlineStr">
        <is>
          <t>공장용지</t>
        </is>
      </c>
      <c r="E819" s="3" t="inlineStr">
        <is>
          <t>매매</t>
        </is>
      </c>
      <c r="F819" s="4" t="n">
        <v>300000</v>
      </c>
      <c r="G819" s="4" t="n">
        <v>3742</v>
      </c>
      <c r="H819" s="4" t="n">
        <v>1132</v>
      </c>
      <c r="I819" s="5" t="n">
        <v>265</v>
      </c>
      <c r="J819" s="4" t="n">
        <v>747.8</v>
      </c>
      <c r="K819" s="3" t="inlineStr">
        <is>
          <t>대로변 삼거리 코너 전시효과 최고 요지</t>
        </is>
      </c>
      <c r="L819" s="6">
        <f>HYPERLINK("https://fin.land.naver.com/articles/2648082635", "매물Link")</f>
        <v/>
      </c>
      <c r="M819" s="6">
        <f>HYPERLINK("https://map.naver.com/p/search/세종특별자치시 나성동 829", "지도Link")</f>
        <v/>
      </c>
      <c r="N819" s="6">
        <f>HYPERLINK("http://www.eum.go.kr/web/ar/lu/luLandDet.jsp?pnu=3611010700108290000&amp;isNoScr=script&amp;mode=search", "토지이음")</f>
        <v/>
      </c>
      <c r="O819" s="3" t="inlineStr">
        <is>
          <t>좋은터</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세종특별자치시 나성동 829</t>
        </is>
      </c>
      <c r="B820" s="3" t="inlineStr">
        <is>
          <t>중심상업지역</t>
        </is>
      </c>
      <c r="C820" s="3" t="inlineStr">
        <is>
          <t>대</t>
        </is>
      </c>
      <c r="D820" s="3" t="inlineStr">
        <is>
          <t>전</t>
        </is>
      </c>
      <c r="E820" s="3" t="inlineStr">
        <is>
          <t>매매</t>
        </is>
      </c>
      <c r="F820" s="4" t="n">
        <v>60000</v>
      </c>
      <c r="G820" s="4" t="n">
        <v>668</v>
      </c>
      <c r="H820" s="4" t="n">
        <v>202</v>
      </c>
      <c r="I820" s="5" t="n">
        <v>297</v>
      </c>
      <c r="J820" s="4" t="n">
        <v>747.8</v>
      </c>
      <c r="K820" s="3" t="inlineStr">
        <is>
          <t>주택지로 적합.  충북공고 부근 교통편리.공동지분땅 미포함.</t>
        </is>
      </c>
      <c r="L820" s="6">
        <f>HYPERLINK("https://fin.land.naver.com/articles/2647033275", "매물Link")</f>
        <v/>
      </c>
      <c r="M820" s="6">
        <f>HYPERLINK("https://map.naver.com/p/search/세종특별자치시 나성동 829", "지도Link")</f>
        <v/>
      </c>
      <c r="N820" s="6">
        <f>HYPERLINK("http://www.eum.go.kr/web/ar/lu/luLandDet.jsp?pnu=3611010700108290000&amp;isNoScr=script&amp;mode=search", "토지이음")</f>
        <v/>
      </c>
      <c r="O820" s="3" t="inlineStr">
        <is>
          <t>청와대합동</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세종특별자치시 나성동 829</t>
        </is>
      </c>
      <c r="B821" s="3" t="inlineStr">
        <is>
          <t>중심상업지역</t>
        </is>
      </c>
      <c r="C821" s="3" t="inlineStr">
        <is>
          <t>대</t>
        </is>
      </c>
      <c r="D821" s="3" t="inlineStr">
        <is>
          <t>전</t>
        </is>
      </c>
      <c r="E821" s="3" t="inlineStr">
        <is>
          <t>매매</t>
        </is>
      </c>
      <c r="F821" s="4" t="n">
        <v>76000</v>
      </c>
      <c r="G821" s="4" t="n">
        <v>2094</v>
      </c>
      <c r="H821" s="4" t="n">
        <v>633</v>
      </c>
      <c r="I821" s="5" t="n">
        <v>120.1</v>
      </c>
      <c r="J821" s="4" t="n">
        <v>747.8</v>
      </c>
      <c r="K821" s="3" t="inlineStr">
        <is>
          <t>모든 업종 가능 한 토지 매매</t>
        </is>
      </c>
      <c r="L821" s="6">
        <f>HYPERLINK("https://fin.land.naver.com/articles/2649561554", "매물Link")</f>
        <v/>
      </c>
      <c r="M821" s="6">
        <f>HYPERLINK("https://map.naver.com/p/search/세종특별자치시 나성동 829", "지도Link")</f>
        <v/>
      </c>
      <c r="N821" s="6">
        <f>HYPERLINK("http://www.eum.go.kr/web/ar/lu/luLandDet.jsp?pnu=3611010700108290000&amp;isNoScr=script&amp;mode=search", "토지이음")</f>
        <v/>
      </c>
      <c r="O821" s="3" t="inlineStr">
        <is>
          <t>사거리</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세종특별자치시 나성동 829</t>
        </is>
      </c>
      <c r="B822" s="3" t="inlineStr">
        <is>
          <t>중심상업지역</t>
        </is>
      </c>
      <c r="C822" s="3" t="inlineStr">
        <is>
          <t>대</t>
        </is>
      </c>
      <c r="D822" s="3" t="inlineStr">
        <is>
          <t>대</t>
        </is>
      </c>
      <c r="E822" s="3" t="inlineStr">
        <is>
          <t>매매</t>
        </is>
      </c>
      <c r="F822" s="4" t="n">
        <v>550000</v>
      </c>
      <c r="G822" s="4" t="n">
        <v>1164</v>
      </c>
      <c r="H822" s="4" t="n">
        <v>352</v>
      </c>
      <c r="I822" s="5" t="n">
        <v>1562.5</v>
      </c>
      <c r="J822" s="4" t="n">
        <v>747.8</v>
      </c>
      <c r="K822" s="3" t="inlineStr">
        <is>
          <t>터미널맞은편 상업지역 도생 오피스텔 상가건물등 추천</t>
        </is>
      </c>
      <c r="L822" s="6">
        <f>HYPERLINK("https://fin.land.naver.com/articles/2644664408", "매물Link")</f>
        <v/>
      </c>
      <c r="M822" s="6">
        <f>HYPERLINK("https://map.naver.com/p/search/세종특별자치시 나성동 829", "지도Link")</f>
        <v/>
      </c>
      <c r="N822" s="6">
        <f>HYPERLINK("http://www.eum.go.kr/web/ar/lu/luLandDet.jsp?pnu=3611010700108290000&amp;isNoScr=script&amp;mode=search", "토지이음")</f>
        <v/>
      </c>
      <c r="O822" s="3" t="inlineStr">
        <is>
          <t>더원</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세종특별자치시 나성동 829</t>
        </is>
      </c>
      <c r="B823" s="3" t="inlineStr">
        <is>
          <t>중심상업지역</t>
        </is>
      </c>
      <c r="C823" s="3" t="inlineStr">
        <is>
          <t>대</t>
        </is>
      </c>
      <c r="D823" s="3" t="inlineStr">
        <is>
          <t>대</t>
        </is>
      </c>
      <c r="E823" s="3" t="inlineStr">
        <is>
          <t>매매</t>
        </is>
      </c>
      <c r="F823" s="4" t="n">
        <v>320000</v>
      </c>
      <c r="G823" s="4" t="n">
        <v>877</v>
      </c>
      <c r="H823" s="4" t="n">
        <v>265</v>
      </c>
      <c r="I823" s="5" t="n">
        <v>1207.5</v>
      </c>
      <c r="J823" s="4" t="n">
        <v>747.8</v>
      </c>
      <c r="K823" s="3" t="inlineStr">
        <is>
          <t>터미널인근 일반상업지역하이마트인근 단층건물있음</t>
        </is>
      </c>
      <c r="L823" s="6">
        <f>HYPERLINK("https://fin.land.naver.com/articles/2646668450", "매물Link")</f>
        <v/>
      </c>
      <c r="M823" s="6">
        <f>HYPERLINK("https://map.naver.com/p/search/세종특별자치시 나성동 829", "지도Link")</f>
        <v/>
      </c>
      <c r="N823" s="6">
        <f>HYPERLINK("http://www.eum.go.kr/web/ar/lu/luLandDet.jsp?pnu=3611010700108290000&amp;isNoScr=script&amp;mode=search", "토지이음")</f>
        <v/>
      </c>
      <c r="O823" s="3" t="inlineStr">
        <is>
          <t>더원</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세종특별자치시 나성동 829</t>
        </is>
      </c>
      <c r="B824" s="3" t="inlineStr">
        <is>
          <t>중심상업지역</t>
        </is>
      </c>
      <c r="C824" s="3" t="inlineStr">
        <is>
          <t>대</t>
        </is>
      </c>
      <c r="D824" s="3" t="inlineStr">
        <is>
          <t>대</t>
        </is>
      </c>
      <c r="E824" s="3" t="inlineStr">
        <is>
          <t>매매</t>
        </is>
      </c>
      <c r="F824" s="4" t="n">
        <v>1800000</v>
      </c>
      <c r="G824" s="4" t="n">
        <v>6100</v>
      </c>
      <c r="H824" s="4" t="n">
        <v>1845</v>
      </c>
      <c r="I824" s="5" t="n">
        <v>975.6</v>
      </c>
      <c r="J824" s="4" t="n">
        <v>747.8</v>
      </c>
      <c r="K824" s="3" t="inlineStr">
        <is>
          <t>대규모 아파트 밀집지역, 교통량 많은 대로변 사거리 병원, 전시매장 자리</t>
        </is>
      </c>
      <c r="L824" s="6">
        <f>HYPERLINK("https://fin.land.naver.com/articles/2648845329", "매물Link")</f>
        <v/>
      </c>
      <c r="M824" s="6">
        <f>HYPERLINK("https://map.naver.com/p/search/세종특별자치시 나성동 829", "지도Link")</f>
        <v/>
      </c>
      <c r="N824" s="6">
        <f>HYPERLINK("http://www.eum.go.kr/web/ar/lu/luLandDet.jsp?pnu=3611010700108290000&amp;isNoScr=script&amp;mode=search", "토지이음")</f>
        <v/>
      </c>
      <c r="O824" s="3" t="inlineStr">
        <is>
          <t>좋은터</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세종특별자치시 나성동 829</t>
        </is>
      </c>
      <c r="B825" s="3" t="inlineStr">
        <is>
          <t>중심상업지역</t>
        </is>
      </c>
      <c r="C825" s="3" t="inlineStr">
        <is>
          <t>대</t>
        </is>
      </c>
      <c r="D825" s="3" t="inlineStr">
        <is>
          <t>답</t>
        </is>
      </c>
      <c r="E825" s="3" t="inlineStr">
        <is>
          <t>매매</t>
        </is>
      </c>
      <c r="F825" s="4" t="n">
        <v>21300</v>
      </c>
      <c r="G825" s="4" t="n">
        <v>2073</v>
      </c>
      <c r="H825" s="4" t="n">
        <v>627</v>
      </c>
      <c r="I825" s="5" t="n">
        <v>34</v>
      </c>
      <c r="J825" s="4" t="n">
        <v>747.8</v>
      </c>
      <c r="K825" s="3" t="inlineStr">
        <is>
          <t>Point 저렴한 토지, 도로접하여 접근성 우수, 땅모양 좋음</t>
        </is>
      </c>
      <c r="L825" s="6">
        <f>HYPERLINK("https://fin.land.naver.com/articles/2645575673", "매물Link")</f>
        <v/>
      </c>
      <c r="M825" s="6">
        <f>HYPERLINK("https://map.naver.com/p/search/세종특별자치시 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세종특별자치시 나성동 829</t>
        </is>
      </c>
      <c r="B826" s="3" t="inlineStr">
        <is>
          <t>중심상업지역</t>
        </is>
      </c>
      <c r="C826" s="3" t="inlineStr">
        <is>
          <t>대</t>
        </is>
      </c>
      <c r="D826" s="3" t="inlineStr">
        <is>
          <t>전</t>
        </is>
      </c>
      <c r="E826" s="3" t="inlineStr">
        <is>
          <t>매매</t>
        </is>
      </c>
      <c r="F826" s="4" t="n">
        <v>490000</v>
      </c>
      <c r="G826" s="4" t="n">
        <v>4642</v>
      </c>
      <c r="H826" s="4" t="n">
        <v>1404</v>
      </c>
      <c r="I826" s="5" t="n">
        <v>349</v>
      </c>
      <c r="J826" s="4" t="n">
        <v>747.8</v>
      </c>
      <c r="K826" s="3" t="inlineStr">
        <is>
          <t>청주시청 충북도청 옆,청주시내 중심생활권 회사사옥,물류창고,상업시설</t>
        </is>
      </c>
      <c r="L826" s="6">
        <f>HYPERLINK("https://fin.land.naver.com/articles/2644310565", "매물Link")</f>
        <v/>
      </c>
      <c r="M826" s="6">
        <f>HYPERLINK("https://map.naver.com/p/search/세종특별자치시 나성동 829", "지도Link")</f>
        <v/>
      </c>
      <c r="N826" s="6">
        <f>HYPERLINK("http://www.eum.go.kr/web/ar/lu/luLandDet.jsp?pnu=3611010700108290000&amp;isNoScr=script&amp;mode=search", "토지이음")</f>
        <v/>
      </c>
      <c r="O826" s="3" t="inlineStr">
        <is>
          <t>딸기(02-848-2300단지내)</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세종특별자치시 나성동 829</t>
        </is>
      </c>
      <c r="B827" s="3" t="inlineStr">
        <is>
          <t>중심상업지역</t>
        </is>
      </c>
      <c r="C827" s="3" t="inlineStr">
        <is>
          <t>대</t>
        </is>
      </c>
      <c r="D827" s="3" t="inlineStr">
        <is>
          <t>대</t>
        </is>
      </c>
      <c r="E827" s="3" t="inlineStr">
        <is>
          <t>매매</t>
        </is>
      </c>
      <c r="F827" s="4" t="n">
        <v>7200</v>
      </c>
      <c r="G827" s="4" t="n">
        <v>163</v>
      </c>
      <c r="H827" s="4" t="n">
        <v>49</v>
      </c>
      <c r="I827" s="5" t="n">
        <v>146.9</v>
      </c>
      <c r="J827" s="4" t="n">
        <v>747.8</v>
      </c>
      <c r="K827" s="3" t="inlineStr">
        <is>
          <t>nan</t>
        </is>
      </c>
      <c r="L827" s="6">
        <f>HYPERLINK("https://fin.land.naver.com/articles/2644049957", "매물Link")</f>
        <v/>
      </c>
      <c r="M827" s="6">
        <f>HYPERLINK("https://map.naver.com/p/search/세종특별자치시 나성동 829", "지도Link")</f>
        <v/>
      </c>
      <c r="N827" s="6">
        <f>HYPERLINK("http://www.eum.go.kr/web/ar/lu/luLandDet.jsp?pnu=3611010700108290000&amp;isNoScr=script&amp;mode=search", "토지이음")</f>
        <v/>
      </c>
      <c r="O827" s="3" t="inlineStr">
        <is>
          <t>우리동네</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세종특별자치시 나성동 829</t>
        </is>
      </c>
      <c r="B828" s="3" t="inlineStr">
        <is>
          <t>중심상업지역</t>
        </is>
      </c>
      <c r="C828" s="3" t="inlineStr">
        <is>
          <t>대</t>
        </is>
      </c>
      <c r="D828" s="3" t="inlineStr">
        <is>
          <t>대</t>
        </is>
      </c>
      <c r="E828" s="3" t="inlineStr">
        <is>
          <t>매매</t>
        </is>
      </c>
      <c r="F828" s="4" t="n">
        <v>8400</v>
      </c>
      <c r="G828" s="4" t="n">
        <v>275</v>
      </c>
      <c r="H828" s="4" t="n">
        <v>83</v>
      </c>
      <c r="I828" s="5" t="n">
        <v>101.2</v>
      </c>
      <c r="J828" s="4" t="n">
        <v>747.8</v>
      </c>
      <c r="K828" s="3" t="inlineStr">
        <is>
          <t>Point 구옥 있고, 텃밭, 도로접, 막힘없는 뷰,즉시 입주 가능</t>
        </is>
      </c>
      <c r="L828" s="6">
        <f>HYPERLINK("https://fin.land.naver.com/articles/2644649606", "매물Link")</f>
        <v/>
      </c>
      <c r="M828" s="6">
        <f>HYPERLINK("https://map.naver.com/p/search/세종특별자치시 나성동 829", "지도Link")</f>
        <v/>
      </c>
      <c r="N828" s="6">
        <f>HYPERLINK("http://www.eum.go.kr/web/ar/lu/luLandDet.jsp?pnu=3611010700108290000&amp;isNoScr=script&amp;mode=search", "토지이음")</f>
        <v/>
      </c>
      <c r="O828" s="3" t="inlineStr">
        <is>
          <t>도마호반</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세종특별자치시 나성동 829</t>
        </is>
      </c>
      <c r="B829" s="3" t="inlineStr">
        <is>
          <t>중심상업지역</t>
        </is>
      </c>
      <c r="C829" s="3" t="inlineStr">
        <is>
          <t>대</t>
        </is>
      </c>
      <c r="D829" s="3" t="inlineStr">
        <is>
          <t>대</t>
        </is>
      </c>
      <c r="E829" s="3" t="inlineStr">
        <is>
          <t>매매</t>
        </is>
      </c>
      <c r="F829" s="4" t="n">
        <v>21800</v>
      </c>
      <c r="G829" s="4" t="n">
        <v>359</v>
      </c>
      <c r="H829" s="4" t="n">
        <v>109</v>
      </c>
      <c r="I829" s="5" t="n">
        <v>200</v>
      </c>
      <c r="J829" s="4" t="n">
        <v>747.8</v>
      </c>
      <c r="K829" s="3" t="inlineStr">
        <is>
          <t>코너각지 건축가능 즉시사용가 대지 일반주거지역</t>
        </is>
      </c>
      <c r="L829" s="6">
        <f>HYPERLINK("https://fin.land.naver.com/articles/2644659452", "매물Link")</f>
        <v/>
      </c>
      <c r="M829" s="6">
        <f>HYPERLINK("https://map.naver.com/p/search/세종특별자치시 나성동 829", "지도Link")</f>
        <v/>
      </c>
      <c r="N829" s="6">
        <f>HYPERLINK("http://www.eum.go.kr/web/ar/lu/luLandDet.jsp?pnu=3611010700108290000&amp;isNoScr=script&amp;mode=search", "토지이음")</f>
        <v/>
      </c>
      <c r="O829" s="3" t="inlineStr">
        <is>
          <t>우리동네</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세종특별자치시 나성동 829</t>
        </is>
      </c>
      <c r="B830" s="3" t="inlineStr">
        <is>
          <t>중심상업지역</t>
        </is>
      </c>
      <c r="C830" s="3" t="inlineStr">
        <is>
          <t>대</t>
        </is>
      </c>
      <c r="D830" s="3" t="inlineStr">
        <is>
          <t>대</t>
        </is>
      </c>
      <c r="E830" s="3" t="inlineStr">
        <is>
          <t>매매</t>
        </is>
      </c>
      <c r="F830" s="4" t="n">
        <v>20000</v>
      </c>
      <c r="G830" s="4" t="n">
        <v>360</v>
      </c>
      <c r="H830" s="4" t="n">
        <v>109</v>
      </c>
      <c r="I830" s="5" t="n">
        <v>183.5</v>
      </c>
      <c r="J830" s="4" t="n">
        <v>747.8</v>
      </c>
      <c r="K830" s="3" t="inlineStr">
        <is>
          <t>현도 산업단지 인근.건축허가o.도로접</t>
        </is>
      </c>
      <c r="L830" s="6">
        <f>HYPERLINK("https://fin.land.naver.com/articles/2644683113", "매물Link")</f>
        <v/>
      </c>
      <c r="M830" s="6">
        <f>HYPERLINK("https://map.naver.com/p/search/세종특별자치시 나성동 829", "지도Link")</f>
        <v/>
      </c>
      <c r="N830" s="6">
        <f>HYPERLINK("http://www.eum.go.kr/web/ar/lu/luLandDet.jsp?pnu=3611010700108290000&amp;isNoScr=script&amp;mode=search", "토지이음")</f>
        <v/>
      </c>
      <c r="O830" s="3" t="inlineStr">
        <is>
          <t>롯데한비</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세종특별자치시 나성동 829</t>
        </is>
      </c>
      <c r="B831" s="3" t="inlineStr">
        <is>
          <t>중심상업지역</t>
        </is>
      </c>
      <c r="C831" s="3" t="inlineStr">
        <is>
          <t>대</t>
        </is>
      </c>
      <c r="D831" s="3" t="inlineStr">
        <is>
          <t>공장용지</t>
        </is>
      </c>
      <c r="E831" s="3" t="inlineStr">
        <is>
          <t>매매</t>
        </is>
      </c>
      <c r="F831" s="4" t="n">
        <v>535000</v>
      </c>
      <c r="G831" s="4" t="n">
        <v>11785</v>
      </c>
      <c r="H831" s="4" t="n">
        <v>3565</v>
      </c>
      <c r="I831" s="5" t="n">
        <v>150.1</v>
      </c>
      <c r="J831" s="4" t="n">
        <v>747.8</v>
      </c>
      <c r="K831" s="3" t="inlineStr">
        <is>
          <t>신축 공장,창고 부지 추천 드립니다.</t>
        </is>
      </c>
      <c r="L831" s="6">
        <f>HYPERLINK("https://fin.land.naver.com/articles/2644835964", "매물Link")</f>
        <v/>
      </c>
      <c r="M831" s="6">
        <f>HYPERLINK("https://map.naver.com/p/search/세종특별자치시 나성동 829", "지도Link")</f>
        <v/>
      </c>
      <c r="N831" s="6">
        <f>HYPERLINK("http://www.eum.go.kr/web/ar/lu/luLandDet.jsp?pnu=3611010700108290000&amp;isNoScr=script&amp;mode=search", "토지이음")</f>
        <v/>
      </c>
      <c r="O831" s="3" t="inlineStr">
        <is>
          <t>삼익</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세종특별자치시 나성동 829</t>
        </is>
      </c>
      <c r="B832" s="3" t="inlineStr">
        <is>
          <t>중심상업지역</t>
        </is>
      </c>
      <c r="C832" s="3" t="inlineStr">
        <is>
          <t>대</t>
        </is>
      </c>
      <c r="D832" s="3" t="inlineStr">
        <is>
          <t>답</t>
        </is>
      </c>
      <c r="E832" s="3" t="inlineStr">
        <is>
          <t>매매</t>
        </is>
      </c>
      <c r="F832" s="4" t="n">
        <v>6500</v>
      </c>
      <c r="G832" s="4" t="n">
        <v>713</v>
      </c>
      <c r="H832" s="4" t="n">
        <v>216</v>
      </c>
      <c r="I832" s="5" t="n">
        <v>30.1</v>
      </c>
      <c r="J832" s="4" t="n">
        <v>747.8</v>
      </c>
      <c r="K832" s="3" t="inlineStr">
        <is>
          <t>Point 대전 세종 청주 근교 가까움, 도로접함, 공기 좋은 청정지역</t>
        </is>
      </c>
      <c r="L832" s="6">
        <f>HYPERLINK("https://fin.land.naver.com/articles/2644915364", "매물Link")</f>
        <v/>
      </c>
      <c r="M832" s="6">
        <f>HYPERLINK("https://map.naver.com/p/search/세종특별자치시 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세종특별자치시 나성동 829</t>
        </is>
      </c>
      <c r="B833" s="3" t="inlineStr">
        <is>
          <t>중심상업지역</t>
        </is>
      </c>
      <c r="C833" s="3" t="inlineStr">
        <is>
          <t>대</t>
        </is>
      </c>
      <c r="D833" s="3" t="inlineStr">
        <is>
          <t>전</t>
        </is>
      </c>
      <c r="E833" s="3" t="inlineStr">
        <is>
          <t>매매</t>
        </is>
      </c>
      <c r="F833" s="4" t="n">
        <v>7800</v>
      </c>
      <c r="G833" s="4" t="n">
        <v>1028</v>
      </c>
      <c r="H833" s="4" t="n">
        <v>311</v>
      </c>
      <c r="I833" s="5" t="n">
        <v>25.1</v>
      </c>
      <c r="J833" s="4" t="n">
        <v>747.8</v>
      </c>
      <c r="K833" s="3" t="inlineStr">
        <is>
          <t>Point 주말농장, 지적상 도로접함, 투자추천,산 아래 뷰 좋음</t>
        </is>
      </c>
      <c r="L833" s="6">
        <f>HYPERLINK("https://fin.land.naver.com/articles/2644915462", "매물Link")</f>
        <v/>
      </c>
      <c r="M833" s="6">
        <f>HYPERLINK("https://map.naver.com/p/search/세종특별자치시 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세종특별자치시 나성동 829</t>
        </is>
      </c>
      <c r="B834" s="3" t="inlineStr">
        <is>
          <t>중심상업지역</t>
        </is>
      </c>
      <c r="C834" s="3" t="inlineStr">
        <is>
          <t>대</t>
        </is>
      </c>
      <c r="D834" s="3" t="inlineStr">
        <is>
          <t>임야</t>
        </is>
      </c>
      <c r="E834" s="3" t="inlineStr">
        <is>
          <t>매매</t>
        </is>
      </c>
      <c r="F834" s="4" t="n">
        <v>4200</v>
      </c>
      <c r="G834" s="4" t="n">
        <v>260</v>
      </c>
      <c r="H834" s="4" t="n">
        <v>79</v>
      </c>
      <c r="I834" s="5" t="n">
        <v>53.2</v>
      </c>
      <c r="J834" s="4" t="n">
        <v>747.8</v>
      </c>
      <c r="K834" s="3" t="inlineStr">
        <is>
          <t>Point 뷰가 좋고, 주변 형세가 좋음.</t>
        </is>
      </c>
      <c r="L834" s="6">
        <f>HYPERLINK("https://fin.land.naver.com/articles/2644915501", "매물Link")</f>
        <v/>
      </c>
      <c r="M834" s="6">
        <f>HYPERLINK("https://map.naver.com/p/search/세종특별자치시 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세종특별자치시 나성동 829</t>
        </is>
      </c>
      <c r="B835" s="3" t="inlineStr">
        <is>
          <t>중심상업지역</t>
        </is>
      </c>
      <c r="C835" s="3" t="inlineStr">
        <is>
          <t>대</t>
        </is>
      </c>
      <c r="D835" s="3" t="inlineStr">
        <is>
          <t>전</t>
        </is>
      </c>
      <c r="E835" s="3" t="inlineStr">
        <is>
          <t>매매</t>
        </is>
      </c>
      <c r="F835" s="4" t="n">
        <v>42000</v>
      </c>
      <c r="G835" s="4" t="n">
        <v>3586</v>
      </c>
      <c r="H835" s="4" t="n">
        <v>1085</v>
      </c>
      <c r="I835" s="5" t="n">
        <v>38.7</v>
      </c>
      <c r="J835" s="4" t="n">
        <v>747.8</v>
      </c>
      <c r="K835" s="3" t="inlineStr">
        <is>
          <t>Point 생산관리지역, 도로 접하여 접근성 좋음</t>
        </is>
      </c>
      <c r="L835" s="6">
        <f>HYPERLINK("https://fin.land.naver.com/articles/2644916139", "매물Link")</f>
        <v/>
      </c>
      <c r="M835" s="6">
        <f>HYPERLINK("https://map.naver.com/p/search/세종특별자치시 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세종특별자치시 나성동 829</t>
        </is>
      </c>
      <c r="B836" s="3" t="inlineStr">
        <is>
          <t>중심상업지역</t>
        </is>
      </c>
      <c r="C836" s="3" t="inlineStr">
        <is>
          <t>대</t>
        </is>
      </c>
      <c r="D836" s="3" t="inlineStr">
        <is>
          <t>전</t>
        </is>
      </c>
      <c r="E836" s="3" t="inlineStr">
        <is>
          <t>매매</t>
        </is>
      </c>
      <c r="F836" s="4" t="n">
        <v>12700</v>
      </c>
      <c r="G836" s="4" t="n">
        <v>1408</v>
      </c>
      <c r="H836" s="4" t="n">
        <v>426</v>
      </c>
      <c r="I836" s="5" t="n">
        <v>29.8</v>
      </c>
      <c r="J836" s="4" t="n">
        <v>747.8</v>
      </c>
      <c r="K836" s="3" t="inlineStr">
        <is>
          <t>Point 급매, 청정지역, 도로 접함, 접근성 좋음</t>
        </is>
      </c>
      <c r="L836" s="6">
        <f>HYPERLINK("https://fin.land.naver.com/articles/2644916382", "매물Link")</f>
        <v/>
      </c>
      <c r="M836" s="6">
        <f>HYPERLINK("https://map.naver.com/p/search/세종특별자치시 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세종특별자치시 나성동 829</t>
        </is>
      </c>
      <c r="B837" s="3" t="inlineStr">
        <is>
          <t>중심상업지역</t>
        </is>
      </c>
      <c r="C837" s="3" t="inlineStr">
        <is>
          <t>대</t>
        </is>
      </c>
      <c r="D837" s="3" t="inlineStr">
        <is>
          <t>전</t>
        </is>
      </c>
      <c r="E837" s="3" t="inlineStr">
        <is>
          <t>매매</t>
        </is>
      </c>
      <c r="F837" s="4" t="n">
        <v>11700</v>
      </c>
      <c r="G837" s="4" t="n">
        <v>1084</v>
      </c>
      <c r="H837" s="4" t="n">
        <v>328</v>
      </c>
      <c r="I837" s="5" t="n">
        <v>35.7</v>
      </c>
      <c r="J837" s="4" t="n">
        <v>747.8</v>
      </c>
      <c r="K837" s="3" t="inlineStr">
        <is>
          <t>Point 생산관리지역 주변시세 보다 저렴한 토지, 땅 모양 좋음</t>
        </is>
      </c>
      <c r="L837" s="6">
        <f>HYPERLINK("https://fin.land.naver.com/articles/2644916415", "매물Link")</f>
        <v/>
      </c>
      <c r="M837" s="6">
        <f>HYPERLINK("https://map.naver.com/p/search/세종특별자치시 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세종특별자치시 나성동 829</t>
        </is>
      </c>
      <c r="B838" s="3" t="inlineStr">
        <is>
          <t>중심상업지역</t>
        </is>
      </c>
      <c r="C838" s="3" t="inlineStr">
        <is>
          <t>대</t>
        </is>
      </c>
      <c r="D838" s="3" t="inlineStr">
        <is>
          <t>임야</t>
        </is>
      </c>
      <c r="E838" s="3" t="inlineStr">
        <is>
          <t>매매</t>
        </is>
      </c>
      <c r="F838" s="4" t="n">
        <v>12500</v>
      </c>
      <c r="G838" s="4" t="n">
        <v>6149</v>
      </c>
      <c r="H838" s="4" t="n">
        <v>1860</v>
      </c>
      <c r="I838" s="5" t="n">
        <v>6.7</v>
      </c>
      <c r="J838" s="4" t="n">
        <v>747.8</v>
      </c>
      <c r="K838" s="3" t="inlineStr">
        <is>
          <t>Point 지목 임야, 임도 인접하여 접근성 좋음, 시세보다 저렴</t>
        </is>
      </c>
      <c r="L838" s="6">
        <f>HYPERLINK("https://fin.land.naver.com/articles/2645052388", "매물Link")</f>
        <v/>
      </c>
      <c r="M838" s="6">
        <f>HYPERLINK("https://map.naver.com/p/search/세종특별자치시 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세종특별자치시 나성동 829</t>
        </is>
      </c>
      <c r="B839" s="3" t="inlineStr">
        <is>
          <t>중심상업지역</t>
        </is>
      </c>
      <c r="C839" s="3" t="inlineStr">
        <is>
          <t>대</t>
        </is>
      </c>
      <c r="D839" s="3" t="inlineStr">
        <is>
          <t>답</t>
        </is>
      </c>
      <c r="E839" s="3" t="inlineStr">
        <is>
          <t>매매</t>
        </is>
      </c>
      <c r="F839" s="4" t="n">
        <v>15500</v>
      </c>
      <c r="G839" s="4" t="n">
        <v>1429</v>
      </c>
      <c r="H839" s="4" t="n">
        <v>432</v>
      </c>
      <c r="I839" s="5" t="n">
        <v>35.9</v>
      </c>
      <c r="J839" s="4" t="n">
        <v>747.8</v>
      </c>
      <c r="K839" s="3" t="inlineStr">
        <is>
          <t>Point 국유지 접하고 땅 모양 좋음, 도로 있음</t>
        </is>
      </c>
      <c r="L839" s="6">
        <f>HYPERLINK("https://fin.land.naver.com/articles/2645090611", "매물Link")</f>
        <v/>
      </c>
      <c r="M839" s="6">
        <f>HYPERLINK("https://map.naver.com/p/search/세종특별자치시 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세종특별자치시 나성동 829</t>
        </is>
      </c>
      <c r="B840" s="3" t="inlineStr">
        <is>
          <t>중심상업지역</t>
        </is>
      </c>
      <c r="C840" s="3" t="inlineStr">
        <is>
          <t>대</t>
        </is>
      </c>
      <c r="D840" s="3" t="inlineStr">
        <is>
          <t>답</t>
        </is>
      </c>
      <c r="E840" s="3" t="inlineStr">
        <is>
          <t>매매</t>
        </is>
      </c>
      <c r="F840" s="4" t="n">
        <v>6000</v>
      </c>
      <c r="G840" s="4" t="n">
        <v>796</v>
      </c>
      <c r="H840" s="4" t="n">
        <v>241</v>
      </c>
      <c r="I840" s="5" t="n">
        <v>24.9</v>
      </c>
      <c r="J840" s="4" t="n">
        <v>747.8</v>
      </c>
      <c r="K840" s="3" t="inlineStr">
        <is>
          <t>Point 급매, 주말농장용, 개발제한구역, 도로 접함</t>
        </is>
      </c>
      <c r="L840" s="6">
        <f>HYPERLINK("https://fin.land.naver.com/articles/2645152458", "매물Link")</f>
        <v/>
      </c>
      <c r="M840" s="6">
        <f>HYPERLINK("https://map.naver.com/p/search/세종특별자치시 나성동 829", "지도Link")</f>
        <v/>
      </c>
      <c r="N840" s="6">
        <f>HYPERLINK("http://www.eum.go.kr/web/ar/lu/luLandDet.jsp?pnu=3611010700108290000&amp;isNoScr=script&amp;mode=search", "토지이음")</f>
        <v/>
      </c>
      <c r="O840" s="3" t="inlineStr">
        <is>
          <t>도마호반</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세종특별자치시 나성동 829</t>
        </is>
      </c>
      <c r="B841" s="3" t="inlineStr">
        <is>
          <t>중심상업지역</t>
        </is>
      </c>
      <c r="C841" s="3" t="inlineStr">
        <is>
          <t>대</t>
        </is>
      </c>
      <c r="D841" s="3" t="inlineStr">
        <is>
          <t>대</t>
        </is>
      </c>
      <c r="E841" s="3" t="inlineStr">
        <is>
          <t>매매</t>
        </is>
      </c>
      <c r="F841" s="4" t="n">
        <v>25000</v>
      </c>
      <c r="G841" s="4" t="n">
        <v>2468</v>
      </c>
      <c r="H841" s="4" t="n">
        <v>747</v>
      </c>
      <c r="I841" s="5" t="n">
        <v>33.5</v>
      </c>
      <c r="J841" s="4" t="n">
        <v>747.8</v>
      </c>
      <c r="K841" s="3" t="inlineStr">
        <is>
          <t>Point 신탄진에서 약 5분 거리 토지, 주말농장용, 투자용</t>
        </is>
      </c>
      <c r="L841" s="6">
        <f>HYPERLINK("https://fin.land.naver.com/articles/2645152571", "매물Link")</f>
        <v/>
      </c>
      <c r="M841" s="6">
        <f>HYPERLINK("https://map.naver.com/p/search/세종특별자치시 나성동 829", "지도Link")</f>
        <v/>
      </c>
      <c r="N841" s="6">
        <f>HYPERLINK("http://www.eum.go.kr/web/ar/lu/luLandDet.jsp?pnu=3611010700108290000&amp;isNoScr=script&amp;mode=search", "토지이음")</f>
        <v/>
      </c>
      <c r="O841" s="3" t="inlineStr">
        <is>
          <t>도마호반</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세종특별자치시 나성동 829</t>
        </is>
      </c>
      <c r="B842" s="3" t="inlineStr">
        <is>
          <t>중심상업지역</t>
        </is>
      </c>
      <c r="C842" s="3" t="inlineStr">
        <is>
          <t>대</t>
        </is>
      </c>
      <c r="D842" s="3" t="inlineStr">
        <is>
          <t>답</t>
        </is>
      </c>
      <c r="E842" s="3" t="inlineStr">
        <is>
          <t>매매</t>
        </is>
      </c>
      <c r="F842" s="4" t="n">
        <v>62500</v>
      </c>
      <c r="G842" s="4" t="n">
        <v>2456</v>
      </c>
      <c r="H842" s="4" t="n">
        <v>743</v>
      </c>
      <c r="I842" s="5" t="n">
        <v>84.09999999999999</v>
      </c>
      <c r="J842" s="4" t="n">
        <v>747.8</v>
      </c>
      <c r="K842" s="3" t="inlineStr">
        <is>
          <t>Point 현도산업단지 주변 계획관리지역, 성장관리계획구역, 투자용 토지</t>
        </is>
      </c>
      <c r="L842" s="6">
        <f>HYPERLINK("https://fin.land.naver.com/articles/2645329766", "매물Link")</f>
        <v/>
      </c>
      <c r="M842" s="6">
        <f>HYPERLINK("https://map.naver.com/p/search/세종특별자치시 나성동 829", "지도Link")</f>
        <v/>
      </c>
      <c r="N842" s="6">
        <f>HYPERLINK("http://www.eum.go.kr/web/ar/lu/luLandDet.jsp?pnu=3611010700108290000&amp;isNoScr=script&amp;mode=search", "토지이음")</f>
        <v/>
      </c>
      <c r="O842" s="3" t="inlineStr">
        <is>
          <t>도마호반</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세종특별자치시 나성동 829</t>
        </is>
      </c>
      <c r="B843" s="3" t="inlineStr">
        <is>
          <t>중심상업지역</t>
        </is>
      </c>
      <c r="C843" s="3" t="inlineStr">
        <is>
          <t>대</t>
        </is>
      </c>
      <c r="D843" s="3" t="inlineStr">
        <is>
          <t>답</t>
        </is>
      </c>
      <c r="E843" s="3" t="inlineStr">
        <is>
          <t>매매</t>
        </is>
      </c>
      <c r="F843" s="4" t="n">
        <v>50000</v>
      </c>
      <c r="G843" s="4" t="n">
        <v>4056</v>
      </c>
      <c r="H843" s="4" t="n">
        <v>1227</v>
      </c>
      <c r="I843" s="5" t="n">
        <v>40.7</v>
      </c>
      <c r="J843" s="4" t="n">
        <v>747.8</v>
      </c>
      <c r="K843" s="3" t="inlineStr">
        <is>
          <t>1번국도에서 가까운 생산관리지역 답 매매합니다</t>
        </is>
      </c>
      <c r="L843" s="6">
        <f>HYPERLINK("https://fin.land.naver.com/articles/2645433964", "매물Link")</f>
        <v/>
      </c>
      <c r="M843" s="6">
        <f>HYPERLINK("https://map.naver.com/p/search/세종특별자치시 나성동 829", "지도Link")</f>
        <v/>
      </c>
      <c r="N843" s="6">
        <f>HYPERLINK("http://www.eum.go.kr/web/ar/lu/luLandDet.jsp?pnu=3611010700108290000&amp;isNoScr=script&amp;mode=search", "토지이음")</f>
        <v/>
      </c>
      <c r="O843" s="3" t="inlineStr">
        <is>
          <t>이루마</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세종특별자치시 나성동 829</t>
        </is>
      </c>
      <c r="B844" s="3" t="inlineStr">
        <is>
          <t>중심상업지역</t>
        </is>
      </c>
      <c r="C844" s="3" t="inlineStr">
        <is>
          <t>대</t>
        </is>
      </c>
      <c r="D844" s="3" t="inlineStr">
        <is>
          <t>답</t>
        </is>
      </c>
      <c r="E844" s="3" t="inlineStr">
        <is>
          <t>매매</t>
        </is>
      </c>
      <c r="F844" s="4" t="n">
        <v>29500</v>
      </c>
      <c r="G844" s="4" t="n">
        <v>3373</v>
      </c>
      <c r="H844" s="4" t="n">
        <v>1020</v>
      </c>
      <c r="I844" s="5" t="n">
        <v>28.9</v>
      </c>
      <c r="J844" s="4" t="n">
        <v>747.8</v>
      </c>
      <c r="K844" s="3" t="inlineStr">
        <is>
          <t>소규모 공장 및 골프장에 인접한 계획관리지역 토지임.</t>
        </is>
      </c>
      <c r="L844" s="6">
        <f>HYPERLINK("https://fin.land.naver.com/articles/2643922224", "매물Link")</f>
        <v/>
      </c>
      <c r="M844" s="6">
        <f>HYPERLINK("https://map.naver.com/p/search/세종특별자치시 나성동 829", "지도Link")</f>
        <v/>
      </c>
      <c r="N844" s="6">
        <f>HYPERLINK("http://www.eum.go.kr/web/ar/lu/luLandDet.jsp?pnu=3611010700108290000&amp;isNoScr=script&amp;mode=search", "토지이음")</f>
        <v/>
      </c>
      <c r="O844" s="3" t="inlineStr">
        <is>
          <t>포시즌</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세종특별자치시 나성동 829</t>
        </is>
      </c>
      <c r="B845" s="3" t="inlineStr">
        <is>
          <t>중심상업지역</t>
        </is>
      </c>
      <c r="C845" s="3" t="inlineStr">
        <is>
          <t>대</t>
        </is>
      </c>
      <c r="D845" s="3" t="inlineStr">
        <is>
          <t>전</t>
        </is>
      </c>
      <c r="E845" s="3" t="inlineStr">
        <is>
          <t>매매</t>
        </is>
      </c>
      <c r="F845" s="4" t="n">
        <v>314500</v>
      </c>
      <c r="G845" s="4" t="n">
        <v>2812</v>
      </c>
      <c r="H845" s="4" t="n">
        <v>851</v>
      </c>
      <c r="I845" s="5" t="n">
        <v>369.6</v>
      </c>
      <c r="J845" s="4" t="n">
        <v>747.8</v>
      </c>
      <c r="K845" s="3" t="inlineStr">
        <is>
          <t>신봉동 준공업지역 두필지 일괄매매, 현황상 차량진입가능</t>
        </is>
      </c>
      <c r="L845" s="6">
        <f>HYPERLINK("https://fin.land.naver.com/articles/2644100867", "매물Link")</f>
        <v/>
      </c>
      <c r="M845" s="6">
        <f>HYPERLINK("https://map.naver.com/p/search/세종특별자치시 나성동 829", "지도Link")</f>
        <v/>
      </c>
      <c r="N845" s="6">
        <f>HYPERLINK("http://www.eum.go.kr/web/ar/lu/luLandDet.jsp?pnu=3611010700108290000&amp;isNoScr=script&amp;mode=search", "토지이음")</f>
        <v/>
      </c>
      <c r="O845" s="3" t="inlineStr">
        <is>
          <t>뉴믿음</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세종특별자치시 나성동 829</t>
        </is>
      </c>
      <c r="B846" s="3" t="inlineStr">
        <is>
          <t>중심상업지역</t>
        </is>
      </c>
      <c r="C846" s="3" t="inlineStr">
        <is>
          <t>대</t>
        </is>
      </c>
      <c r="D846" s="3" t="inlineStr">
        <is>
          <t>전</t>
        </is>
      </c>
      <c r="E846" s="3" t="inlineStr">
        <is>
          <t>매매</t>
        </is>
      </c>
      <c r="F846" s="4" t="n">
        <v>67000</v>
      </c>
      <c r="G846" s="4" t="n">
        <v>6744</v>
      </c>
      <c r="H846" s="4" t="n">
        <v>2040</v>
      </c>
      <c r="I846" s="5" t="n">
        <v>32.8</v>
      </c>
      <c r="J846" s="4" t="n">
        <v>747.8</v>
      </c>
      <c r="K846" s="3" t="inlineStr">
        <is>
          <t>하우스5동 시설일체 완비(선별장, 숙소동, 냉동창고, 보일러시설일체)</t>
        </is>
      </c>
      <c r="L846" s="6">
        <f>HYPERLINK("https://fin.land.naver.com/articles/2649929403", "매물Link")</f>
        <v/>
      </c>
      <c r="M846" s="6">
        <f>HYPERLINK("https://map.naver.com/p/search/세종특별자치시 나성동 829", "지도Link")</f>
        <v/>
      </c>
      <c r="N846" s="6">
        <f>HYPERLINK("http://www.eum.go.kr/web/ar/lu/luLandDet.jsp?pnu=3611010700108290000&amp;isNoScr=script&amp;mode=search", "토지이음")</f>
        <v/>
      </c>
      <c r="O846" s="3" t="inlineStr">
        <is>
          <t>새여울</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세종특별자치시 나성동 829</t>
        </is>
      </c>
      <c r="B847" s="3" t="inlineStr">
        <is>
          <t>중심상업지역</t>
        </is>
      </c>
      <c r="C847" s="3" t="inlineStr">
        <is>
          <t>대</t>
        </is>
      </c>
      <c r="D847" s="3" t="inlineStr">
        <is>
          <t>전</t>
        </is>
      </c>
      <c r="E847" s="3" t="inlineStr">
        <is>
          <t>매매</t>
        </is>
      </c>
      <c r="F847" s="4" t="n">
        <v>300000</v>
      </c>
      <c r="G847" s="4" t="n">
        <v>2810</v>
      </c>
      <c r="H847" s="4" t="n">
        <v>850</v>
      </c>
      <c r="I847" s="5" t="n">
        <v>352.9</v>
      </c>
      <c r="J847" s="4" t="n">
        <v>747.8</v>
      </c>
      <c r="K847" s="3" t="inlineStr">
        <is>
          <t>공장 창고 부지 매매</t>
        </is>
      </c>
      <c r="L847" s="6">
        <f>HYPERLINK("https://fin.land.naver.com/articles/2647634685", "매물Link")</f>
        <v/>
      </c>
      <c r="M847" s="6">
        <f>HYPERLINK("https://map.naver.com/p/search/세종특별자치시 나성동 829", "지도Link")</f>
        <v/>
      </c>
      <c r="N847" s="6">
        <f>HYPERLINK("http://www.eum.go.kr/web/ar/lu/luLandDet.jsp?pnu=3611010700108290000&amp;isNoScr=script&amp;mode=search", "토지이음")</f>
        <v/>
      </c>
      <c r="O847" s="3" t="inlineStr">
        <is>
          <t>테크노조은</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세종특별자치시 나성동 829</t>
        </is>
      </c>
      <c r="B848" s="3" t="inlineStr">
        <is>
          <t>중심상업지역</t>
        </is>
      </c>
      <c r="C848" s="3" t="inlineStr">
        <is>
          <t>대</t>
        </is>
      </c>
      <c r="D848" s="3" t="inlineStr">
        <is>
          <t>전</t>
        </is>
      </c>
      <c r="E848" s="3" t="inlineStr">
        <is>
          <t>매매</t>
        </is>
      </c>
      <c r="F848" s="4" t="n">
        <v>490000</v>
      </c>
      <c r="G848" s="4" t="n">
        <v>4642</v>
      </c>
      <c r="H848" s="4" t="n">
        <v>1404</v>
      </c>
      <c r="I848" s="5" t="n">
        <v>349</v>
      </c>
      <c r="J848" s="4" t="n">
        <v>747.8</v>
      </c>
      <c r="K848" s="3" t="inlineStr">
        <is>
          <t>청주시청 충북도청 옆,청주시내 중심생활권 회사사옥,물류창고,상업시설</t>
        </is>
      </c>
      <c r="L848" s="6">
        <f>HYPERLINK("https://fin.land.naver.com/articles/2650129936", "매물Link")</f>
        <v/>
      </c>
      <c r="M848" s="6">
        <f>HYPERLINK("https://map.naver.com/p/search/세종특별자치시 나성동 829", "지도Link")</f>
        <v/>
      </c>
      <c r="N848" s="6">
        <f>HYPERLINK("http://www.eum.go.kr/web/ar/lu/luLandDet.jsp?pnu=3611010700108290000&amp;isNoScr=script&amp;mode=search", "토지이음")</f>
        <v/>
      </c>
      <c r="O848" s="3" t="inlineStr">
        <is>
          <t>딸기(02-848-2300단지내)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세종특별자치시 나성동 829</t>
        </is>
      </c>
      <c r="B849" s="3" t="inlineStr">
        <is>
          <t>중심상업지역</t>
        </is>
      </c>
      <c r="C849" s="3" t="inlineStr">
        <is>
          <t>대</t>
        </is>
      </c>
      <c r="D849" s="3" t="inlineStr">
        <is>
          <t>전</t>
        </is>
      </c>
      <c r="E849" s="3" t="inlineStr">
        <is>
          <t>매매</t>
        </is>
      </c>
      <c r="F849" s="4" t="n">
        <v>20130</v>
      </c>
      <c r="G849" s="4" t="n">
        <v>2018</v>
      </c>
      <c r="H849" s="4" t="n">
        <v>610</v>
      </c>
      <c r="I849" s="5" t="n">
        <v>33</v>
      </c>
      <c r="J849" s="4" t="n">
        <v>747.8</v>
      </c>
      <c r="K849" s="3" t="inlineStr">
        <is>
          <t>중척리 소재 밭 2필지 매매입니다., 4미터 포장 농로 접</t>
        </is>
      </c>
      <c r="L849" s="6">
        <f>HYPERLINK("https://fin.land.naver.com/articles/2644676462", "매물Link")</f>
        <v/>
      </c>
      <c r="M849" s="6">
        <f>HYPERLINK("https://map.naver.com/p/search/세종특별자치시 나성동 829", "지도Link")</f>
        <v/>
      </c>
      <c r="N849" s="6">
        <f>HYPERLINK("http://www.eum.go.kr/web/ar/lu/luLandDet.jsp?pnu=3611010700108290000&amp;isNoScr=script&amp;mode=search", "토지이음")</f>
        <v/>
      </c>
      <c r="O849" s="3" t="inlineStr">
        <is>
          <t>엘크루</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세종특별자치시 나성동 829</t>
        </is>
      </c>
      <c r="B850" s="3" t="inlineStr">
        <is>
          <t>중심상업지역</t>
        </is>
      </c>
      <c r="C850" s="3" t="inlineStr">
        <is>
          <t>대</t>
        </is>
      </c>
      <c r="D850" s="3" t="inlineStr">
        <is>
          <t>임야</t>
        </is>
      </c>
      <c r="E850" s="3" t="inlineStr">
        <is>
          <t>매매</t>
        </is>
      </c>
      <c r="F850" s="4" t="n">
        <v>8000</v>
      </c>
      <c r="G850" s="4" t="n">
        <v>5355</v>
      </c>
      <c r="H850" s="4" t="n">
        <v>1620</v>
      </c>
      <c r="I850" s="5" t="n">
        <v>4.9</v>
      </c>
      <c r="J850" s="4" t="n">
        <v>747.8</v>
      </c>
      <c r="K850" s="3" t="inlineStr">
        <is>
          <t>nan</t>
        </is>
      </c>
      <c r="L850" s="6">
        <f>HYPERLINK("https://fin.land.naver.com/articles/2645164047", "매물Link")</f>
        <v/>
      </c>
      <c r="M850" s="6">
        <f>HYPERLINK("https://map.naver.com/p/search/세종특별자치시 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세종특별자치시 나성동 829</t>
        </is>
      </c>
      <c r="B851" s="3" t="inlineStr">
        <is>
          <t>중심상업지역</t>
        </is>
      </c>
      <c r="C851" s="3" t="inlineStr">
        <is>
          <t>대</t>
        </is>
      </c>
      <c r="D851" s="3" t="inlineStr">
        <is>
          <t>답</t>
        </is>
      </c>
      <c r="E851" s="3" t="inlineStr">
        <is>
          <t>매매</t>
        </is>
      </c>
      <c r="F851" s="4" t="n">
        <v>13400</v>
      </c>
      <c r="G851" s="4" t="n">
        <v>1272</v>
      </c>
      <c r="H851" s="4" t="n">
        <v>385</v>
      </c>
      <c r="I851" s="5" t="n">
        <v>34.8</v>
      </c>
      <c r="J851" s="4" t="n">
        <v>747.8</v>
      </c>
      <c r="K851" s="3" t="inlineStr">
        <is>
          <t>성토된 畓. 대토.주말농장 최적</t>
        </is>
      </c>
      <c r="L851" s="6">
        <f>HYPERLINK("https://fin.land.naver.com/articles/2645164156", "매물Link")</f>
        <v/>
      </c>
      <c r="M851" s="6">
        <f>HYPERLINK("https://map.naver.com/p/search/세종특별자치시 나성동 829", "지도Link")</f>
        <v/>
      </c>
      <c r="N851" s="6">
        <f>HYPERLINK("http://www.eum.go.kr/web/ar/lu/luLandDet.jsp?pnu=3611010700108290000&amp;isNoScr=script&amp;mode=search", "토지이음")</f>
        <v/>
      </c>
      <c r="O851" s="3" t="inlineStr">
        <is>
          <t>웰컴</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세종특별자치시 나성동 829</t>
        </is>
      </c>
      <c r="B852" s="3" t="inlineStr">
        <is>
          <t>중심상업지역</t>
        </is>
      </c>
      <c r="C852" s="3" t="inlineStr">
        <is>
          <t>대</t>
        </is>
      </c>
      <c r="D852" s="3" t="inlineStr">
        <is>
          <t>전</t>
        </is>
      </c>
      <c r="E852" s="3" t="inlineStr">
        <is>
          <t>매매</t>
        </is>
      </c>
      <c r="F852" s="4" t="n">
        <v>19000</v>
      </c>
      <c r="G852" s="4" t="n">
        <v>4182</v>
      </c>
      <c r="H852" s="4" t="n">
        <v>1265</v>
      </c>
      <c r="I852" s="5" t="n">
        <v>15</v>
      </c>
      <c r="J852" s="4" t="n">
        <v>747.8</v>
      </c>
      <c r="K852" s="3" t="inlineStr">
        <is>
          <t>과수원.종중묘</t>
        </is>
      </c>
      <c r="L852" s="6">
        <f>HYPERLINK("https://fin.land.naver.com/articles/2645164322", "매물Link")</f>
        <v/>
      </c>
      <c r="M852" s="6">
        <f>HYPERLINK("https://map.naver.com/p/search/세종특별자치시 나성동 829", "지도Link")</f>
        <v/>
      </c>
      <c r="N852" s="6">
        <f>HYPERLINK("http://www.eum.go.kr/web/ar/lu/luLandDet.jsp?pnu=3611010700108290000&amp;isNoScr=script&amp;mode=search", "토지이음")</f>
        <v/>
      </c>
      <c r="O852" s="3" t="inlineStr">
        <is>
          <t>웰컴</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세종특별자치시 나성동 829</t>
        </is>
      </c>
      <c r="B853" s="3" t="inlineStr">
        <is>
          <t>중심상업지역</t>
        </is>
      </c>
      <c r="C853" s="3" t="inlineStr">
        <is>
          <t>대</t>
        </is>
      </c>
      <c r="D853" s="3" t="inlineStr">
        <is>
          <t>대</t>
        </is>
      </c>
      <c r="E853" s="3" t="inlineStr">
        <is>
          <t>매매</t>
        </is>
      </c>
      <c r="F853" s="4" t="n">
        <v>150000</v>
      </c>
      <c r="G853" s="4" t="n">
        <v>3698</v>
      </c>
      <c r="H853" s="4" t="n">
        <v>1119</v>
      </c>
      <c r="I853" s="5" t="n">
        <v>134</v>
      </c>
      <c r="J853" s="4" t="n">
        <v>747.8</v>
      </c>
      <c r="K853" s="3" t="inlineStr">
        <is>
          <t>금강변에 접한 토지
전원주택, 카페, 창고임대사업 추천</t>
        </is>
      </c>
      <c r="L853" s="6">
        <f>HYPERLINK("https://fin.land.naver.com/articles/2645581011", "매물Link")</f>
        <v/>
      </c>
      <c r="M853" s="6">
        <f>HYPERLINK("https://map.naver.com/p/search/세종특별자치시 나성동 829", "지도Link")</f>
        <v/>
      </c>
      <c r="N853" s="6">
        <f>HYPERLINK("http://www.eum.go.kr/web/ar/lu/luLandDet.jsp?pnu=3611010700108290000&amp;isNoScr=script&amp;mode=search", "토지이음")</f>
        <v/>
      </c>
      <c r="O853" s="3" t="inlineStr">
        <is>
          <t>산업</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세종특별자치시 나성동 829</t>
        </is>
      </c>
      <c r="B854" s="3" t="inlineStr">
        <is>
          <t>중심상업지역</t>
        </is>
      </c>
      <c r="C854" s="3" t="inlineStr">
        <is>
          <t>대</t>
        </is>
      </c>
      <c r="D854" s="3" t="inlineStr">
        <is>
          <t>창고용지</t>
        </is>
      </c>
      <c r="E854" s="3" t="inlineStr">
        <is>
          <t>매매</t>
        </is>
      </c>
      <c r="F854" s="4" t="n">
        <v>250000</v>
      </c>
      <c r="G854" s="4" t="n">
        <v>2682</v>
      </c>
      <c r="H854" s="4" t="n">
        <v>811</v>
      </c>
      <c r="I854" s="5" t="n">
        <v>308.3</v>
      </c>
      <c r="J854" s="4" t="n">
        <v>747.8</v>
      </c>
      <c r="K854" s="3" t="inlineStr">
        <is>
          <t>17번 국도접한  토지로 다용도로 이용가능함</t>
        </is>
      </c>
      <c r="L854" s="6">
        <f>HYPERLINK("https://fin.land.naver.com/articles/2646451186", "매물Link")</f>
        <v/>
      </c>
      <c r="M854" s="6">
        <f>HYPERLINK("https://map.naver.com/p/search/세종특별자치시 나성동 829", "지도Link")</f>
        <v/>
      </c>
      <c r="N854" s="6">
        <f>HYPERLINK("http://www.eum.go.kr/web/ar/lu/luLandDet.jsp?pnu=3611010700108290000&amp;isNoScr=script&amp;mode=search", "토지이음")</f>
        <v/>
      </c>
      <c r="O854" s="3" t="inlineStr">
        <is>
          <t>금정</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세종특별자치시 나성동 829</t>
        </is>
      </c>
      <c r="B855" s="3" t="inlineStr">
        <is>
          <t>중심상업지역</t>
        </is>
      </c>
      <c r="C855" s="3" t="inlineStr">
        <is>
          <t>대</t>
        </is>
      </c>
      <c r="D855" s="3" t="inlineStr">
        <is>
          <t>답</t>
        </is>
      </c>
      <c r="E855" s="3" t="inlineStr">
        <is>
          <t>매매</t>
        </is>
      </c>
      <c r="F855" s="4" t="n">
        <v>70000</v>
      </c>
      <c r="G855" s="4" t="n">
        <v>1170</v>
      </c>
      <c r="H855" s="4" t="n">
        <v>354</v>
      </c>
      <c r="I855" s="5" t="n">
        <v>197.7</v>
      </c>
      <c r="J855" s="4" t="n">
        <v>747.8</v>
      </c>
      <c r="K855" s="3" t="inlineStr">
        <is>
          <t>17번 국도접 그린벨트 농지로서 주변에 산업공단 조성중 투자용</t>
        </is>
      </c>
      <c r="L855" s="6">
        <f>HYPERLINK("https://fin.land.naver.com/articles/2646451382", "매물Link")</f>
        <v/>
      </c>
      <c r="M855" s="6">
        <f>HYPERLINK("https://map.naver.com/p/search/세종특별자치시 나성동 829", "지도Link")</f>
        <v/>
      </c>
      <c r="N855" s="6">
        <f>HYPERLINK("http://www.eum.go.kr/web/ar/lu/luLandDet.jsp?pnu=3611010700108290000&amp;isNoScr=script&amp;mode=search", "토지이음")</f>
        <v/>
      </c>
      <c r="O855" s="3" t="inlineStr">
        <is>
          <t>금정</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세종특별자치시 나성동 829</t>
        </is>
      </c>
      <c r="B856" s="3" t="inlineStr">
        <is>
          <t>중심상업지역</t>
        </is>
      </c>
      <c r="C856" s="3" t="inlineStr">
        <is>
          <t>대</t>
        </is>
      </c>
      <c r="D856" s="3" t="inlineStr">
        <is>
          <t>공장용지</t>
        </is>
      </c>
      <c r="E856" s="3" t="inlineStr">
        <is>
          <t>매매</t>
        </is>
      </c>
      <c r="F856" s="4" t="n">
        <v>230000</v>
      </c>
      <c r="G856" s="4" t="n">
        <v>10211</v>
      </c>
      <c r="H856" s="4" t="n">
        <v>3089</v>
      </c>
      <c r="I856" s="5" t="n">
        <v>74.5</v>
      </c>
      <c r="J856" s="4" t="n">
        <v>747.8</v>
      </c>
      <c r="K856" s="3" t="inlineStr">
        <is>
          <t>토목공사완료.</t>
        </is>
      </c>
      <c r="L856" s="6">
        <f>HYPERLINK("https://fin.land.naver.com/articles/2646790864", "매물Link")</f>
        <v/>
      </c>
      <c r="M856" s="6">
        <f>HYPERLINK("https://map.naver.com/p/search/세종특별자치시 나성동 829", "지도Link")</f>
        <v/>
      </c>
      <c r="N856" s="6">
        <f>HYPERLINK("http://www.eum.go.kr/web/ar/lu/luLandDet.jsp?pnu=3611010700108290000&amp;isNoScr=script&amp;mode=search", "토지이음")</f>
        <v/>
      </c>
      <c r="O856" s="3" t="inlineStr">
        <is>
          <t>대전명품</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세종특별자치시 나성동 829</t>
        </is>
      </c>
      <c r="B857" s="3" t="inlineStr">
        <is>
          <t>중심상업지역</t>
        </is>
      </c>
      <c r="C857" s="3" t="inlineStr">
        <is>
          <t>대</t>
        </is>
      </c>
      <c r="D857" s="3" t="inlineStr">
        <is>
          <t>임야</t>
        </is>
      </c>
      <c r="E857" s="3" t="inlineStr">
        <is>
          <t>매매</t>
        </is>
      </c>
      <c r="F857" s="4" t="n">
        <v>50000</v>
      </c>
      <c r="G857" s="4" t="n">
        <v>19443</v>
      </c>
      <c r="H857" s="4" t="n">
        <v>5882</v>
      </c>
      <c r="I857" s="5" t="n">
        <v>8.5</v>
      </c>
      <c r="J857" s="4" t="n">
        <v>747.8</v>
      </c>
      <c r="K857" s="3" t="inlineStr">
        <is>
          <t>공장부지로 토목공사완료</t>
        </is>
      </c>
      <c r="L857" s="6">
        <f>HYPERLINK("https://fin.land.naver.com/articles/2646837893", "매물Link")</f>
        <v/>
      </c>
      <c r="M857" s="6">
        <f>HYPERLINK("https://map.naver.com/p/search/세종특별자치시 나성동 829", "지도Link")</f>
        <v/>
      </c>
      <c r="N857" s="6">
        <f>HYPERLINK("http://www.eum.go.kr/web/ar/lu/luLandDet.jsp?pnu=3611010700108290000&amp;isNoScr=script&amp;mode=search", "토지이음")</f>
        <v/>
      </c>
      <c r="O857" s="3" t="inlineStr">
        <is>
          <t>대전명품</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세종특별자치시 나성동 829</t>
        </is>
      </c>
      <c r="B858" s="3" t="inlineStr">
        <is>
          <t>중심상업지역</t>
        </is>
      </c>
      <c r="C858" s="3" t="inlineStr">
        <is>
          <t>대</t>
        </is>
      </c>
      <c r="D858" s="3" t="inlineStr">
        <is>
          <t>잡종지</t>
        </is>
      </c>
      <c r="E858" s="3" t="inlineStr">
        <is>
          <t>매매</t>
        </is>
      </c>
      <c r="F858" s="4" t="n">
        <v>275400</v>
      </c>
      <c r="G858" s="4" t="n">
        <v>6743</v>
      </c>
      <c r="H858" s="4" t="n">
        <v>2040</v>
      </c>
      <c r="I858" s="5" t="n">
        <v>135</v>
      </c>
      <c r="J858" s="4" t="n">
        <v>747.8</v>
      </c>
      <c r="K858" s="3" t="inlineStr">
        <is>
          <t>nan</t>
        </is>
      </c>
      <c r="L858" s="6">
        <f>HYPERLINK("https://fin.land.naver.com/articles/2649467497", "매물Link")</f>
        <v/>
      </c>
      <c r="M858" s="6">
        <f>HYPERLINK("https://map.naver.com/p/search/세종특별자치시 나성동 829", "지도Link")</f>
        <v/>
      </c>
      <c r="N858" s="6">
        <f>HYPERLINK("http://www.eum.go.kr/web/ar/lu/luLandDet.jsp?pnu=3611010700108290000&amp;isNoScr=script&amp;mode=search", "토지이음")</f>
        <v/>
      </c>
      <c r="O858" s="3" t="inlineStr">
        <is>
          <t>청주합동</t>
        </is>
      </c>
      <c r="P858" s="3" t="n">
        <v>1</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세종특별자치시 나성동 829</t>
        </is>
      </c>
      <c r="B859" s="3" t="inlineStr">
        <is>
          <t>중심상업지역</t>
        </is>
      </c>
      <c r="C859" s="3" t="inlineStr">
        <is>
          <t>대</t>
        </is>
      </c>
      <c r="D859" s="3" t="inlineStr">
        <is>
          <t>대</t>
        </is>
      </c>
      <c r="E859" s="3" t="inlineStr">
        <is>
          <t>매매</t>
        </is>
      </c>
      <c r="F859" s="4" t="n">
        <v>35000</v>
      </c>
      <c r="G859" s="4" t="n">
        <v>114</v>
      </c>
      <c r="H859" s="4" t="n">
        <v>34</v>
      </c>
      <c r="I859" s="5" t="n">
        <v>1029.4</v>
      </c>
      <c r="J859" s="4" t="n">
        <v>747.8</v>
      </c>
      <c r="K859" s="3" t="inlineStr">
        <is>
          <t>nan</t>
        </is>
      </c>
      <c r="L859" s="6">
        <f>HYPERLINK("https://fin.land.naver.com/articles/2646624967", "매물Link")</f>
        <v/>
      </c>
      <c r="M859" s="6">
        <f>HYPERLINK("https://map.naver.com/p/search/세종특별자치시 나성동 829", "지도Link")</f>
        <v/>
      </c>
      <c r="N859" s="6">
        <f>HYPERLINK("http://www.eum.go.kr/web/ar/lu/luLandDet.jsp?pnu=3611010700108290000&amp;isNoScr=script&amp;mode=search", "토지이음")</f>
        <v/>
      </c>
      <c r="O859" s="3" t="inlineStr">
        <is>
          <t>어진마을</t>
        </is>
      </c>
      <c r="P859" s="3" t="n">
        <v>2</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세종특별자치시 나성동 829</t>
        </is>
      </c>
      <c r="B860" s="3" t="inlineStr">
        <is>
          <t>중심상업지역</t>
        </is>
      </c>
      <c r="C860" s="3" t="inlineStr">
        <is>
          <t>대</t>
        </is>
      </c>
      <c r="D860" s="3" t="inlineStr">
        <is>
          <t>대</t>
        </is>
      </c>
      <c r="E860" s="3" t="inlineStr">
        <is>
          <t>매매</t>
        </is>
      </c>
      <c r="F860" s="4" t="n">
        <v>35000</v>
      </c>
      <c r="G860" s="4" t="n">
        <v>655</v>
      </c>
      <c r="H860" s="4" t="n">
        <v>198</v>
      </c>
      <c r="I860" s="5" t="n">
        <v>176.8</v>
      </c>
      <c r="J860" s="4" t="n">
        <v>747.8</v>
      </c>
      <c r="K860" s="3" t="inlineStr">
        <is>
          <t>nan</t>
        </is>
      </c>
      <c r="L860" s="6">
        <f>HYPERLINK("https://fin.land.naver.com/articles/2648694768", "매물Link")</f>
        <v/>
      </c>
      <c r="M860" s="6">
        <f>HYPERLINK("https://map.naver.com/p/search/세종특별자치시 나성동 829", "지도Link")</f>
        <v/>
      </c>
      <c r="N860" s="6">
        <f>HYPERLINK("http://www.eum.go.kr/web/ar/lu/luLandDet.jsp?pnu=3611010700108290000&amp;isNoScr=script&amp;mode=search", "토지이음")</f>
        <v/>
      </c>
      <c r="O860" s="3" t="inlineStr">
        <is>
          <t>상생</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세종특별자치시 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HYPERLINK("https://map.naver.com/p/search/세종특별자치시 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세종특별자치시 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HYPERLINK("https://map.naver.com/p/search/세종특별자치시 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세종특별자치시 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HYPERLINK("https://map.naver.com/p/search/세종특별자치시 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세종특별자치시 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HYPERLINK("https://map.naver.com/p/search/세종특별자치시 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세종특별자치시 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HYPERLINK("https://map.naver.com/p/search/세종특별자치시 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세종특별자치시 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HYPERLINK("https://map.naver.com/p/search/세종특별자치시 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세종특별자치시 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HYPERLINK("https://map.naver.com/p/search/세종특별자치시 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세종특별자치시 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HYPERLINK("https://map.naver.com/p/search/세종특별자치시 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세종특별자치시 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HYPERLINK("https://map.naver.com/p/search/세종특별자치시 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세종특별자치시 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HYPERLINK("https://map.naver.com/p/search/세종특별자치시 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세종특별자치시 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HYPERLINK("https://map.naver.com/p/search/세종특별자치시 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세종특별자치시 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HYPERLINK("https://map.naver.com/p/search/세종특별자치시 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세종특별자치시 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HYPERLINK("https://map.naver.com/p/search/세종특별자치시 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세종특별자치시 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HYPERLINK("https://map.naver.com/p/search/세종특별자치시 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세종특별자치시 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HYPERLINK("https://map.naver.com/p/search/세종특별자치시 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세종특별자치시 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HYPERLINK("https://map.naver.com/p/search/세종특별자치시 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세종특별자치시 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HYPERLINK("https://map.naver.com/p/search/세종특별자치시 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세종특별자치시 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HYPERLINK("https://map.naver.com/p/search/세종특별자치시 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세종특별자치시 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HYPERLINK("https://map.naver.com/p/search/세종특별자치시 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세종특별자치시 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HYPERLINK("https://map.naver.com/p/search/세종특별자치시 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세종특별자치시 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HYPERLINK("https://map.naver.com/p/search/세종특별자치시 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세종특별자치시 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HYPERLINK("https://map.naver.com/p/search/세종특별자치시 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세종특별자치시 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HYPERLINK("https://map.naver.com/p/search/세종특별자치시 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세종특별자치시 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HYPERLINK("https://map.naver.com/p/search/세종특별자치시 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세종특별자치시 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HYPERLINK("https://map.naver.com/p/search/세종특별자치시 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세종특별자치시 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HYPERLINK("https://map.naver.com/p/search/세종특별자치시 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세종특별자치시 나성동 829</t>
        </is>
      </c>
      <c r="B887" s="3" t="inlineStr">
        <is>
          <t>중심상업지역</t>
        </is>
      </c>
      <c r="C887" s="3" t="inlineStr">
        <is>
          <t>대</t>
        </is>
      </c>
      <c r="D887" s="3" t="inlineStr">
        <is>
          <t>대</t>
        </is>
      </c>
      <c r="E887" s="3" t="inlineStr">
        <is>
          <t>매매</t>
        </is>
      </c>
      <c r="F887" s="4" t="n">
        <v>32000</v>
      </c>
      <c r="G887" s="4" t="n">
        <v>233</v>
      </c>
      <c r="H887" s="4" t="n">
        <v>70</v>
      </c>
      <c r="I887" s="5" t="n">
        <v>457.1</v>
      </c>
      <c r="J887" s="4" t="n">
        <v>747.8</v>
      </c>
      <c r="K887" s="3" t="inlineStr">
        <is>
          <t>현재  주택건물로 사용중이며 매매가에 포함됨</t>
        </is>
      </c>
      <c r="L887" s="6">
        <f>HYPERLINK("https://fin.land.naver.com/articles/2645839832", "매물Link")</f>
        <v/>
      </c>
      <c r="M887" s="6">
        <f>HYPERLINK("https://map.naver.com/p/search/세종특별자치시 나성동 829", "지도Link")</f>
        <v/>
      </c>
      <c r="N887" s="6">
        <f>HYPERLINK("http://www.eum.go.kr/web/ar/lu/luLandDet.jsp?pnu=3611010700108290000&amp;isNoScr=script&amp;mode=search", "토지이음")</f>
        <v/>
      </c>
      <c r="O887" s="3" t="inlineStr">
        <is>
          <t>테크노지웰탑</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세종특별자치시 나성동 829</t>
        </is>
      </c>
      <c r="B888" s="3" t="inlineStr">
        <is>
          <t>중심상업지역</t>
        </is>
      </c>
      <c r="C888" s="3" t="inlineStr">
        <is>
          <t>대</t>
        </is>
      </c>
      <c r="D888" s="3" t="inlineStr">
        <is>
          <t>답</t>
        </is>
      </c>
      <c r="E888" s="3" t="inlineStr">
        <is>
          <t>매매</t>
        </is>
      </c>
      <c r="F888" s="4" t="n">
        <v>10000</v>
      </c>
      <c r="G888" s="4" t="n">
        <v>837</v>
      </c>
      <c r="H888" s="4" t="n">
        <v>253</v>
      </c>
      <c r="I888" s="5" t="n">
        <v>39.5</v>
      </c>
      <c r="J888" s="4" t="n">
        <v>747.8</v>
      </c>
      <c r="K888" s="3" t="inlineStr">
        <is>
          <t>천안권과 접경지역으로 4차선전용도로(세종로)와 철도편이 접근성 최상</t>
        </is>
      </c>
      <c r="L888" s="6">
        <f>HYPERLINK("https://fin.land.naver.com/articles/2644936235", "매물Link")</f>
        <v/>
      </c>
      <c r="M888" s="6">
        <f>HYPERLINK("https://map.naver.com/p/search/세종특별자치시 나성동 829", "지도Link")</f>
        <v/>
      </c>
      <c r="N888" s="6">
        <f>HYPERLINK("http://www.eum.go.kr/web/ar/lu/luLandDet.jsp?pnu=3611010700108290000&amp;isNoScr=script&amp;mode=search", "토지이음")</f>
        <v/>
      </c>
      <c r="O888" s="3" t="inlineStr">
        <is>
          <t>온누리</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세종특별자치시 나성동 829</t>
        </is>
      </c>
      <c r="B889" s="3" t="inlineStr">
        <is>
          <t>중심상업지역</t>
        </is>
      </c>
      <c r="C889" s="3" t="inlineStr">
        <is>
          <t>대</t>
        </is>
      </c>
      <c r="D889" s="3" t="inlineStr">
        <is>
          <t>대</t>
        </is>
      </c>
      <c r="E889" s="3" t="inlineStr">
        <is>
          <t>매매</t>
        </is>
      </c>
      <c r="F889" s="4" t="n">
        <v>35000</v>
      </c>
      <c r="G889" s="4" t="n">
        <v>244</v>
      </c>
      <c r="H889" s="4" t="n">
        <v>74</v>
      </c>
      <c r="I889" s="5" t="n">
        <v>473</v>
      </c>
      <c r="J889" s="4" t="n">
        <v>747.8</v>
      </c>
      <c r="K889" s="3" t="inlineStr">
        <is>
          <t>동남지구 택지개발지역에 위치한 점포주택이 가능한 일반형 단독주택용지임</t>
        </is>
      </c>
      <c r="L889" s="6">
        <f>HYPERLINK("https://fin.land.naver.com/articles/2644693585", "매물Link")</f>
        <v/>
      </c>
      <c r="M889" s="6">
        <f>HYPERLINK("https://map.naver.com/p/search/세종특별자치시 나성동 829", "지도Link")</f>
        <v/>
      </c>
      <c r="N889" s="6">
        <f>HYPERLINK("http://www.eum.go.kr/web/ar/lu/luLandDet.jsp?pnu=3611010700108290000&amp;isNoScr=script&amp;mode=search", "토지이음")</f>
        <v/>
      </c>
      <c r="O889" s="3" t="inlineStr">
        <is>
          <t>산성</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세종특별자치시 나성동 829</t>
        </is>
      </c>
      <c r="B890" s="3" t="inlineStr">
        <is>
          <t>중심상업지역</t>
        </is>
      </c>
      <c r="C890" s="3" t="inlineStr">
        <is>
          <t>대</t>
        </is>
      </c>
      <c r="D890" s="3" t="inlineStr">
        <is>
          <t>답</t>
        </is>
      </c>
      <c r="E890" s="3" t="inlineStr">
        <is>
          <t>매매</t>
        </is>
      </c>
      <c r="F890" s="4" t="n">
        <v>33000</v>
      </c>
      <c r="G890" s="4" t="n">
        <v>2844</v>
      </c>
      <c r="H890" s="4" t="n">
        <v>860</v>
      </c>
      <c r="I890" s="5" t="n">
        <v>38.4</v>
      </c>
      <c r="J890" s="4" t="n">
        <v>747.8</v>
      </c>
      <c r="K890" s="3" t="inlineStr">
        <is>
          <t>천안권과 접경지역으로 4차선전용도로(세종로)로 생활권의 확장성이 높음.</t>
        </is>
      </c>
      <c r="L890" s="6">
        <f>HYPERLINK("https://fin.land.naver.com/articles/2644936359", "매물Link")</f>
        <v/>
      </c>
      <c r="M890" s="6">
        <f>HYPERLINK("https://map.naver.com/p/search/세종특별자치시 나성동 829", "지도Link")</f>
        <v/>
      </c>
      <c r="N890" s="6">
        <f>HYPERLINK("http://www.eum.go.kr/web/ar/lu/luLandDet.jsp?pnu=3611010700108290000&amp;isNoScr=script&amp;mode=search", "토지이음")</f>
        <v/>
      </c>
      <c r="O890" s="3" t="inlineStr">
        <is>
          <t>온누리</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세종특별자치시 나성동 829</t>
        </is>
      </c>
      <c r="B891" s="3" t="inlineStr">
        <is>
          <t>중심상업지역</t>
        </is>
      </c>
      <c r="C891" s="3" t="inlineStr">
        <is>
          <t>대</t>
        </is>
      </c>
      <c r="D891" s="3" t="inlineStr">
        <is>
          <t>전</t>
        </is>
      </c>
      <c r="E891" s="3" t="inlineStr">
        <is>
          <t>매매</t>
        </is>
      </c>
      <c r="F891" s="4" t="n">
        <v>15000</v>
      </c>
      <c r="G891" s="4" t="n">
        <v>1253</v>
      </c>
      <c r="H891" s="4" t="n">
        <v>379</v>
      </c>
      <c r="I891" s="5" t="n">
        <v>39.6</v>
      </c>
      <c r="J891" s="4" t="n">
        <v>747.8</v>
      </c>
      <c r="K891" s="3" t="inlineStr">
        <is>
          <t>4차선 도로에 접했으나 3미터 포장도로를 이용하여 진입가능함.</t>
        </is>
      </c>
      <c r="L891" s="6">
        <f>HYPERLINK("https://fin.land.naver.com/articles/2645620511", "매물Link")</f>
        <v/>
      </c>
      <c r="M891" s="6">
        <f>HYPERLINK("https://map.naver.com/p/search/세종특별자치시 나성동 829", "지도Link")</f>
        <v/>
      </c>
      <c r="N891" s="6">
        <f>HYPERLINK("http://www.eum.go.kr/web/ar/lu/luLandDet.jsp?pnu=3611010700108290000&amp;isNoScr=script&amp;mode=search", "토지이음")</f>
        <v/>
      </c>
      <c r="O891" s="3" t="inlineStr">
        <is>
          <t>으뜸</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세종특별자치시 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HYPERLINK("https://map.naver.com/p/search/세종특별자치시 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세종특별자치시 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HYPERLINK("https://map.naver.com/p/search/세종특별자치시 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세종특별자치시 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HYPERLINK("https://map.naver.com/p/search/세종특별자치시 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세종특별자치시 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HYPERLINK("https://map.naver.com/p/search/세종특별자치시 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세종특별자치시 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HYPERLINK("https://map.naver.com/p/search/세종특별자치시 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세종특별자치시 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HYPERLINK("https://map.naver.com/p/search/세종특별자치시 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세종특별자치시 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HYPERLINK("https://map.naver.com/p/search/세종특별자치시 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세종특별자치시 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HYPERLINK("https://map.naver.com/p/search/세종특별자치시 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세종특별자치시 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HYPERLINK("https://map.naver.com/p/search/세종특별자치시 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세종특별자치시 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HYPERLINK("https://map.naver.com/p/search/세종특별자치시 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세종특별자치시 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HYPERLINK("https://map.naver.com/p/search/세종특별자치시 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세종특별자치시 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HYPERLINK("https://map.naver.com/p/search/세종특별자치시 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세종특별자치시 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HYPERLINK("https://map.naver.com/p/search/세종특별자치시 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세종특별자치시 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HYPERLINK("https://map.naver.com/p/search/세종특별자치시 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세종특별자치시 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HYPERLINK("https://map.naver.com/p/search/세종특별자치시 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세종특별자치시 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HYPERLINK("https://map.naver.com/p/search/세종특별자치시 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세종특별자치시 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HYPERLINK("https://map.naver.com/p/search/세종특별자치시 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세종특별자치시 나성동 829</t>
        </is>
      </c>
      <c r="B909" s="3" t="inlineStr">
        <is>
          <t>중심상업지역</t>
        </is>
      </c>
      <c r="C909" s="3" t="inlineStr">
        <is>
          <t>대</t>
        </is>
      </c>
      <c r="D909" s="3" t="inlineStr">
        <is>
          <t>전</t>
        </is>
      </c>
      <c r="E909" s="3" t="inlineStr">
        <is>
          <t>매매</t>
        </is>
      </c>
      <c r="F909" s="4" t="n">
        <v>25000</v>
      </c>
      <c r="G909" s="4" t="n">
        <v>995</v>
      </c>
      <c r="H909" s="4" t="n">
        <v>301</v>
      </c>
      <c r="I909" s="5" t="n">
        <v>83.09999999999999</v>
      </c>
      <c r="J909" s="4" t="n">
        <v>747.8</v>
      </c>
      <c r="K909" s="3" t="inlineStr">
        <is>
          <t>투자용으로 추천합니다.</t>
        </is>
      </c>
      <c r="L909" s="6">
        <f>HYPERLINK("https://fin.land.naver.com/articles/2645621016", "매물Link")</f>
        <v/>
      </c>
      <c r="M909" s="6">
        <f>HYPERLINK("https://map.naver.com/p/search/세종특별자치시 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세종특별자치시 나성동 829</t>
        </is>
      </c>
      <c r="B910" s="3" t="inlineStr">
        <is>
          <t>중심상업지역</t>
        </is>
      </c>
      <c r="C910" s="3" t="inlineStr">
        <is>
          <t>대</t>
        </is>
      </c>
      <c r="D910" s="3" t="inlineStr">
        <is>
          <t>답</t>
        </is>
      </c>
      <c r="E910" s="3" t="inlineStr">
        <is>
          <t>매매</t>
        </is>
      </c>
      <c r="F910" s="4" t="n">
        <v>23000</v>
      </c>
      <c r="G910" s="4" t="n">
        <v>1980</v>
      </c>
      <c r="H910" s="4" t="n">
        <v>599</v>
      </c>
      <c r="I910" s="5" t="n">
        <v>38.4</v>
      </c>
      <c r="J910" s="4" t="n">
        <v>747.8</v>
      </c>
      <c r="K910" s="3" t="inlineStr">
        <is>
          <t>천안권과 접경지역으로 4차선전용도로(세종로)로 생활권의 확장성이 높음</t>
        </is>
      </c>
      <c r="L910" s="6">
        <f>HYPERLINK("https://fin.land.naver.com/articles/2644936480", "매물Link")</f>
        <v/>
      </c>
      <c r="M910" s="6">
        <f>HYPERLINK("https://map.naver.com/p/search/세종특별자치시 나성동 829", "지도Link")</f>
        <v/>
      </c>
      <c r="N910" s="6">
        <f>HYPERLINK("http://www.eum.go.kr/web/ar/lu/luLandDet.jsp?pnu=3611010700108290000&amp;isNoScr=script&amp;mode=search", "토지이음")</f>
        <v/>
      </c>
      <c r="O910" s="3" t="inlineStr">
        <is>
          <t>온누리</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세종특별자치시 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HYPERLINK("https://map.naver.com/p/search/세종특별자치시 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세종특별자치시 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HYPERLINK("https://map.naver.com/p/search/세종특별자치시 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세종특별자치시 나성동 829</t>
        </is>
      </c>
      <c r="B913" s="3" t="inlineStr">
        <is>
          <t>중심상업지역</t>
        </is>
      </c>
      <c r="C913" s="3" t="inlineStr">
        <is>
          <t>대</t>
        </is>
      </c>
      <c r="D913" s="3" t="inlineStr">
        <is>
          <t>전</t>
        </is>
      </c>
      <c r="E913" s="3" t="inlineStr">
        <is>
          <t>매매</t>
        </is>
      </c>
      <c r="F913" s="4" t="n">
        <v>44000</v>
      </c>
      <c r="G913" s="4" t="n">
        <v>394</v>
      </c>
      <c r="H913" s="4" t="n">
        <v>119</v>
      </c>
      <c r="I913" s="5" t="n">
        <v>369.7</v>
      </c>
      <c r="J913" s="4" t="n">
        <v>747.8</v>
      </c>
      <c r="K913" s="3" t="inlineStr">
        <is>
          <t>김수녕양궁장 입구로 차량통행 맣으며 광고효과 좋음 상가건물 신축가능</t>
        </is>
      </c>
      <c r="L913" s="6">
        <f>HYPERLINK("https://fin.land.naver.com/articles/2647427487", "매물Link")</f>
        <v/>
      </c>
      <c r="M913" s="6">
        <f>HYPERLINK("https://map.naver.com/p/search/세종특별자치시 나성동 829", "지도Link")</f>
        <v/>
      </c>
      <c r="N913" s="6">
        <f>HYPERLINK("http://www.eum.go.kr/web/ar/lu/luLandDet.jsp?pnu=3611010700108290000&amp;isNoScr=script&amp;mode=search", "토지이음")</f>
        <v/>
      </c>
      <c r="O913" s="3" t="inlineStr">
        <is>
          <t>가야</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세종특별자치시 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HYPERLINK("https://map.naver.com/p/search/세종특별자치시 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세종특별자치시 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HYPERLINK("https://map.naver.com/p/search/세종특별자치시 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세종특별자치시 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HYPERLINK("https://map.naver.com/p/search/세종특별자치시 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세종특별자치시 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HYPERLINK("https://map.naver.com/p/search/세종특별자치시 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세종특별자치시 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HYPERLINK("https://map.naver.com/p/search/세종특별자치시 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세종특별자치시 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HYPERLINK("https://map.naver.com/p/search/세종특별자치시 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세종특별자치시 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HYPERLINK("https://map.naver.com/p/search/세종특별자치시 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세종특별자치시 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HYPERLINK("https://map.naver.com/p/search/세종특별자치시 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세종특별자치시 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HYPERLINK("https://map.naver.com/p/search/세종특별자치시 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세종특별자치시 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HYPERLINK("https://map.naver.com/p/search/세종특별자치시 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세종특별자치시 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HYPERLINK("https://map.naver.com/p/search/세종특별자치시 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세종특별자치시 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HYPERLINK("https://map.naver.com/p/search/세종특별자치시 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세종특별자치시 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HYPERLINK("https://map.naver.com/p/search/세종특별자치시 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세종특별자치시 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HYPERLINK("https://map.naver.com/p/search/세종특별자치시 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세종특별자치시 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HYPERLINK("https://map.naver.com/p/search/세종특별자치시 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세종특별자치시 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HYPERLINK("https://map.naver.com/p/search/세종특별자치시 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세종특별자치시 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HYPERLINK("https://map.naver.com/p/search/세종특별자치시 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세종특별자치시 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HYPERLINK("https://map.naver.com/p/search/세종특별자치시 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세종특별자치시 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HYPERLINK("https://map.naver.com/p/search/세종특별자치시 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세종특별자치시 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HYPERLINK("https://map.naver.com/p/search/세종특별자치시 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세종특별자치시 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HYPERLINK("https://map.naver.com/p/search/세종특별자치시 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세종특별자치시 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HYPERLINK("https://map.naver.com/p/search/세종특별자치시 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세종특별자치시 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HYPERLINK("https://map.naver.com/p/search/세종특별자치시 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세종특별자치시 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HYPERLINK("https://map.naver.com/p/search/세종특별자치시 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세종특별자치시 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HYPERLINK("https://map.naver.com/p/search/세종특별자치시 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세종특별자치시 나성동 829</t>
        </is>
      </c>
      <c r="B939" s="3" t="inlineStr">
        <is>
          <t>중심상업지역</t>
        </is>
      </c>
      <c r="C939" s="3" t="inlineStr">
        <is>
          <t>대</t>
        </is>
      </c>
      <c r="D939" s="3" t="inlineStr">
        <is>
          <t>전</t>
        </is>
      </c>
      <c r="E939" s="3" t="inlineStr">
        <is>
          <t>매매</t>
        </is>
      </c>
      <c r="F939" s="4" t="n">
        <v>6200</v>
      </c>
      <c r="G939" s="4" t="n">
        <v>764</v>
      </c>
      <c r="H939" s="4" t="n">
        <v>231</v>
      </c>
      <c r="I939" s="5" t="n">
        <v>26.8</v>
      </c>
      <c r="J939" s="4" t="n">
        <v>747.8</v>
      </c>
      <c r="K939" s="3" t="inlineStr">
        <is>
          <t>2차선근접 접근성이 양호한 토지</t>
        </is>
      </c>
      <c r="L939" s="6">
        <f>HYPERLINK("https://fin.land.naver.com/articles/2646980954", "매물Link")</f>
        <v/>
      </c>
      <c r="M939" s="6">
        <f>HYPERLINK("https://map.naver.com/p/search/세종특별자치시 나성동 829", "지도Link")</f>
        <v/>
      </c>
      <c r="N939" s="6">
        <f>HYPERLINK("http://www.eum.go.kr/web/ar/lu/luLandDet.jsp?pnu=3611010700108290000&amp;isNoScr=script&amp;mode=search", "토지이음")</f>
        <v/>
      </c>
      <c r="O939" s="3" t="inlineStr">
        <is>
          <t>채움</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세종특별자치시 나성동 829</t>
        </is>
      </c>
      <c r="B940" s="3" t="inlineStr">
        <is>
          <t>중심상업지역</t>
        </is>
      </c>
      <c r="C940" s="3" t="inlineStr">
        <is>
          <t>대</t>
        </is>
      </c>
      <c r="D940" s="3" t="inlineStr">
        <is>
          <t>주유소용지</t>
        </is>
      </c>
      <c r="E940" s="3" t="inlineStr">
        <is>
          <t>매매</t>
        </is>
      </c>
      <c r="F940" s="4" t="n">
        <v>78800</v>
      </c>
      <c r="G940" s="4" t="n">
        <v>2370</v>
      </c>
      <c r="H940" s="4" t="n">
        <v>717</v>
      </c>
      <c r="I940" s="5" t="n">
        <v>109.9</v>
      </c>
      <c r="J940" s="4" t="n">
        <v>747.8</v>
      </c>
      <c r="K940" s="3" t="inlineStr">
        <is>
          <t>다용도부지 4차선 도로변</t>
        </is>
      </c>
      <c r="L940" s="6">
        <f>HYPERLINK("https://fin.land.naver.com/articles/2646459089", "매물Link")</f>
        <v/>
      </c>
      <c r="M940" s="6">
        <f>HYPERLINK("https://map.naver.com/p/search/세종특별자치시 나성동 829", "지도Link")</f>
        <v/>
      </c>
      <c r="N940" s="6">
        <f>HYPERLINK("http://www.eum.go.kr/web/ar/lu/luLandDet.jsp?pnu=3611010700108290000&amp;isNoScr=script&amp;mode=search", "토지이음")</f>
        <v/>
      </c>
      <c r="O940" s="3" t="inlineStr">
        <is>
          <t>정석</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세종특별자치시 나성동 829</t>
        </is>
      </c>
      <c r="B941" s="3" t="inlineStr">
        <is>
          <t>중심상업지역</t>
        </is>
      </c>
      <c r="C941" s="3" t="inlineStr">
        <is>
          <t>대</t>
        </is>
      </c>
      <c r="D941" s="3" t="inlineStr">
        <is>
          <t>전</t>
        </is>
      </c>
      <c r="E941" s="3" t="inlineStr">
        <is>
          <t>매매</t>
        </is>
      </c>
      <c r="F941" s="4" t="n">
        <v>12000</v>
      </c>
      <c r="G941" s="4" t="n">
        <v>1045</v>
      </c>
      <c r="H941" s="4" t="n">
        <v>316</v>
      </c>
      <c r="I941" s="5" t="n">
        <v>38</v>
      </c>
      <c r="J941" s="4" t="n">
        <v>747.8</v>
      </c>
      <c r="K941" s="3" t="inlineStr">
        <is>
          <t>nan</t>
        </is>
      </c>
      <c r="L941" s="6">
        <f>HYPERLINK("https://fin.land.naver.com/articles/2646945856", "매물Link")</f>
        <v/>
      </c>
      <c r="M941" s="6">
        <f>HYPERLINK("https://map.naver.com/p/search/세종특별자치시 나성동 829", "지도Link")</f>
        <v/>
      </c>
      <c r="N941" s="6">
        <f>HYPERLINK("http://www.eum.go.kr/web/ar/lu/luLandDet.jsp?pnu=3611010700108290000&amp;isNoScr=script&amp;mode=search", "토지이음")</f>
        <v/>
      </c>
      <c r="O941" s="3" t="inlineStr">
        <is>
          <t>강남</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세종특별자치시 나성동 829</t>
        </is>
      </c>
      <c r="B942" s="3" t="inlineStr">
        <is>
          <t>중심상업지역</t>
        </is>
      </c>
      <c r="C942" s="3" t="inlineStr">
        <is>
          <t>대</t>
        </is>
      </c>
      <c r="D942" s="3" t="inlineStr">
        <is>
          <t>전</t>
        </is>
      </c>
      <c r="E942" s="3" t="inlineStr">
        <is>
          <t>매매</t>
        </is>
      </c>
      <c r="F942" s="4" t="n">
        <v>20800</v>
      </c>
      <c r="G942" s="4" t="n">
        <v>1719</v>
      </c>
      <c r="H942" s="4" t="n">
        <v>520</v>
      </c>
      <c r="I942" s="5" t="n">
        <v>40</v>
      </c>
      <c r="J942" s="4" t="n">
        <v>747.8</v>
      </c>
      <c r="K942" s="3" t="inlineStr">
        <is>
          <t>계획관리지역으로 모든 용도 건축 가능</t>
        </is>
      </c>
      <c r="L942" s="6">
        <f>HYPERLINK("https://fin.land.naver.com/articles/2648231838", "매물Link")</f>
        <v/>
      </c>
      <c r="M942" s="6">
        <f>HYPERLINK("https://map.naver.com/p/search/세종특별자치시 나성동 829", "지도Link")</f>
        <v/>
      </c>
      <c r="N942" s="6">
        <f>HYPERLINK("http://www.eum.go.kr/web/ar/lu/luLandDet.jsp?pnu=3611010700108290000&amp;isNoScr=script&amp;mode=search", "토지이음")</f>
        <v/>
      </c>
      <c r="O942" s="3" t="inlineStr">
        <is>
          <t>청와대합동사무소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세종특별자치시 나성동 829</t>
        </is>
      </c>
      <c r="B943" s="3" t="inlineStr">
        <is>
          <t>중심상업지역</t>
        </is>
      </c>
      <c r="C943" s="3" t="inlineStr">
        <is>
          <t>대</t>
        </is>
      </c>
      <c r="D943" s="3" t="inlineStr">
        <is>
          <t>양어장</t>
        </is>
      </c>
      <c r="E943" s="3" t="inlineStr">
        <is>
          <t>매매</t>
        </is>
      </c>
      <c r="F943" s="4" t="n">
        <v>84100</v>
      </c>
      <c r="G943" s="4" t="n">
        <v>3971</v>
      </c>
      <c r="H943" s="4" t="n">
        <v>1201</v>
      </c>
      <c r="I943" s="5" t="n">
        <v>70</v>
      </c>
      <c r="J943" s="4" t="n">
        <v>747.8</v>
      </c>
      <c r="K943" s="3" t="inlineStr">
        <is>
          <t>전원생활과 소일거리로 농사 짓고 사실분 추천합니다.</t>
        </is>
      </c>
      <c r="L943" s="6">
        <f>HYPERLINK("https://fin.land.naver.com/articles/2648267938", "매물Link")</f>
        <v/>
      </c>
      <c r="M943" s="6">
        <f>HYPERLINK("https://map.naver.com/p/search/세종특별자치시 나성동 829", "지도Link")</f>
        <v/>
      </c>
      <c r="N943" s="6">
        <f>HYPERLINK("http://www.eum.go.kr/web/ar/lu/luLandDet.jsp?pnu=3611010700108290000&amp;isNoScr=script&amp;mode=search", "토지이음")</f>
        <v/>
      </c>
      <c r="O943" s="3" t="inlineStr">
        <is>
          <t>상금</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세종특별자치시 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HYPERLINK("https://map.naver.com/p/search/세종특별자치시 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세종특별자치시 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HYPERLINK("https://map.naver.com/p/search/세종특별자치시 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세종특별자치시 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HYPERLINK("https://map.naver.com/p/search/세종특별자치시 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세종특별자치시 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HYPERLINK("https://map.naver.com/p/search/세종특별자치시 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세종특별자치시 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HYPERLINK("https://map.naver.com/p/search/세종특별자치시 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세종특별자치시 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HYPERLINK("https://map.naver.com/p/search/세종특별자치시 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세종특별자치시 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HYPERLINK("https://map.naver.com/p/search/세종특별자치시 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세종특별자치시 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HYPERLINK("https://map.naver.com/p/search/세종특별자치시 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세종특별자치시 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HYPERLINK("https://map.naver.com/p/search/세종특별자치시 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세종특별자치시 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HYPERLINK("https://map.naver.com/p/search/세종특별자치시 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세종특별자치시 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HYPERLINK("https://map.naver.com/p/search/세종특별자치시 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세종특별자치시 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HYPERLINK("https://map.naver.com/p/search/세종특별자치시 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세종특별자치시 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HYPERLINK("https://map.naver.com/p/search/세종특별자치시 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세종특별자치시 나성동 829</t>
        </is>
      </c>
      <c r="B957" s="3" t="inlineStr">
        <is>
          <t>중심상업지역</t>
        </is>
      </c>
      <c r="C957" s="3" t="inlineStr">
        <is>
          <t>대</t>
        </is>
      </c>
      <c r="D957" s="3" t="inlineStr">
        <is>
          <t>창고용지</t>
        </is>
      </c>
      <c r="E957" s="3" t="inlineStr">
        <is>
          <t>매매</t>
        </is>
      </c>
      <c r="F957" s="4" t="n">
        <v>350000</v>
      </c>
      <c r="G957" s="4" t="n">
        <v>5348</v>
      </c>
      <c r="H957" s="4" t="n">
        <v>1618</v>
      </c>
      <c r="I957" s="5" t="n">
        <v>216.3</v>
      </c>
      <c r="J957" s="4" t="n">
        <v>747.8</v>
      </c>
      <c r="K957" s="3" t="inlineStr">
        <is>
          <t>청주 최대 동남택지개발지구 인근지역 토지</t>
        </is>
      </c>
      <c r="L957" s="6">
        <f>HYPERLINK("https://fin.land.naver.com/articles/2647733509", "매물Link")</f>
        <v/>
      </c>
      <c r="M957" s="6">
        <f>HYPERLINK("https://map.naver.com/p/search/세종특별자치시 나성동 829", "지도Link")</f>
        <v/>
      </c>
      <c r="N957" s="6">
        <f>HYPERLINK("http://www.eum.go.kr/web/ar/lu/luLandDet.jsp?pnu=3611010700108290000&amp;isNoScr=script&amp;mode=search", "토지이음")</f>
        <v/>
      </c>
      <c r="O957" s="3" t="inlineStr">
        <is>
          <t>좋은</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세종특별자치시 나성동 829</t>
        </is>
      </c>
      <c r="B958" s="3" t="inlineStr">
        <is>
          <t>중심상업지역</t>
        </is>
      </c>
      <c r="C958" s="3" t="inlineStr">
        <is>
          <t>대</t>
        </is>
      </c>
      <c r="D958" s="3" t="inlineStr">
        <is>
          <t>답</t>
        </is>
      </c>
      <c r="E958" s="3" t="inlineStr">
        <is>
          <t>매매</t>
        </is>
      </c>
      <c r="F958" s="4" t="n">
        <v>48000</v>
      </c>
      <c r="G958" s="4" t="n">
        <v>2453</v>
      </c>
      <c r="H958" s="4" t="n">
        <v>742</v>
      </c>
      <c r="I958" s="5" t="n">
        <v>64.7</v>
      </c>
      <c r="J958" s="4" t="n">
        <v>747.8</v>
      </c>
      <c r="K958" s="3" t="inlineStr">
        <is>
          <t>코너각지이며교통용이함</t>
        </is>
      </c>
      <c r="L958" s="6">
        <f>HYPERLINK("https://fin.land.naver.com/articles/2648190488", "매물Link")</f>
        <v/>
      </c>
      <c r="M958" s="6">
        <f>HYPERLINK("https://map.naver.com/p/search/세종특별자치시 나성동 829", "지도Link")</f>
        <v/>
      </c>
      <c r="N958" s="6">
        <f>HYPERLINK("http://www.eum.go.kr/web/ar/lu/luLandDet.jsp?pnu=3611010700108290000&amp;isNoScr=script&amp;mode=search", "토지이음")</f>
        <v/>
      </c>
      <c r="O958" s="3" t="inlineStr">
        <is>
          <t>이은숙</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세종특별자치시 나성동 829</t>
        </is>
      </c>
      <c r="B959" s="3" t="inlineStr">
        <is>
          <t>중심상업지역</t>
        </is>
      </c>
      <c r="C959" s="3" t="inlineStr">
        <is>
          <t>대</t>
        </is>
      </c>
      <c r="D959" s="3" t="inlineStr">
        <is>
          <t>전</t>
        </is>
      </c>
      <c r="E959" s="3" t="inlineStr">
        <is>
          <t>매매</t>
        </is>
      </c>
      <c r="F959" s="4" t="n">
        <v>100000</v>
      </c>
      <c r="G959" s="4" t="n">
        <v>1439</v>
      </c>
      <c r="H959" s="4" t="n">
        <v>435</v>
      </c>
      <c r="I959" s="5" t="n">
        <v>229.9</v>
      </c>
      <c r="J959" s="4" t="n">
        <v>747.8</v>
      </c>
      <c r="K959" s="3" t="inlineStr">
        <is>
          <t>동남지구인접하여 다용도로 활용가능합니다.</t>
        </is>
      </c>
      <c r="L959" s="6">
        <f>HYPERLINK("https://fin.land.naver.com/articles/2649629126", "매물Link")</f>
        <v/>
      </c>
      <c r="M959" s="6">
        <f>HYPERLINK("https://map.naver.com/p/search/세종특별자치시 나성동 829", "지도Link")</f>
        <v/>
      </c>
      <c r="N959" s="6">
        <f>HYPERLINK("http://www.eum.go.kr/web/ar/lu/luLandDet.jsp?pnu=3611010700108290000&amp;isNoScr=script&amp;mode=search", "토지이음")</f>
        <v/>
      </c>
      <c r="O959" s="3" t="inlineStr">
        <is>
          <t>하니힐데스</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세종특별자치시 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HYPERLINK("https://map.naver.com/p/search/세종특별자치시 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세종특별자치시 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HYPERLINK("https://map.naver.com/p/search/세종특별자치시 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세종특별자치시 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HYPERLINK("https://map.naver.com/p/search/세종특별자치시 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세종특별자치시 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HYPERLINK("https://map.naver.com/p/search/세종특별자치시 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세종특별자치시 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HYPERLINK("https://map.naver.com/p/search/세종특별자치시 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세종특별자치시 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HYPERLINK("https://map.naver.com/p/search/세종특별자치시 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세종특별자치시 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HYPERLINK("https://map.naver.com/p/search/세종특별자치시 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세종특별자치시 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HYPERLINK("https://map.naver.com/p/search/세종특별자치시 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세종특별자치시 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HYPERLINK("https://map.naver.com/p/search/세종특별자치시 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세종특별자치시 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HYPERLINK("https://map.naver.com/p/search/세종특별자치시 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세종특별자치시 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HYPERLINK("https://map.naver.com/p/search/세종특별자치시 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세종특별자치시 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HYPERLINK("https://map.naver.com/p/search/세종특별자치시 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세종특별자치시 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HYPERLINK("https://map.naver.com/p/search/세종특별자치시 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세종특별자치시 나성동 829</t>
        </is>
      </c>
      <c r="B973" s="3" t="inlineStr">
        <is>
          <t>중심상업지역</t>
        </is>
      </c>
      <c r="C973" s="3" t="inlineStr">
        <is>
          <t>대</t>
        </is>
      </c>
      <c r="D973" s="3" t="inlineStr">
        <is>
          <t>전</t>
        </is>
      </c>
      <c r="E973" s="3" t="inlineStr">
        <is>
          <t>매매</t>
        </is>
      </c>
      <c r="F973" s="4" t="n">
        <v>13500</v>
      </c>
      <c r="G973" s="4" t="n">
        <v>545</v>
      </c>
      <c r="H973" s="4" t="n">
        <v>165</v>
      </c>
      <c r="I973" s="5" t="n">
        <v>81.8</v>
      </c>
      <c r="J973" s="4" t="n">
        <v>747.8</v>
      </c>
      <c r="K973" s="3" t="inlineStr">
        <is>
          <t>남향의 전원주택지로 수도 전기시설 되어 있어요</t>
        </is>
      </c>
      <c r="L973" s="6">
        <f>HYPERLINK("https://fin.land.naver.com/articles/2648704382", "매물Link")</f>
        <v/>
      </c>
      <c r="M973" s="6">
        <f>HYPERLINK("https://map.naver.com/p/search/세종특별자치시 나성동 829", "지도Link")</f>
        <v/>
      </c>
      <c r="N973" s="6">
        <f>HYPERLINK("http://www.eum.go.kr/web/ar/lu/luLandDet.jsp?pnu=3611010700108290000&amp;isNoScr=script&amp;mode=search", "토지이음")</f>
        <v/>
      </c>
      <c r="O973" s="3" t="inlineStr">
        <is>
          <t>해뜨는  사무소</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세종특별자치시 나성동 829</t>
        </is>
      </c>
      <c r="B974" s="3" t="inlineStr">
        <is>
          <t>중심상업지역</t>
        </is>
      </c>
      <c r="C974" s="3" t="inlineStr">
        <is>
          <t>대</t>
        </is>
      </c>
      <c r="D974" s="3" t="inlineStr">
        <is>
          <t>전</t>
        </is>
      </c>
      <c r="E974" s="3" t="inlineStr">
        <is>
          <t>매매</t>
        </is>
      </c>
      <c r="F974" s="4" t="n">
        <v>110000</v>
      </c>
      <c r="G974" s="4" t="n">
        <v>1421</v>
      </c>
      <c r="H974" s="4" t="n">
        <v>430</v>
      </c>
      <c r="I974" s="5" t="n">
        <v>255.8</v>
      </c>
      <c r="J974" s="4" t="n">
        <v>747.8</v>
      </c>
      <c r="K974" s="3" t="inlineStr">
        <is>
          <t>nan</t>
        </is>
      </c>
      <c r="L974" s="6">
        <f>HYPERLINK("https://fin.land.naver.com/articles/2649507291", "매물Link")</f>
        <v/>
      </c>
      <c r="M974" s="6">
        <f>HYPERLINK("https://map.naver.com/p/search/세종특별자치시 나성동 829", "지도Link")</f>
        <v/>
      </c>
      <c r="N974" s="6">
        <f>HYPERLINK("http://www.eum.go.kr/web/ar/lu/luLandDet.jsp?pnu=3611010700108290000&amp;isNoScr=script&amp;mode=search", "토지이음")</f>
        <v/>
      </c>
      <c r="O974" s="3" t="inlineStr">
        <is>
          <t>공상배</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세종특별자치시 나성동 829</t>
        </is>
      </c>
      <c r="B975" s="3" t="inlineStr">
        <is>
          <t>중심상업지역</t>
        </is>
      </c>
      <c r="C975" s="3" t="inlineStr">
        <is>
          <t>대</t>
        </is>
      </c>
      <c r="D975" s="3" t="inlineStr">
        <is>
          <t>전</t>
        </is>
      </c>
      <c r="E975" s="3" t="inlineStr">
        <is>
          <t>매매</t>
        </is>
      </c>
      <c r="F975" s="4" t="n">
        <v>2800</v>
      </c>
      <c r="G975" s="4" t="n">
        <v>410</v>
      </c>
      <c r="H975" s="4" t="n">
        <v>124</v>
      </c>
      <c r="I975" s="5" t="n">
        <v>22.6</v>
      </c>
      <c r="J975" s="4" t="n">
        <v>747.8</v>
      </c>
      <c r="K975" s="3" t="inlineStr">
        <is>
          <t>향후 예산집행되는대로 포장예정임(구거)</t>
        </is>
      </c>
      <c r="L975" s="6">
        <f>HYPERLINK("https://fin.land.naver.com/articles/2646980787", "매물Link")</f>
        <v/>
      </c>
      <c r="M975" s="6">
        <f>HYPERLINK("https://map.naver.com/p/search/세종특별자치시 나성동 829", "지도Link")</f>
        <v/>
      </c>
      <c r="N975" s="6">
        <f>HYPERLINK("http://www.eum.go.kr/web/ar/lu/luLandDet.jsp?pnu=3611010700108290000&amp;isNoScr=script&amp;mode=search", "토지이음")</f>
        <v/>
      </c>
      <c r="O975" s="3" t="inlineStr">
        <is>
          <t>채움</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세종특별자치시 나성동 829</t>
        </is>
      </c>
      <c r="B976" s="3" t="inlineStr">
        <is>
          <t>중심상업지역</t>
        </is>
      </c>
      <c r="C976" s="3" t="inlineStr">
        <is>
          <t>대</t>
        </is>
      </c>
      <c r="D976" s="3" t="inlineStr">
        <is>
          <t>대</t>
        </is>
      </c>
      <c r="E976" s="3" t="inlineStr">
        <is>
          <t>매매</t>
        </is>
      </c>
      <c r="F976" s="4" t="n">
        <v>5500</v>
      </c>
      <c r="G976" s="4" t="n">
        <v>232</v>
      </c>
      <c r="H976" s="4" t="n">
        <v>70</v>
      </c>
      <c r="I976" s="5" t="n">
        <v>78.59999999999999</v>
      </c>
      <c r="J976" s="4" t="n">
        <v>747.8</v>
      </c>
      <c r="K976" s="3" t="inlineStr">
        <is>
          <t>조치원에서10분거리,지차체에서 전면 도로 포장, 땅모양 반듯한 남서향,</t>
        </is>
      </c>
      <c r="L976" s="6">
        <f>HYPERLINK("https://fin.land.naver.com/articles/2648222917", "매물Link")</f>
        <v/>
      </c>
      <c r="M976" s="6">
        <f>HYPERLINK("https://map.naver.com/p/search/세종특별자치시 나성동 829", "지도Link")</f>
        <v/>
      </c>
      <c r="N976" s="6">
        <f>HYPERLINK("http://www.eum.go.kr/web/ar/lu/luLandDet.jsp?pnu=3611010700108290000&amp;isNoScr=script&amp;mode=search", "토지이음")</f>
        <v/>
      </c>
      <c r="O976" s="3" t="inlineStr">
        <is>
          <t>열매</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세종특별자치시 나성동 829</t>
        </is>
      </c>
      <c r="B977" s="3" t="inlineStr">
        <is>
          <t>중심상업지역</t>
        </is>
      </c>
      <c r="C977" s="3" t="inlineStr">
        <is>
          <t>대</t>
        </is>
      </c>
      <c r="D977" s="3" t="inlineStr">
        <is>
          <t>답</t>
        </is>
      </c>
      <c r="E977" s="3" t="inlineStr">
        <is>
          <t>매매</t>
        </is>
      </c>
      <c r="F977" s="4" t="n">
        <v>96000</v>
      </c>
      <c r="G977" s="4" t="n">
        <v>2651</v>
      </c>
      <c r="H977" s="4" t="n">
        <v>802</v>
      </c>
      <c r="I977" s="5" t="n">
        <v>119.7</v>
      </c>
      <c r="J977" s="4" t="n">
        <v>747.8</v>
      </c>
      <c r="K977" s="3" t="inlineStr">
        <is>
          <t>nan</t>
        </is>
      </c>
      <c r="L977" s="6">
        <f>HYPERLINK("https://fin.land.naver.com/articles/2649369293", "매물Link")</f>
        <v/>
      </c>
      <c r="M977" s="6">
        <f>HYPERLINK("https://map.naver.com/p/search/세종특별자치시 나성동 829", "지도Link")</f>
        <v/>
      </c>
      <c r="N977" s="6">
        <f>HYPERLINK("http://www.eum.go.kr/web/ar/lu/luLandDet.jsp?pnu=3611010700108290000&amp;isNoScr=script&amp;mode=search", "토지이음")</f>
        <v/>
      </c>
      <c r="O977" s="3" t="inlineStr">
        <is>
          <t>가람</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세종특별자치시 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HYPERLINK("https://map.naver.com/p/search/세종특별자치시 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세종특별자치시 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HYPERLINK("https://map.naver.com/p/search/세종특별자치시 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세종특별자치시 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HYPERLINK("https://map.naver.com/p/search/세종특별자치시 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세종특별자치시 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HYPERLINK("https://map.naver.com/p/search/세종특별자치시 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세종특별자치시 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HYPERLINK("https://map.naver.com/p/search/세종특별자치시 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세종특별자치시 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HYPERLINK("https://map.naver.com/p/search/세종특별자치시 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세종특별자치시 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HYPERLINK("https://map.naver.com/p/search/세종특별자치시 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세종특별자치시 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HYPERLINK("https://map.naver.com/p/search/세종특별자치시 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세종특별자치시 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HYPERLINK("https://map.naver.com/p/search/세종특별자치시 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세종특별자치시 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HYPERLINK("https://map.naver.com/p/search/세종특별자치시 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세종특별자치시 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HYPERLINK("https://map.naver.com/p/search/세종특별자치시 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세종특별자치시 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HYPERLINK("https://map.naver.com/p/search/세종특별자치시 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세종특별자치시 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HYPERLINK("https://map.naver.com/p/search/세종특별자치시 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세종특별자치시 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HYPERLINK("https://map.naver.com/p/search/세종특별자치시 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세종특별자치시 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HYPERLINK("https://map.naver.com/p/search/세종특별자치시 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세종특별자치시 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HYPERLINK("https://map.naver.com/p/search/세종특별자치시 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세종특별자치시 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HYPERLINK("https://map.naver.com/p/search/세종특별자치시 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세종특별자치시 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HYPERLINK("https://map.naver.com/p/search/세종특별자치시 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세종특별자치시 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HYPERLINK("https://map.naver.com/p/search/세종특별자치시 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세종특별자치시 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HYPERLINK("https://map.naver.com/p/search/세종특별자치시 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세종특별자치시 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HYPERLINK("https://map.naver.com/p/search/세종특별자치시 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세종특별자치시 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HYPERLINK("https://map.naver.com/p/search/세종특별자치시 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세종특별자치시 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HYPERLINK("https://map.naver.com/p/search/세종특별자치시 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세종특별자치시 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HYPERLINK("https://map.naver.com/p/search/세종특별자치시 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세종특별자치시 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HYPERLINK("https://map.naver.com/p/search/세종특별자치시 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세종특별자치시 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HYPERLINK("https://map.naver.com/p/search/세종특별자치시 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세종특별자치시 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HYPERLINK("https://map.naver.com/p/search/세종특별자치시 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세종특별자치시 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HYPERLINK("https://map.naver.com/p/search/세종특별자치시 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세종특별자치시 나성동 829</t>
        </is>
      </c>
      <c r="B1006" s="3" t="inlineStr">
        <is>
          <t>중심상업지역</t>
        </is>
      </c>
      <c r="C1006" s="3" t="inlineStr">
        <is>
          <t>대</t>
        </is>
      </c>
      <c r="D1006" s="3" t="inlineStr">
        <is>
          <t>전</t>
        </is>
      </c>
      <c r="E1006" s="3" t="inlineStr">
        <is>
          <t>매매</t>
        </is>
      </c>
      <c r="F1006" s="4" t="n">
        <v>58000</v>
      </c>
      <c r="G1006" s="4" t="n">
        <v>2948</v>
      </c>
      <c r="H1006" s="4" t="n">
        <v>892</v>
      </c>
      <c r="I1006" s="5" t="n">
        <v>65</v>
      </c>
      <c r="J1006" s="4" t="n">
        <v>747.8</v>
      </c>
      <c r="K1006" s="3" t="inlineStr">
        <is>
          <t>nan</t>
        </is>
      </c>
      <c r="L1006" s="6">
        <f>HYPERLINK("https://fin.land.naver.com/articles/2647057587", "매물Link")</f>
        <v/>
      </c>
      <c r="M1006" s="6">
        <f>HYPERLINK("https://map.naver.com/p/search/세종특별자치시 나성동 829", "지도Link")</f>
        <v/>
      </c>
      <c r="N1006" s="6">
        <f>HYPERLINK("http://www.eum.go.kr/web/ar/lu/luLandDet.jsp?pnu=3611010700108290000&amp;isNoScr=script&amp;mode=search", "토지이음")</f>
        <v/>
      </c>
      <c r="O1006" s="3" t="inlineStr">
        <is>
          <t>엄지척</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세종특별자치시 나성동 829</t>
        </is>
      </c>
      <c r="B1007" s="3" t="inlineStr">
        <is>
          <t>중심상업지역</t>
        </is>
      </c>
      <c r="C1007" s="3" t="inlineStr">
        <is>
          <t>대</t>
        </is>
      </c>
      <c r="D1007" s="3" t="inlineStr">
        <is>
          <t>전</t>
        </is>
      </c>
      <c r="E1007" s="3" t="inlineStr">
        <is>
          <t>매매</t>
        </is>
      </c>
      <c r="F1007" s="4" t="n">
        <v>38500</v>
      </c>
      <c r="G1007" s="4" t="n">
        <v>1590</v>
      </c>
      <c r="H1007" s="4" t="n">
        <v>481</v>
      </c>
      <c r="I1007" s="5" t="n">
        <v>80</v>
      </c>
      <c r="J1007" s="4" t="n">
        <v>747.8</v>
      </c>
      <c r="K1007" s="3" t="inlineStr">
        <is>
          <t>추천. 주말 농장용 토지</t>
        </is>
      </c>
      <c r="L1007" s="6">
        <f>HYPERLINK("https://fin.land.naver.com/articles/2645470477", "매물Link")</f>
        <v/>
      </c>
      <c r="M1007" s="6">
        <f>HYPERLINK("https://map.naver.com/p/search/세종특별자치시 나성동 829", "지도Link")</f>
        <v/>
      </c>
      <c r="N1007" s="6">
        <f>HYPERLINK("http://www.eum.go.kr/web/ar/lu/luLandDet.jsp?pnu=3611010700108290000&amp;isNoScr=script&amp;mode=search", "토지이음")</f>
        <v/>
      </c>
      <c r="O1007" s="3" t="inlineStr">
        <is>
          <t>강아지풀</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세종특별자치시 나성동 829</t>
        </is>
      </c>
      <c r="B1008" s="3" t="inlineStr">
        <is>
          <t>중심상업지역</t>
        </is>
      </c>
      <c r="C1008" s="3" t="inlineStr">
        <is>
          <t>대</t>
        </is>
      </c>
      <c r="D1008" s="3" t="inlineStr">
        <is>
          <t>전</t>
        </is>
      </c>
      <c r="E1008" s="3" t="inlineStr">
        <is>
          <t>매매</t>
        </is>
      </c>
      <c r="F1008" s="4" t="n">
        <v>3250000</v>
      </c>
      <c r="G1008" s="4" t="n">
        <v>53820</v>
      </c>
      <c r="H1008" s="4" t="n">
        <v>16281</v>
      </c>
      <c r="I1008" s="5" t="n">
        <v>199.6</v>
      </c>
      <c r="J1008" s="4" t="n">
        <v>747.8</v>
      </c>
      <c r="K1008" s="3" t="inlineStr">
        <is>
          <t>2차선도로접,규모있는 개발부지,연수 종교 업무 교육 노인용 등 다용도</t>
        </is>
      </c>
      <c r="L1008" s="6">
        <f>HYPERLINK("https://fin.land.naver.com/articles/2648983666", "매물Link")</f>
        <v/>
      </c>
      <c r="M1008" s="6">
        <f>HYPERLINK("https://map.naver.com/p/search/세종특별자치시 나성동 829", "지도Link")</f>
        <v/>
      </c>
      <c r="N1008" s="6">
        <f>HYPERLINK("http://www.eum.go.kr/web/ar/lu/luLandDet.jsp?pnu=3611010700108290000&amp;isNoScr=script&amp;mode=search", "토지이음")</f>
        <v/>
      </c>
      <c r="O1008" s="3" t="inlineStr">
        <is>
          <t>무한주식회사</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세종특별자치시 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HYPERLINK("https://map.naver.com/p/search/세종특별자치시 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세종특별자치시 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HYPERLINK("https://map.naver.com/p/search/세종특별자치시 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세종특별자치시 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HYPERLINK("https://map.naver.com/p/search/세종특별자치시 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세종특별자치시 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HYPERLINK("https://map.naver.com/p/search/세종특별자치시 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세종특별자치시 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HYPERLINK("https://map.naver.com/p/search/세종특별자치시 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세종특별자치시 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HYPERLINK("https://map.naver.com/p/search/세종특별자치시 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세종특별자치시 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HYPERLINK("https://map.naver.com/p/search/세종특별자치시 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세종특별자치시 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HYPERLINK("https://map.naver.com/p/search/세종특별자치시 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세종특별자치시 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HYPERLINK("https://map.naver.com/p/search/세종특별자치시 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세종특별자치시 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HYPERLINK("https://map.naver.com/p/search/세종특별자치시 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세종특별자치시 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HYPERLINK("https://map.naver.com/p/search/세종특별자치시 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세종특별자치시 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HYPERLINK("https://map.naver.com/p/search/세종특별자치시 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세종특별자치시 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HYPERLINK("https://map.naver.com/p/search/세종특별자치시 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세종특별자치시 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HYPERLINK("https://map.naver.com/p/search/세종특별자치시 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세종특별자치시 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HYPERLINK("https://map.naver.com/p/search/세종특별자치시 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세종특별자치시 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HYPERLINK("https://map.naver.com/p/search/세종특별자치시 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세종특별자치시 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HYPERLINK("https://map.naver.com/p/search/세종특별자치시 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세종특별자치시 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HYPERLINK("https://map.naver.com/p/search/세종특별자치시 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세종특별자치시 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HYPERLINK("https://map.naver.com/p/search/세종특별자치시 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세종특별자치시 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HYPERLINK("https://map.naver.com/p/search/세종특별자치시 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세종특별자치시 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HYPERLINK("https://map.naver.com/p/search/세종특별자치시 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세종특별자치시 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HYPERLINK("https://map.naver.com/p/search/세종특별자치시 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세종특별자치시 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HYPERLINK("https://map.naver.com/p/search/세종특별자치시 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세종특별자치시 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HYPERLINK("https://map.naver.com/p/search/세종특별자치시 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세종특별자치시 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HYPERLINK("https://map.naver.com/p/search/세종특별자치시 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세종특별자치시 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HYPERLINK("https://map.naver.com/p/search/세종특별자치시 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세종특별자치시 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HYPERLINK("https://map.naver.com/p/search/세종특별자치시 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세종특별자치시 나성동 829</t>
        </is>
      </c>
      <c r="B1036" s="3" t="inlineStr">
        <is>
          <t>중심상업지역</t>
        </is>
      </c>
      <c r="C1036" s="3" t="inlineStr">
        <is>
          <t>대</t>
        </is>
      </c>
      <c r="D1036" s="3" t="inlineStr">
        <is>
          <t>답</t>
        </is>
      </c>
      <c r="E1036" s="3" t="inlineStr">
        <is>
          <t>매매</t>
        </is>
      </c>
      <c r="F1036" s="4" t="n">
        <v>59300</v>
      </c>
      <c r="G1036" s="4" t="n">
        <v>1785</v>
      </c>
      <c r="H1036" s="4" t="n">
        <v>540</v>
      </c>
      <c r="I1036" s="5" t="n">
        <v>109.8</v>
      </c>
      <c r="J1036" s="4" t="n">
        <v>747.8</v>
      </c>
      <c r="K1036" s="3" t="inlineStr">
        <is>
          <t>투자용</t>
        </is>
      </c>
      <c r="L1036" s="6">
        <f>HYPERLINK("https://fin.land.naver.com/articles/2649006734", "매물Link")</f>
        <v/>
      </c>
      <c r="M1036" s="6">
        <f>HYPERLINK("https://map.naver.com/p/search/세종특별자치시 나성동 829", "지도Link")</f>
        <v/>
      </c>
      <c r="N1036" s="6">
        <f>HYPERLINK("http://www.eum.go.kr/web/ar/lu/luLandDet.jsp?pnu=3611010700108290000&amp;isNoScr=script&amp;mode=search", "토지이음")</f>
        <v/>
      </c>
      <c r="O1036" s="3" t="inlineStr">
        <is>
          <t>세종푸르지오</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세종특별자치시 나성동 829</t>
        </is>
      </c>
      <c r="B1037" s="3" t="inlineStr">
        <is>
          <t>중심상업지역</t>
        </is>
      </c>
      <c r="C1037" s="3" t="inlineStr">
        <is>
          <t>대</t>
        </is>
      </c>
      <c r="D1037" s="3" t="inlineStr">
        <is>
          <t>답</t>
        </is>
      </c>
      <c r="E1037" s="3" t="inlineStr">
        <is>
          <t>매매</t>
        </is>
      </c>
      <c r="F1037" s="4" t="n">
        <v>2500</v>
      </c>
      <c r="G1037" s="4" t="n">
        <v>942</v>
      </c>
      <c r="H1037" s="4" t="n">
        <v>285</v>
      </c>
      <c r="I1037" s="5" t="n">
        <v>8.800000000000001</v>
      </c>
      <c r="J1037" s="4" t="n">
        <v>747.8</v>
      </c>
      <c r="K1037" s="3" t="inlineStr">
        <is>
          <t>급매.공시지가이하인 매물 전원세컨주말농장 등</t>
        </is>
      </c>
      <c r="L1037" s="6">
        <f>HYPERLINK("https://fin.land.naver.com/articles/2648342132", "매물Link")</f>
        <v/>
      </c>
      <c r="M1037" s="6">
        <f>HYPERLINK("https://map.naver.com/p/search/세종특별자치시 나성동 829", "지도Link")</f>
        <v/>
      </c>
      <c r="N1037" s="6">
        <f>HYPERLINK("http://www.eum.go.kr/web/ar/lu/luLandDet.jsp?pnu=3611010700108290000&amp;isNoScr=script&amp;mode=search", "토지이음")</f>
        <v/>
      </c>
      <c r="O1037" s="3" t="inlineStr">
        <is>
          <t>세종OK</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세종특별자치시 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HYPERLINK("https://map.naver.com/p/search/세종특별자치시 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세종특별자치시 나성동 829</t>
        </is>
      </c>
      <c r="B1039" s="3" t="inlineStr">
        <is>
          <t>중심상업지역</t>
        </is>
      </c>
      <c r="C1039" s="3" t="inlineStr">
        <is>
          <t>대</t>
        </is>
      </c>
      <c r="D1039" s="3" t="inlineStr">
        <is>
          <t>과수원</t>
        </is>
      </c>
      <c r="E1039" s="3" t="inlineStr">
        <is>
          <t>매매</t>
        </is>
      </c>
      <c r="F1039" s="4" t="n">
        <v>304000</v>
      </c>
      <c r="G1039" s="4" t="n">
        <v>6280</v>
      </c>
      <c r="H1039" s="4" t="n">
        <v>1900</v>
      </c>
      <c r="I1039" s="5" t="n">
        <v>160</v>
      </c>
      <c r="J1039" s="4" t="n">
        <v>747.8</v>
      </c>
      <c r="K1039" s="3" t="inlineStr">
        <is>
          <t>분할 매매 가능,도로 접함,생산관리지역</t>
        </is>
      </c>
      <c r="L1039" s="6">
        <f>HYPERLINK("https://fin.land.naver.com/articles/2645185821", "매물Link")</f>
        <v/>
      </c>
      <c r="M1039" s="6">
        <f>HYPERLINK("https://map.naver.com/p/search/세종특별자치시 나성동 829", "지도Link")</f>
        <v/>
      </c>
      <c r="N1039" s="6">
        <f>HYPERLINK("http://www.eum.go.kr/web/ar/lu/luLandDet.jsp?pnu=3611010700108290000&amp;isNoScr=script&amp;mode=search", "토지이음")</f>
        <v/>
      </c>
      <c r="O1039" s="3" t="inlineStr">
        <is>
          <t>신나라</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세종특별자치시 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HYPERLINK("https://map.naver.com/p/search/세종특별자치시 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세종특별자치시 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HYPERLINK("https://map.naver.com/p/search/세종특별자치시 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세종특별자치시 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HYPERLINK("https://map.naver.com/p/search/세종특별자치시 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세종특별자치시 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HYPERLINK("https://map.naver.com/p/search/세종특별자치시 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세종특별자치시 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HYPERLINK("https://map.naver.com/p/search/세종특별자치시 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세종특별자치시 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HYPERLINK("https://map.naver.com/p/search/세종특별자치시 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세종특별자치시 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HYPERLINK("https://map.naver.com/p/search/세종특별자치시 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세종특별자치시 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HYPERLINK("https://map.naver.com/p/search/세종특별자치시 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세종특별자치시 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HYPERLINK("https://map.naver.com/p/search/세종특별자치시 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세종특별자치시 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HYPERLINK("https://map.naver.com/p/search/세종특별자치시 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세종특별자치시 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HYPERLINK("https://map.naver.com/p/search/세종특별자치시 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세종특별자치시 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HYPERLINK("https://map.naver.com/p/search/세종특별자치시 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세종특별자치시 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HYPERLINK("https://map.naver.com/p/search/세종특별자치시 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세종특별자치시 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HYPERLINK("https://map.naver.com/p/search/세종특별자치시 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세종특별자치시 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HYPERLINK("https://map.naver.com/p/search/세종특별자치시 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세종특별자치시 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HYPERLINK("https://map.naver.com/p/search/세종특별자치시 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세종특별자치시 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HYPERLINK("https://map.naver.com/p/search/세종특별자치시 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세종특별자치시 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HYPERLINK("https://map.naver.com/p/search/세종특별자치시 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세종특별자치시 나성동 829</t>
        </is>
      </c>
      <c r="B1058" s="3" t="inlineStr">
        <is>
          <t>중심상업지역</t>
        </is>
      </c>
      <c r="C1058" s="3" t="inlineStr">
        <is>
          <t>대</t>
        </is>
      </c>
      <c r="D1058" s="3" t="inlineStr">
        <is>
          <t>임야</t>
        </is>
      </c>
      <c r="E1058" s="3" t="inlineStr">
        <is>
          <t>매매</t>
        </is>
      </c>
      <c r="F1058" s="4" t="n">
        <v>2700000</v>
      </c>
      <c r="G1058" s="4" t="n">
        <v>89485</v>
      </c>
      <c r="H1058" s="4" t="n">
        <v>27069</v>
      </c>
      <c r="I1058" s="5" t="n">
        <v>99.7</v>
      </c>
      <c r="J1058" s="4" t="n">
        <v>747.8</v>
      </c>
      <c r="K1058" s="3" t="inlineStr">
        <is>
          <t>옥산ic에서 15분,물류창고허가남</t>
        </is>
      </c>
      <c r="L1058" s="6">
        <f>HYPERLINK("https://fin.land.naver.com/articles/2649647895", "매물Link")</f>
        <v/>
      </c>
      <c r="M1058" s="6">
        <f>HYPERLINK("https://map.naver.com/p/search/세종특별자치시 나성동 829", "지도Link")</f>
        <v/>
      </c>
      <c r="N1058" s="6">
        <f>HYPERLINK("http://www.eum.go.kr/web/ar/lu/luLandDet.jsp?pnu=3611010700108290000&amp;isNoScr=script&amp;mode=search", "토지이음")</f>
        <v/>
      </c>
      <c r="O1058" s="3" t="inlineStr">
        <is>
          <t>아름다운</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세종특별자치시 나성동 829</t>
        </is>
      </c>
      <c r="B1059" s="3" t="inlineStr">
        <is>
          <t>중심상업지역</t>
        </is>
      </c>
      <c r="C1059" s="3" t="inlineStr">
        <is>
          <t>대</t>
        </is>
      </c>
      <c r="D1059" s="3" t="inlineStr">
        <is>
          <t>임야</t>
        </is>
      </c>
      <c r="E1059" s="3" t="inlineStr">
        <is>
          <t>매매</t>
        </is>
      </c>
      <c r="F1059" s="4" t="n">
        <v>43000</v>
      </c>
      <c r="G1059" s="4" t="n">
        <v>21514</v>
      </c>
      <c r="H1059" s="4" t="n">
        <v>6508</v>
      </c>
      <c r="I1059" s="5" t="n">
        <v>6.6</v>
      </c>
      <c r="J1059" s="4" t="n">
        <v>747.8</v>
      </c>
      <c r="K1059" s="3" t="inlineStr">
        <is>
          <t>세종시 땅,엄청 싸게나옴,투자가치 높음.</t>
        </is>
      </c>
      <c r="L1059" s="6">
        <f>HYPERLINK("https://fin.land.naver.com/articles/2647176132", "매물Link")</f>
        <v/>
      </c>
      <c r="M1059" s="6">
        <f>HYPERLINK("https://map.naver.com/p/search/세종특별자치시 나성동 829", "지도Link")</f>
        <v/>
      </c>
      <c r="N1059" s="6">
        <f>HYPERLINK("http://www.eum.go.kr/web/ar/lu/luLandDet.jsp?pnu=3611010700108290000&amp;isNoScr=script&amp;mode=search", "토지이음")</f>
        <v/>
      </c>
      <c r="O1059" s="3" t="inlineStr">
        <is>
          <t>진솔한</t>
        </is>
      </c>
      <c r="P1059" s="3" t="n">
        <v>1</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세종특별자치시 나성동 829</t>
        </is>
      </c>
      <c r="B1060" s="3" t="inlineStr">
        <is>
          <t>중심상업지역</t>
        </is>
      </c>
      <c r="C1060" s="3" t="inlineStr">
        <is>
          <t>대</t>
        </is>
      </c>
      <c r="D1060" s="3" t="inlineStr">
        <is>
          <t>답</t>
        </is>
      </c>
      <c r="E1060" s="3" t="inlineStr">
        <is>
          <t>매매</t>
        </is>
      </c>
      <c r="F1060" s="4" t="n">
        <v>161000</v>
      </c>
      <c r="G1060" s="4" t="n">
        <v>3535</v>
      </c>
      <c r="H1060" s="4" t="n">
        <v>1069</v>
      </c>
      <c r="I1060" s="5" t="n">
        <v>150.6</v>
      </c>
      <c r="J1060" s="4" t="n">
        <v>747.8</v>
      </c>
      <c r="K1060" s="3" t="inlineStr">
        <is>
          <t>도로접한 계획관리지역으로 성장관리구역 장기 투자가치있음</t>
        </is>
      </c>
      <c r="L1060" s="6">
        <f>HYPERLINK("https://fin.land.naver.com/articles/2647186033", "매물Link")</f>
        <v/>
      </c>
      <c r="M1060" s="6">
        <f>HYPERLINK("https://map.naver.com/p/search/세종특별자치시 나성동 829", "지도Link")</f>
        <v/>
      </c>
      <c r="N1060" s="6">
        <f>HYPERLINK("http://www.eum.go.kr/web/ar/lu/luLandDet.jsp?pnu=3611010700108290000&amp;isNoScr=script&amp;mode=search", "토지이음")</f>
        <v/>
      </c>
      <c r="O1060" s="3" t="inlineStr">
        <is>
          <t>중흥</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세종특별자치시 나성동 829</t>
        </is>
      </c>
      <c r="B1061" s="3" t="inlineStr">
        <is>
          <t>중심상업지역</t>
        </is>
      </c>
      <c r="C1061" s="3" t="inlineStr">
        <is>
          <t>대</t>
        </is>
      </c>
      <c r="D1061" s="3" t="inlineStr">
        <is>
          <t>전</t>
        </is>
      </c>
      <c r="E1061" s="3" t="inlineStr">
        <is>
          <t>매매</t>
        </is>
      </c>
      <c r="F1061" s="4" t="n">
        <v>50000</v>
      </c>
      <c r="G1061" s="4" t="n">
        <v>760</v>
      </c>
      <c r="H1061" s="4" t="n">
        <v>230</v>
      </c>
      <c r="I1061" s="5" t="n">
        <v>217.4</v>
      </c>
      <c r="J1061" s="4" t="n">
        <v>747.8</v>
      </c>
      <c r="K1061" s="3" t="inlineStr">
        <is>
          <t>세종첨단산업단지 입구에 위치해 있습니다.</t>
        </is>
      </c>
      <c r="L1061" s="6">
        <f>HYPERLINK("https://fin.land.naver.com/articles/2647244507", "매물Link")</f>
        <v/>
      </c>
      <c r="M1061" s="6">
        <f>HYPERLINK("https://map.naver.com/p/search/세종특별자치시 나성동 829", "지도Link")</f>
        <v/>
      </c>
      <c r="N1061" s="6">
        <f>HYPERLINK("http://www.eum.go.kr/web/ar/lu/luLandDet.jsp?pnu=3611010700108290000&amp;isNoScr=script&amp;mode=search", "토지이음")</f>
        <v/>
      </c>
      <c r="O1061" s="3" t="inlineStr">
        <is>
          <t>하이스트정원</t>
        </is>
      </c>
      <c r="P1061" s="3" t="n">
        <v>2</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세종특별자치시 나성동 829</t>
        </is>
      </c>
      <c r="B1062" s="3" t="inlineStr">
        <is>
          <t>중심상업지역</t>
        </is>
      </c>
      <c r="C1062" s="3" t="inlineStr">
        <is>
          <t>대</t>
        </is>
      </c>
      <c r="D1062" s="3" t="inlineStr">
        <is>
          <t>답</t>
        </is>
      </c>
      <c r="E1062" s="3" t="inlineStr">
        <is>
          <t>매매</t>
        </is>
      </c>
      <c r="F1062" s="4" t="n">
        <v>30000</v>
      </c>
      <c r="G1062" s="4" t="n">
        <v>1917</v>
      </c>
      <c r="H1062" s="4" t="n">
        <v>580</v>
      </c>
      <c r="I1062" s="5" t="n">
        <v>51.7</v>
      </c>
      <c r="J1062" s="4" t="n">
        <v>747.8</v>
      </c>
      <c r="K1062" s="3" t="inlineStr">
        <is>
          <t>마을 주변이라 쉼터로 해도 좋은위치</t>
        </is>
      </c>
      <c r="L1062" s="6">
        <f>HYPERLINK("https://fin.land.naver.com/articles/2647723508", "매물Link")</f>
        <v/>
      </c>
      <c r="M1062" s="6">
        <f>HYPERLINK("https://map.naver.com/p/search/세종특별자치시 나성동 829", "지도Link")</f>
        <v/>
      </c>
      <c r="N1062" s="6">
        <f>HYPERLINK("http://www.eum.go.kr/web/ar/lu/luLandDet.jsp?pnu=3611010700108290000&amp;isNoScr=script&amp;mode=search", "토지이음")</f>
        <v/>
      </c>
      <c r="O1062" s="3" t="inlineStr">
        <is>
          <t>토지</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세종특별자치시 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HYPERLINK("https://map.naver.com/p/search/세종특별자치시 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세종특별자치시 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HYPERLINK("https://map.naver.com/p/search/세종특별자치시 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세종특별자치시 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HYPERLINK("https://map.naver.com/p/search/세종특별자치시 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세종특별자치시 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HYPERLINK("https://map.naver.com/p/search/세종특별자치시 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세종특별자치시 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HYPERLINK("https://map.naver.com/p/search/세종특별자치시 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세종특별자치시 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HYPERLINK("https://map.naver.com/p/search/세종특별자치시 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세종특별자치시 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HYPERLINK("https://map.naver.com/p/search/세종특별자치시 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세종특별자치시 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HYPERLINK("https://map.naver.com/p/search/세종특별자치시 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세종특별자치시 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HYPERLINK("https://map.naver.com/p/search/세종특별자치시 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세종특별자치시 나성동 829</t>
        </is>
      </c>
      <c r="B1072" s="3" t="inlineStr">
        <is>
          <t>중심상업지역</t>
        </is>
      </c>
      <c r="C1072" s="3" t="inlineStr">
        <is>
          <t>대</t>
        </is>
      </c>
      <c r="D1072" s="3" t="inlineStr">
        <is>
          <t>주차장</t>
        </is>
      </c>
      <c r="E1072" s="3" t="inlineStr">
        <is>
          <t>매매</t>
        </is>
      </c>
      <c r="F1072" s="4" t="n">
        <v>35000</v>
      </c>
      <c r="G1072" s="4" t="n">
        <v>397</v>
      </c>
      <c r="H1072" s="4" t="n">
        <v>120</v>
      </c>
      <c r="I1072" s="5" t="n">
        <v>291.7</v>
      </c>
      <c r="J1072" s="4" t="n">
        <v>747.8</v>
      </c>
      <c r="K1072" s="3" t="inlineStr">
        <is>
          <t>도로 연접해있는 토지로 주차장으로 이용하고있습니다.</t>
        </is>
      </c>
      <c r="L1072" s="6">
        <f>HYPERLINK("https://fin.land.naver.com/articles/2646942955", "매물Link")</f>
        <v/>
      </c>
      <c r="M1072" s="6">
        <f>HYPERLINK("https://map.naver.com/p/search/세종특별자치시 나성동 829", "지도Link")</f>
        <v/>
      </c>
      <c r="N1072" s="6">
        <f>HYPERLINK("http://www.eum.go.kr/web/ar/lu/luLandDet.jsp?pnu=3611010700108290000&amp;isNoScr=script&amp;mode=search", "토지이음")</f>
        <v/>
      </c>
      <c r="O1072" s="3" t="inlineStr">
        <is>
          <t>금돼지</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세종특별자치시 나성동 829</t>
        </is>
      </c>
      <c r="B1073" s="3" t="inlineStr">
        <is>
          <t>중심상업지역</t>
        </is>
      </c>
      <c r="C1073" s="3" t="inlineStr">
        <is>
          <t>대</t>
        </is>
      </c>
      <c r="D1073" s="3" t="inlineStr">
        <is>
          <t>답</t>
        </is>
      </c>
      <c r="E1073" s="3" t="inlineStr">
        <is>
          <t>매매</t>
        </is>
      </c>
      <c r="F1073" s="4" t="n">
        <v>130000</v>
      </c>
      <c r="G1073" s="4" t="n">
        <v>361</v>
      </c>
      <c r="H1073" s="4" t="n">
        <v>109</v>
      </c>
      <c r="I1073" s="5" t="n">
        <v>1192.7</v>
      </c>
      <c r="J1073" s="4" t="n">
        <v>747.8</v>
      </c>
      <c r="K1073" s="3" t="inlineStr">
        <is>
          <t>nan</t>
        </is>
      </c>
      <c r="L1073" s="6">
        <f>HYPERLINK("https://fin.land.naver.com/articles/2649368763", "매물Link")</f>
        <v/>
      </c>
      <c r="M1073" s="6">
        <f>HYPERLINK("https://map.naver.com/p/search/세종특별자치시 나성동 829", "지도Link")</f>
        <v/>
      </c>
      <c r="N1073" s="6">
        <f>HYPERLINK("http://www.eum.go.kr/web/ar/lu/luLandDet.jsp?pnu=3611010700108290000&amp;isNoScr=script&amp;mode=search", "토지이음")</f>
        <v/>
      </c>
      <c r="O1073" s="3" t="inlineStr">
        <is>
          <t>가람</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세종특별자치시 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HYPERLINK("https://map.naver.com/p/search/세종특별자치시 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세종특별자치시 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HYPERLINK("https://map.naver.com/p/search/세종특별자치시 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세종특별자치시 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HYPERLINK("https://map.naver.com/p/search/세종특별자치시 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세종특별자치시 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HYPERLINK("https://map.naver.com/p/search/세종특별자치시 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세종특별자치시 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HYPERLINK("https://map.naver.com/p/search/세종특별자치시 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세종특별자치시 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HYPERLINK("https://map.naver.com/p/search/세종특별자치시 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세종특별자치시 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HYPERLINK("https://map.naver.com/p/search/세종특별자치시 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세종특별자치시 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HYPERLINK("https://map.naver.com/p/search/세종특별자치시 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세종특별자치시 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HYPERLINK("https://map.naver.com/p/search/세종특별자치시 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세종특별자치시 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HYPERLINK("https://map.naver.com/p/search/세종특별자치시 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세종특별자치시 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HYPERLINK("https://map.naver.com/p/search/세종특별자치시 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세종특별자치시 나성동 829</t>
        </is>
      </c>
      <c r="B1085" s="3" t="inlineStr">
        <is>
          <t>중심상업지역</t>
        </is>
      </c>
      <c r="C1085" s="3" t="inlineStr">
        <is>
          <t>대</t>
        </is>
      </c>
      <c r="D1085" s="3" t="inlineStr">
        <is>
          <t>전</t>
        </is>
      </c>
      <c r="E1085" s="3" t="inlineStr">
        <is>
          <t>매매</t>
        </is>
      </c>
      <c r="F1085" s="4" t="n">
        <v>240000</v>
      </c>
      <c r="G1085" s="4" t="n">
        <v>7623</v>
      </c>
      <c r="H1085" s="4" t="n">
        <v>2306</v>
      </c>
      <c r="I1085" s="5" t="n">
        <v>104.1</v>
      </c>
      <c r="J1085" s="4" t="n">
        <v>747.8</v>
      </c>
      <c r="K1085" s="3" t="inlineStr">
        <is>
          <t>nan</t>
        </is>
      </c>
      <c r="L1085" s="6">
        <f>HYPERLINK("https://fin.land.naver.com/articles/2648117026", "매물Link")</f>
        <v/>
      </c>
      <c r="M1085" s="6">
        <f>HYPERLINK("https://map.naver.com/p/search/세종특별자치시 나성동 829", "지도Link")</f>
        <v/>
      </c>
      <c r="N1085" s="6">
        <f>HYPERLINK("http://www.eum.go.kr/web/ar/lu/luLandDet.jsp?pnu=3611010700108290000&amp;isNoScr=script&amp;mode=search", "토지이음")</f>
        <v/>
      </c>
      <c r="O1085" s="3" t="inlineStr">
        <is>
          <t>운산</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세종특별자치시 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HYPERLINK("https://map.naver.com/p/search/세종특별자치시 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세종특별자치시 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HYPERLINK("https://map.naver.com/p/search/세종특별자치시 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세종특별자치시 나성동 829</t>
        </is>
      </c>
      <c r="B1088" s="3" t="inlineStr">
        <is>
          <t>중심상업지역</t>
        </is>
      </c>
      <c r="C1088" s="3" t="inlineStr">
        <is>
          <t>대</t>
        </is>
      </c>
      <c r="D1088" s="3" t="inlineStr">
        <is>
          <t>전</t>
        </is>
      </c>
      <c r="E1088" s="3" t="inlineStr">
        <is>
          <t>매매</t>
        </is>
      </c>
      <c r="F1088" s="4" t="n">
        <v>7260</v>
      </c>
      <c r="G1088" s="4" t="n">
        <v>686</v>
      </c>
      <c r="H1088" s="4" t="n">
        <v>208</v>
      </c>
      <c r="I1088" s="5" t="n">
        <v>34.9</v>
      </c>
      <c r="J1088" s="4" t="n">
        <v>747.8</v>
      </c>
      <c r="K1088" s="3" t="inlineStr">
        <is>
          <t>투자용 평지 전으로 사용중</t>
        </is>
      </c>
      <c r="L1088" s="6">
        <f>HYPERLINK("https://fin.land.naver.com/articles/2646480692", "매물Link")</f>
        <v/>
      </c>
      <c r="M1088" s="6">
        <f>HYPERLINK("https://map.naver.com/p/search/세종특별자치시 나성동 829", "지도Link")</f>
        <v/>
      </c>
      <c r="N1088" s="6">
        <f>HYPERLINK("http://www.eum.go.kr/web/ar/lu/luLandDet.jsp?pnu=3611010700108290000&amp;isNoScr=script&amp;mode=search", "토지이음")</f>
        <v/>
      </c>
      <c r="O1088" s="3" t="inlineStr">
        <is>
          <t>열린호반  사무소</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세종특별자치시 나성동 829</t>
        </is>
      </c>
      <c r="B1089" s="3" t="inlineStr">
        <is>
          <t>중심상업지역</t>
        </is>
      </c>
      <c r="C1089" s="3" t="inlineStr">
        <is>
          <t>대</t>
        </is>
      </c>
      <c r="D1089" s="3" t="inlineStr">
        <is>
          <t>임야</t>
        </is>
      </c>
      <c r="E1089" s="3" t="inlineStr">
        <is>
          <t>매매</t>
        </is>
      </c>
      <c r="F1089" s="4" t="n">
        <v>6000000</v>
      </c>
      <c r="G1089" s="4" t="n">
        <v>109090</v>
      </c>
      <c r="H1089" s="4" t="n">
        <v>33000</v>
      </c>
      <c r="I1089" s="5" t="n">
        <v>181.8</v>
      </c>
      <c r="J1089" s="4" t="n">
        <v>747.8</v>
      </c>
      <c r="K1089" s="3" t="inlineStr">
        <is>
          <t>남청주IC와 가까우며 물류센터, 공장으로 추천, 계획관리지역</t>
        </is>
      </c>
      <c r="L1089" s="6">
        <f>HYPERLINK("https://fin.land.naver.com/articles/2649085194", "매물Link")</f>
        <v/>
      </c>
      <c r="M1089" s="6">
        <f>HYPERLINK("https://map.naver.com/p/search/세종특별자치시 나성동 829", "지도Link")</f>
        <v/>
      </c>
      <c r="N1089" s="6">
        <f>HYPERLINK("http://www.eum.go.kr/web/ar/lu/luLandDet.jsp?pnu=3611010700108290000&amp;isNoScr=script&amp;mode=search", "토지이음")</f>
        <v/>
      </c>
      <c r="O1089" s="3" t="inlineStr">
        <is>
          <t>(주)미르</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세종특별자치시 나성동 829</t>
        </is>
      </c>
      <c r="B1090" s="3" t="inlineStr">
        <is>
          <t>중심상업지역</t>
        </is>
      </c>
      <c r="C1090" s="3" t="inlineStr">
        <is>
          <t>대</t>
        </is>
      </c>
      <c r="D1090" s="3" t="inlineStr">
        <is>
          <t>전</t>
        </is>
      </c>
      <c r="E1090" s="3" t="inlineStr">
        <is>
          <t>매매</t>
        </is>
      </c>
      <c r="F1090" s="4" t="n">
        <v>83000</v>
      </c>
      <c r="G1090" s="4" t="n">
        <v>2256</v>
      </c>
      <c r="H1090" s="4" t="n">
        <v>682</v>
      </c>
      <c r="I1090" s="5" t="n">
        <v>121.7</v>
      </c>
      <c r="J1090" s="4" t="n">
        <v>747.8</v>
      </c>
      <c r="K1090" s="3" t="inlineStr">
        <is>
          <t>가좌삼거리 인접 토목공사완료 제조업인허가완료</t>
        </is>
      </c>
      <c r="L1090" s="6">
        <f>HYPERLINK("https://fin.land.naver.com/articles/2649038884", "매물Link")</f>
        <v/>
      </c>
      <c r="M1090" s="6">
        <f>HYPERLINK("https://map.naver.com/p/search/세종특별자치시 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세종특별자치시 나성동 829</t>
        </is>
      </c>
      <c r="B1091" s="3" t="inlineStr">
        <is>
          <t>중심상업지역</t>
        </is>
      </c>
      <c r="C1091" s="3" t="inlineStr">
        <is>
          <t>대</t>
        </is>
      </c>
      <c r="D1091" s="3" t="inlineStr">
        <is>
          <t>임야</t>
        </is>
      </c>
      <c r="E1091" s="3" t="inlineStr">
        <is>
          <t>매매</t>
        </is>
      </c>
      <c r="F1091" s="4" t="n">
        <v>6000000</v>
      </c>
      <c r="G1091" s="4" t="n">
        <v>109090</v>
      </c>
      <c r="H1091" s="4" t="n">
        <v>33000</v>
      </c>
      <c r="I1091" s="5" t="n">
        <v>181.8</v>
      </c>
      <c r="J1091" s="4" t="n">
        <v>747.8</v>
      </c>
      <c r="K1091" s="3" t="inlineStr">
        <is>
          <t>남청주ic 3분거리입지최상 대형물류창고 허가득 토목공사조건분할가능</t>
        </is>
      </c>
      <c r="L1091" s="6">
        <f>HYPERLINK("https://fin.land.naver.com/articles/2649015949", "매물Link")</f>
        <v/>
      </c>
      <c r="M1091" s="6">
        <f>HYPERLINK("https://map.naver.com/p/search/세종특별자치시 나성동 829", "지도Link")</f>
        <v/>
      </c>
      <c r="N1091" s="6">
        <f>HYPERLINK("http://www.eum.go.kr/web/ar/lu/luLandDet.jsp?pnu=3611010700108290000&amp;isNoScr=script&amp;mode=search", "토지이음")</f>
        <v/>
      </c>
      <c r="O1091" s="3" t="inlineStr">
        <is>
          <t>더원</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세종특별자치시 나성동 829</t>
        </is>
      </c>
      <c r="B1092" s="3" t="inlineStr">
        <is>
          <t>중심상업지역</t>
        </is>
      </c>
      <c r="C1092" s="3" t="inlineStr">
        <is>
          <t>대</t>
        </is>
      </c>
      <c r="D1092" s="3" t="inlineStr">
        <is>
          <t>대</t>
        </is>
      </c>
      <c r="E1092" s="3" t="inlineStr">
        <is>
          <t>매매</t>
        </is>
      </c>
      <c r="F1092" s="4" t="n">
        <v>26000</v>
      </c>
      <c r="G1092" s="4" t="n">
        <v>532</v>
      </c>
      <c r="H1092" s="4" t="n">
        <v>161</v>
      </c>
      <c r="I1092" s="5" t="n">
        <v>161.5</v>
      </c>
      <c r="J1092" s="4" t="n">
        <v>747.8</v>
      </c>
      <c r="K1092" s="3" t="inlineStr">
        <is>
          <t>대전 청주간 대로변에 위치,세종 인접지역,제2근생,계획관리,광고효과최상</t>
        </is>
      </c>
      <c r="L1092" s="6">
        <f>HYPERLINK("https://fin.land.naver.com/articles/2648869992", "매물Link")</f>
        <v/>
      </c>
      <c r="M1092" s="6">
        <f>HYPERLINK("https://map.naver.com/p/search/세종특별자치시 나성동 829", "지도Link")</f>
        <v/>
      </c>
      <c r="N1092" s="6">
        <f>HYPERLINK("http://www.eum.go.kr/web/ar/lu/luLandDet.jsp?pnu=3611010700108290000&amp;isNoScr=script&amp;mode=search", "토지이음")</f>
        <v/>
      </c>
      <c r="O1092" s="3" t="inlineStr">
        <is>
          <t>세종연동탑</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세종특별자치시 나성동 829</t>
        </is>
      </c>
      <c r="B1093" s="3" t="inlineStr">
        <is>
          <t>중심상업지역</t>
        </is>
      </c>
      <c r="C1093" s="3" t="inlineStr">
        <is>
          <t>대</t>
        </is>
      </c>
      <c r="D1093" s="3" t="inlineStr">
        <is>
          <t>답</t>
        </is>
      </c>
      <c r="E1093" s="3" t="inlineStr">
        <is>
          <t>매매</t>
        </is>
      </c>
      <c r="F1093" s="4" t="n">
        <v>39200</v>
      </c>
      <c r="G1093" s="4" t="n">
        <v>2357</v>
      </c>
      <c r="H1093" s="4" t="n">
        <v>713</v>
      </c>
      <c r="I1093" s="5" t="n">
        <v>55</v>
      </c>
      <c r="J1093" s="4" t="n">
        <v>747.8</v>
      </c>
      <c r="K1093" s="3" t="inlineStr">
        <is>
          <t>남이면 토지 매매</t>
        </is>
      </c>
      <c r="L1093" s="6">
        <f>HYPERLINK("https://fin.land.naver.com/articles/2648217450", "매물Link")</f>
        <v/>
      </c>
      <c r="M1093" s="6">
        <f>HYPERLINK("https://map.naver.com/p/search/세종특별자치시 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세종특별자치시 나성동 829</t>
        </is>
      </c>
      <c r="B1094" s="3" t="inlineStr">
        <is>
          <t>중심상업지역</t>
        </is>
      </c>
      <c r="C1094" s="3" t="inlineStr">
        <is>
          <t>대</t>
        </is>
      </c>
      <c r="D1094" s="3" t="inlineStr">
        <is>
          <t>답</t>
        </is>
      </c>
      <c r="E1094" s="3" t="inlineStr">
        <is>
          <t>매매</t>
        </is>
      </c>
      <c r="F1094" s="4" t="n">
        <v>48300</v>
      </c>
      <c r="G1094" s="4" t="n">
        <v>531</v>
      </c>
      <c r="H1094" s="4" t="n">
        <v>161</v>
      </c>
      <c r="I1094" s="5" t="n">
        <v>300</v>
      </c>
      <c r="J1094" s="4" t="n">
        <v>747.8</v>
      </c>
      <c r="K1094" s="3" t="inlineStr">
        <is>
          <t>석판리 소형 토지 매매</t>
        </is>
      </c>
      <c r="L1094" s="6">
        <f>HYPERLINK("https://fin.land.naver.com/articles/2648216416", "매물Link")</f>
        <v/>
      </c>
      <c r="M1094" s="6">
        <f>HYPERLINK("https://map.naver.com/p/search/세종특별자치시 나성동 829", "지도Link")</f>
        <v/>
      </c>
      <c r="N1094" s="6">
        <f>HYPERLINK("http://www.eum.go.kr/web/ar/lu/luLandDet.jsp?pnu=3611010700108290000&amp;isNoScr=script&amp;mode=search", "토지이음")</f>
        <v/>
      </c>
      <c r="O1094" s="3" t="inlineStr">
        <is>
          <t>사거리</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세종특별자치시 나성동 829</t>
        </is>
      </c>
      <c r="B1095" s="3" t="inlineStr">
        <is>
          <t>중심상업지역</t>
        </is>
      </c>
      <c r="C1095" s="3" t="inlineStr">
        <is>
          <t>대</t>
        </is>
      </c>
      <c r="D1095" s="3" t="inlineStr">
        <is>
          <t>전</t>
        </is>
      </c>
      <c r="E1095" s="3" t="inlineStr">
        <is>
          <t>매매</t>
        </is>
      </c>
      <c r="F1095" s="4" t="n">
        <v>20000</v>
      </c>
      <c r="G1095" s="4" t="n">
        <v>484</v>
      </c>
      <c r="H1095" s="4" t="n">
        <v>146</v>
      </c>
      <c r="I1095" s="5" t="n">
        <v>137</v>
      </c>
      <c r="J1095" s="4" t="n">
        <v>747.8</v>
      </c>
      <c r="K1095" s="3" t="inlineStr">
        <is>
          <t>Point 계획관리, 남청주IC 약 3분 이내, 접근성 좋음, 도로 접함</t>
        </is>
      </c>
      <c r="L1095" s="6">
        <f>HYPERLINK("https://fin.land.naver.com/articles/2648115138", "매물Link")</f>
        <v/>
      </c>
      <c r="M1095" s="6">
        <f>HYPERLINK("https://map.naver.com/p/search/세종특별자치시 나성동 829", "지도Link")</f>
        <v/>
      </c>
      <c r="N1095" s="6">
        <f>HYPERLINK("http://www.eum.go.kr/web/ar/lu/luLandDet.jsp?pnu=3611010700108290000&amp;isNoScr=script&amp;mode=search", "토지이음")</f>
        <v/>
      </c>
      <c r="O1095" s="3" t="inlineStr">
        <is>
          <t>도마호반</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세종특별자치시 나성동 829</t>
        </is>
      </c>
      <c r="B1096" s="3" t="inlineStr">
        <is>
          <t>중심상업지역</t>
        </is>
      </c>
      <c r="C1096" s="3" t="inlineStr">
        <is>
          <t>대</t>
        </is>
      </c>
      <c r="D1096" s="3" t="inlineStr">
        <is>
          <t>대</t>
        </is>
      </c>
      <c r="E1096" s="3" t="inlineStr">
        <is>
          <t>매매</t>
        </is>
      </c>
      <c r="F1096" s="4" t="n">
        <v>350000</v>
      </c>
      <c r="G1096" s="4" t="n">
        <v>3710</v>
      </c>
      <c r="H1096" s="4" t="n">
        <v>1122</v>
      </c>
      <c r="I1096" s="5" t="n">
        <v>311.9</v>
      </c>
      <c r="J1096" s="4" t="n">
        <v>747.8</v>
      </c>
      <c r="K1096" s="3" t="inlineStr">
        <is>
          <t>3차우회도로 인근 주차장 넓은 대형 음식점</t>
        </is>
      </c>
      <c r="L1096" s="6">
        <f>HYPERLINK("https://fin.land.naver.com/articles/2648082361", "매물Link")</f>
        <v/>
      </c>
      <c r="M1096" s="6">
        <f>HYPERLINK("https://map.naver.com/p/search/세종특별자치시 나성동 829", "지도Link")</f>
        <v/>
      </c>
      <c r="N1096" s="6">
        <f>HYPERLINK("http://www.eum.go.kr/web/ar/lu/luLandDet.jsp?pnu=3611010700108290000&amp;isNoScr=script&amp;mode=search", "토지이음")</f>
        <v/>
      </c>
      <c r="O1096" s="3" t="inlineStr">
        <is>
          <t>좋은터</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세종특별자치시 나성동 829</t>
        </is>
      </c>
      <c r="B1097" s="3" t="inlineStr">
        <is>
          <t>중심상업지역</t>
        </is>
      </c>
      <c r="C1097" s="3" t="inlineStr">
        <is>
          <t>대</t>
        </is>
      </c>
      <c r="D1097" s="3" t="inlineStr">
        <is>
          <t>답</t>
        </is>
      </c>
      <c r="E1097" s="3" t="inlineStr">
        <is>
          <t>매매</t>
        </is>
      </c>
      <c r="F1097" s="4" t="n">
        <v>168000</v>
      </c>
      <c r="G1097" s="4" t="n">
        <v>6188</v>
      </c>
      <c r="H1097" s="4" t="n">
        <v>1872</v>
      </c>
      <c r="I1097" s="5" t="n">
        <v>89.7</v>
      </c>
      <c r="J1097" s="4" t="n">
        <v>747.8</v>
      </c>
      <c r="K1097" s="3" t="inlineStr">
        <is>
          <t>남이면 척북리 소재.6미터도로확보.공장 창고 적합지</t>
        </is>
      </c>
      <c r="L1097" s="6">
        <f>HYPERLINK("https://fin.land.naver.com/articles/2646179764", "매물Link")</f>
        <v/>
      </c>
      <c r="M1097" s="6">
        <f>HYPERLINK("https://map.naver.com/p/search/세종특별자치시 나성동 829", "지도Link")</f>
        <v/>
      </c>
      <c r="N1097" s="6">
        <f>HYPERLINK("http://www.eum.go.kr/web/ar/lu/luLandDet.jsp?pnu=3611010700108290000&amp;isNoScr=script&amp;mode=search", "토지이음")</f>
        <v/>
      </c>
      <c r="O1097" s="3" t="inlineStr">
        <is>
          <t>사랑</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세종특별자치시 나성동 829</t>
        </is>
      </c>
      <c r="B1098" s="3" t="inlineStr">
        <is>
          <t>중심상업지역</t>
        </is>
      </c>
      <c r="C1098" s="3" t="inlineStr">
        <is>
          <t>대</t>
        </is>
      </c>
      <c r="D1098" s="3" t="inlineStr">
        <is>
          <t>전</t>
        </is>
      </c>
      <c r="E1098" s="3" t="inlineStr">
        <is>
          <t>매매</t>
        </is>
      </c>
      <c r="F1098" s="4" t="n">
        <v>42000</v>
      </c>
      <c r="G1098" s="4" t="n">
        <v>2807</v>
      </c>
      <c r="H1098" s="4" t="n">
        <v>849</v>
      </c>
      <c r="I1098" s="5" t="n">
        <v>49.5</v>
      </c>
      <c r="J1098" s="4" t="n">
        <v>747.8</v>
      </c>
      <c r="K1098" s="3" t="inlineStr">
        <is>
          <t>청주도심과 가까운곳에 위치해있어 투자가치 있음</t>
        </is>
      </c>
      <c r="L1098" s="6">
        <f>HYPERLINK("https://fin.land.naver.com/articles/2647109798", "매물Link")</f>
        <v/>
      </c>
      <c r="M1098" s="6">
        <f>HYPERLINK("https://map.naver.com/p/search/세종특별자치시 나성동 829", "지도Link")</f>
        <v/>
      </c>
      <c r="N1098" s="6">
        <f>HYPERLINK("http://www.eum.go.kr/web/ar/lu/luLandDet.jsp?pnu=3611010700108290000&amp;isNoScr=script&amp;mode=search", "토지이음")</f>
        <v/>
      </c>
      <c r="O1098" s="3" t="inlineStr">
        <is>
          <t>사직푸르지오자이</t>
        </is>
      </c>
      <c r="P1098" s="3" t="n">
        <v>1</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세종특별자치시 나성동 829</t>
        </is>
      </c>
      <c r="B1099" s="3" t="inlineStr">
        <is>
          <t>중심상업지역</t>
        </is>
      </c>
      <c r="C1099" s="3" t="inlineStr">
        <is>
          <t>대</t>
        </is>
      </c>
      <c r="D1099" s="3" t="inlineStr">
        <is>
          <t>답</t>
        </is>
      </c>
      <c r="E1099" s="3" t="inlineStr">
        <is>
          <t>매매</t>
        </is>
      </c>
      <c r="F1099" s="4" t="n">
        <v>82000</v>
      </c>
      <c r="G1099" s="4" t="n">
        <v>2707</v>
      </c>
      <c r="H1099" s="4" t="n">
        <v>819</v>
      </c>
      <c r="I1099" s="5" t="n">
        <v>100.1</v>
      </c>
      <c r="J1099" s="4" t="n">
        <v>747.8</v>
      </c>
      <c r="K1099" s="3" t="inlineStr">
        <is>
          <t>2차선도로접 청주 석곡JC3km 공장 창고추천</t>
        </is>
      </c>
      <c r="L1099" s="6">
        <f>HYPERLINK("https://fin.land.naver.com/articles/2647503362", "매물Link")</f>
        <v/>
      </c>
      <c r="M1099" s="6">
        <f>HYPERLINK("https://map.naver.com/p/search/세종특별자치시 나성동 829", "지도Link")</f>
        <v/>
      </c>
      <c r="N1099" s="6">
        <f>HYPERLINK("http://www.eum.go.kr/web/ar/lu/luLandDet.jsp?pnu=3611010700108290000&amp;isNoScr=script&amp;mode=search", "토지이음")</f>
        <v/>
      </c>
      <c r="O1099" s="3" t="inlineStr">
        <is>
          <t>청주푸르지오</t>
        </is>
      </c>
      <c r="P1099" s="3" t="n">
        <v>2</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세종특별자치시 나성동 829</t>
        </is>
      </c>
      <c r="B1100" s="3" t="inlineStr">
        <is>
          <t>중심상업지역</t>
        </is>
      </c>
      <c r="C1100" s="3" t="inlineStr">
        <is>
          <t>대</t>
        </is>
      </c>
      <c r="D1100" s="3" t="inlineStr">
        <is>
          <t>창고용지</t>
        </is>
      </c>
      <c r="E1100" s="3" t="inlineStr">
        <is>
          <t>매매</t>
        </is>
      </c>
      <c r="F1100" s="4" t="n">
        <v>146860</v>
      </c>
      <c r="G1100" s="4" t="n">
        <v>1524</v>
      </c>
      <c r="H1100" s="4" t="n">
        <v>461</v>
      </c>
      <c r="I1100" s="5" t="n">
        <v>318.6</v>
      </c>
      <c r="J1100" s="4" t="n">
        <v>747.8</v>
      </c>
      <c r="K1100" s="3" t="inlineStr">
        <is>
          <t>석판리 창고 용지 매매</t>
        </is>
      </c>
      <c r="L1100" s="6">
        <f>HYPERLINK("https://fin.land.naver.com/articles/2647335341", "매물Link")</f>
        <v/>
      </c>
      <c r="M1100" s="6">
        <f>HYPERLINK("https://map.naver.com/p/search/세종특별자치시 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세종특별자치시 나성동 829</t>
        </is>
      </c>
      <c r="B1101" s="3" t="inlineStr">
        <is>
          <t>중심상업지역</t>
        </is>
      </c>
      <c r="C1101" s="3" t="inlineStr">
        <is>
          <t>대</t>
        </is>
      </c>
      <c r="D1101" s="3" t="inlineStr">
        <is>
          <t>답</t>
        </is>
      </c>
      <c r="E1101" s="3" t="inlineStr">
        <is>
          <t>매매</t>
        </is>
      </c>
      <c r="F1101" s="4" t="n">
        <v>33500</v>
      </c>
      <c r="G1101" s="4" t="n">
        <v>3693</v>
      </c>
      <c r="H1101" s="4" t="n">
        <v>1117</v>
      </c>
      <c r="I1101" s="5" t="n">
        <v>30</v>
      </c>
      <c r="J1101" s="4" t="n">
        <v>747.8</v>
      </c>
      <c r="K1101" s="3" t="inlineStr">
        <is>
          <t>비룡리 토지 매매</t>
        </is>
      </c>
      <c r="L1101" s="6">
        <f>HYPERLINK("https://fin.land.naver.com/articles/2647320178", "매물Link")</f>
        <v/>
      </c>
      <c r="M1101" s="6">
        <f>HYPERLINK("https://map.naver.com/p/search/세종특별자치시 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세종특별자치시 나성동 829</t>
        </is>
      </c>
      <c r="B1102" s="3" t="inlineStr">
        <is>
          <t>중심상업지역</t>
        </is>
      </c>
      <c r="C1102" s="3" t="inlineStr">
        <is>
          <t>대</t>
        </is>
      </c>
      <c r="D1102" s="3" t="inlineStr">
        <is>
          <t>전</t>
        </is>
      </c>
      <c r="E1102" s="3" t="inlineStr">
        <is>
          <t>매매</t>
        </is>
      </c>
      <c r="F1102" s="4" t="n">
        <v>116300</v>
      </c>
      <c r="G1102" s="4" t="n">
        <v>5307</v>
      </c>
      <c r="H1102" s="4" t="n">
        <v>1605</v>
      </c>
      <c r="I1102" s="5" t="n">
        <v>72.5</v>
      </c>
      <c r="J1102" s="4" t="n">
        <v>747.8</v>
      </c>
      <c r="K1102" s="3" t="inlineStr">
        <is>
          <t>비룡리 토지 매매</t>
        </is>
      </c>
      <c r="L1102" s="6">
        <f>HYPERLINK("https://fin.land.naver.com/articles/2647257274", "매물Link")</f>
        <v/>
      </c>
      <c r="M1102" s="6">
        <f>HYPERLINK("https://map.naver.com/p/search/세종특별자치시 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세종특별자치시 나성동 829</t>
        </is>
      </c>
      <c r="B1103" s="3" t="inlineStr">
        <is>
          <t>중심상업지역</t>
        </is>
      </c>
      <c r="C1103" s="3" t="inlineStr">
        <is>
          <t>대</t>
        </is>
      </c>
      <c r="D1103" s="3" t="inlineStr">
        <is>
          <t>답</t>
        </is>
      </c>
      <c r="E1103" s="3" t="inlineStr">
        <is>
          <t>매매</t>
        </is>
      </c>
      <c r="F1103" s="4" t="n">
        <v>97000</v>
      </c>
      <c r="G1103" s="4" t="n">
        <v>1652</v>
      </c>
      <c r="H1103" s="4" t="n">
        <v>500</v>
      </c>
      <c r="I1103" s="5" t="n">
        <v>194</v>
      </c>
      <c r="J1103" s="4" t="n">
        <v>747.8</v>
      </c>
      <c r="K1103" s="3" t="inlineStr">
        <is>
          <t>구암리 토지 매매</t>
        </is>
      </c>
      <c r="L1103" s="6">
        <f>HYPERLINK("https://fin.land.naver.com/articles/2647139655", "매물Link")</f>
        <v/>
      </c>
      <c r="M1103" s="6">
        <f>HYPERLINK("https://map.naver.com/p/search/세종특별자치시 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세종특별자치시 나성동 829</t>
        </is>
      </c>
      <c r="B1104" s="3" t="inlineStr">
        <is>
          <t>중심상업지역</t>
        </is>
      </c>
      <c r="C1104" s="3" t="inlineStr">
        <is>
          <t>대</t>
        </is>
      </c>
      <c r="D1104" s="3" t="inlineStr">
        <is>
          <t>전</t>
        </is>
      </c>
      <c r="E1104" s="3" t="inlineStr">
        <is>
          <t>매매</t>
        </is>
      </c>
      <c r="F1104" s="4" t="n">
        <v>21000</v>
      </c>
      <c r="G1104" s="4" t="n">
        <v>774</v>
      </c>
      <c r="H1104" s="4" t="n">
        <v>234</v>
      </c>
      <c r="I1104" s="5" t="n">
        <v>89.7</v>
      </c>
      <c r="J1104" s="4" t="n">
        <v>747.8</v>
      </c>
      <c r="K1104" s="3" t="inlineStr">
        <is>
          <t>석판리 토지 매매</t>
        </is>
      </c>
      <c r="L1104" s="6">
        <f>HYPERLINK("https://fin.land.naver.com/articles/2647139208", "매물Link")</f>
        <v/>
      </c>
      <c r="M1104" s="6">
        <f>HYPERLINK("https://map.naver.com/p/search/세종특별자치시 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세종특별자치시 나성동 829</t>
        </is>
      </c>
      <c r="B1105" s="3" t="inlineStr">
        <is>
          <t>중심상업지역</t>
        </is>
      </c>
      <c r="C1105" s="3" t="inlineStr">
        <is>
          <t>대</t>
        </is>
      </c>
      <c r="D1105" s="3" t="inlineStr">
        <is>
          <t>전</t>
        </is>
      </c>
      <c r="E1105" s="3" t="inlineStr">
        <is>
          <t>매매</t>
        </is>
      </c>
      <c r="F1105" s="4" t="n">
        <v>32000</v>
      </c>
      <c r="G1105" s="4" t="n">
        <v>806</v>
      </c>
      <c r="H1105" s="4" t="n">
        <v>244</v>
      </c>
      <c r="I1105" s="5" t="n">
        <v>131.1</v>
      </c>
      <c r="J1105" s="4" t="n">
        <v>747.8</v>
      </c>
      <c r="K1105" s="3" t="inlineStr">
        <is>
          <t>석판리 토지 매매</t>
        </is>
      </c>
      <c r="L1105" s="6">
        <f>HYPERLINK("https://fin.land.naver.com/articles/2647135792", "매물Link")</f>
        <v/>
      </c>
      <c r="M1105" s="6">
        <f>HYPERLINK("https://map.naver.com/p/search/세종특별자치시 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세종특별자치시 나성동 829</t>
        </is>
      </c>
      <c r="B1106" s="3" t="inlineStr">
        <is>
          <t>중심상업지역</t>
        </is>
      </c>
      <c r="C1106" s="3" t="inlineStr">
        <is>
          <t>대</t>
        </is>
      </c>
      <c r="D1106" s="3" t="inlineStr">
        <is>
          <t>답</t>
        </is>
      </c>
      <c r="E1106" s="3" t="inlineStr">
        <is>
          <t>매매</t>
        </is>
      </c>
      <c r="F1106" s="4" t="n">
        <v>450000</v>
      </c>
      <c r="G1106" s="4" t="n">
        <v>3768</v>
      </c>
      <c r="H1106" s="4" t="n">
        <v>1140</v>
      </c>
      <c r="I1106" s="5" t="n">
        <v>394.7</v>
      </c>
      <c r="J1106" s="4" t="n">
        <v>747.8</v>
      </c>
      <c r="K1106" s="3" t="inlineStr">
        <is>
          <t>4차선도로접</t>
        </is>
      </c>
      <c r="L1106" s="6">
        <f>HYPERLINK("https://fin.land.naver.com/articles/2646010484", "매물Link")</f>
        <v/>
      </c>
      <c r="M1106" s="6">
        <f>HYPERLINK("https://map.naver.com/p/search/세종특별자치시 나성동 829", "지도Link")</f>
        <v/>
      </c>
      <c r="N1106" s="6">
        <f>HYPERLINK("http://www.eum.go.kr/web/ar/lu/luLandDet.jsp?pnu=3611010700108290000&amp;isNoScr=script&amp;mode=search", "토지이음")</f>
        <v/>
      </c>
      <c r="O1106" s="3" t="inlineStr">
        <is>
          <t>케이투(k2)</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세종특별자치시 나성동 829</t>
        </is>
      </c>
      <c r="B1107" s="3" t="inlineStr">
        <is>
          <t>중심상업지역</t>
        </is>
      </c>
      <c r="C1107" s="3" t="inlineStr">
        <is>
          <t>대</t>
        </is>
      </c>
      <c r="D1107" s="3" t="inlineStr">
        <is>
          <t>답</t>
        </is>
      </c>
      <c r="E1107" s="3" t="inlineStr">
        <is>
          <t>매매</t>
        </is>
      </c>
      <c r="F1107" s="4" t="n">
        <v>300000</v>
      </c>
      <c r="G1107" s="4" t="n">
        <v>3391</v>
      </c>
      <c r="H1107" s="4" t="n">
        <v>1026</v>
      </c>
      <c r="I1107" s="5" t="n">
        <v>292.4</v>
      </c>
      <c r="J1107" s="4" t="n">
        <v>747.8</v>
      </c>
      <c r="K1107" s="3" t="inlineStr">
        <is>
          <t>nan</t>
        </is>
      </c>
      <c r="L1107" s="6">
        <f>HYPERLINK("https://fin.land.naver.com/articles/2644402189", "매물Link")</f>
        <v/>
      </c>
      <c r="M1107" s="6">
        <f>HYPERLINK("https://map.naver.com/p/search/세종특별자치시 나성동 829", "지도Link")</f>
        <v/>
      </c>
      <c r="N1107" s="6">
        <f>HYPERLINK("http://www.eum.go.kr/web/ar/lu/luLandDet.jsp?pnu=3611010700108290000&amp;isNoScr=script&amp;mode=search", "토지이음")</f>
        <v/>
      </c>
      <c r="O1107" s="3" t="inlineStr">
        <is>
          <t>대길</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세종특별자치시 나성동 829</t>
        </is>
      </c>
      <c r="B1108" s="3" t="inlineStr">
        <is>
          <t>중심상업지역</t>
        </is>
      </c>
      <c r="C1108" s="3" t="inlineStr">
        <is>
          <t>대</t>
        </is>
      </c>
      <c r="D1108" s="3" t="inlineStr">
        <is>
          <t>임야</t>
        </is>
      </c>
      <c r="E1108" s="3" t="inlineStr">
        <is>
          <t>매매</t>
        </is>
      </c>
      <c r="F1108" s="4" t="n">
        <v>72000</v>
      </c>
      <c r="G1108" s="4" t="n">
        <v>4132</v>
      </c>
      <c r="H1108" s="4" t="n">
        <v>1250</v>
      </c>
      <c r="I1108" s="5" t="n">
        <v>57.6</v>
      </c>
      <c r="J1108" s="4" t="n">
        <v>747.8</v>
      </c>
      <c r="K1108" s="3" t="inlineStr">
        <is>
          <t>성화동 투자용으로 최적 저렴한 가격에 매매 지가 상승및 투자가치 좋은곳</t>
        </is>
      </c>
      <c r="L1108" s="6">
        <f>HYPERLINK("https://fin.land.naver.com/articles/2648875470", "매물Link")</f>
        <v/>
      </c>
      <c r="M1108" s="6">
        <f>HYPERLINK("https://map.naver.com/p/search/세종특별자치시 나성동 829", "지도Link")</f>
        <v/>
      </c>
      <c r="N1108" s="6">
        <f>HYPERLINK("http://www.eum.go.kr/web/ar/lu/luLandDet.jsp?pnu=3611010700108290000&amp;isNoScr=script&amp;mode=search", "토지이음")</f>
        <v/>
      </c>
      <c r="O1108" s="3" t="inlineStr">
        <is>
          <t>옥산리버자이</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세종특별자치시 나성동 829</t>
        </is>
      </c>
      <c r="B1109" s="3" t="inlineStr">
        <is>
          <t>중심상업지역</t>
        </is>
      </c>
      <c r="C1109" s="3" t="inlineStr">
        <is>
          <t>대</t>
        </is>
      </c>
      <c r="D1109" s="3" t="inlineStr">
        <is>
          <t>대</t>
        </is>
      </c>
      <c r="E1109" s="3" t="inlineStr">
        <is>
          <t>매매</t>
        </is>
      </c>
      <c r="F1109" s="4" t="n">
        <v>55000</v>
      </c>
      <c r="G1109" s="4" t="n">
        <v>694</v>
      </c>
      <c r="H1109" s="4" t="n">
        <v>210</v>
      </c>
      <c r="I1109" s="5" t="n">
        <v>261.9</v>
      </c>
      <c r="J1109" s="4" t="n">
        <v>747.8</v>
      </c>
      <c r="K1109" s="3" t="inlineStr">
        <is>
          <t>nan</t>
        </is>
      </c>
      <c r="L1109" s="6">
        <f>HYPERLINK("https://fin.land.naver.com/articles/2645319693", "매물Link")</f>
        <v/>
      </c>
      <c r="M1109" s="6">
        <f>HYPERLINK("https://map.naver.com/p/search/세종특별자치시 나성동 829", "지도Link")</f>
        <v/>
      </c>
      <c r="N1109" s="6">
        <f>HYPERLINK("http://www.eum.go.kr/web/ar/lu/luLandDet.jsp?pnu=3611010700108290000&amp;isNoScr=script&amp;mode=search", "토지이음")</f>
        <v/>
      </c>
      <c r="O1109" s="3" t="inlineStr">
        <is>
          <t>케이투(k2)</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세종특별자치시 나성동 829</t>
        </is>
      </c>
      <c r="B1110" s="3" t="inlineStr">
        <is>
          <t>중심상업지역</t>
        </is>
      </c>
      <c r="C1110" s="3" t="inlineStr">
        <is>
          <t>대</t>
        </is>
      </c>
      <c r="D1110" s="3" t="inlineStr">
        <is>
          <t>답</t>
        </is>
      </c>
      <c r="E1110" s="3" t="inlineStr">
        <is>
          <t>매매</t>
        </is>
      </c>
      <c r="F1110" s="4" t="n">
        <v>220000</v>
      </c>
      <c r="G1110" s="4" t="n">
        <v>7857</v>
      </c>
      <c r="H1110" s="4" t="n">
        <v>2377</v>
      </c>
      <c r="I1110" s="5" t="n">
        <v>92.59999999999999</v>
      </c>
      <c r="J1110" s="4" t="n">
        <v>747.8</v>
      </c>
      <c r="K1110" s="3" t="inlineStr">
        <is>
          <t>nan</t>
        </is>
      </c>
      <c r="L1110" s="6">
        <f>HYPERLINK("https://fin.land.naver.com/articles/2645426852", "매물Link")</f>
        <v/>
      </c>
      <c r="M1110" s="6">
        <f>HYPERLINK("https://map.naver.com/p/search/세종특별자치시 나성동 829", "지도Link")</f>
        <v/>
      </c>
      <c r="N1110" s="6">
        <f>HYPERLINK("http://www.eum.go.kr/web/ar/lu/luLandDet.jsp?pnu=3611010700108290000&amp;isNoScr=script&amp;mode=search", "토지이음")</f>
        <v/>
      </c>
      <c r="O1110" s="3" t="inlineStr">
        <is>
          <t>문화</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세종특별자치시 나성동 829</t>
        </is>
      </c>
      <c r="B1111" s="3" t="inlineStr">
        <is>
          <t>중심상업지역</t>
        </is>
      </c>
      <c r="C1111" s="3" t="inlineStr">
        <is>
          <t>대</t>
        </is>
      </c>
      <c r="D1111" s="3" t="inlineStr">
        <is>
          <t>전</t>
        </is>
      </c>
      <c r="E1111" s="3" t="inlineStr">
        <is>
          <t>매매</t>
        </is>
      </c>
      <c r="F1111" s="4" t="n">
        <v>220000</v>
      </c>
      <c r="G1111" s="4" t="n">
        <v>1063</v>
      </c>
      <c r="H1111" s="4" t="n">
        <v>322</v>
      </c>
      <c r="I1111" s="5" t="n">
        <v>683.2</v>
      </c>
      <c r="J1111" s="4" t="n">
        <v>747.8</v>
      </c>
      <c r="K1111" s="3" t="inlineStr">
        <is>
          <t>대단지아파트옆 도로접근성 우수하여 프랜차이즈, 사무실, 애견카페 등 추천</t>
        </is>
      </c>
      <c r="L1111" s="6">
        <f>HYPERLINK("https://fin.land.naver.com/articles/2644147020", "매물Link")</f>
        <v/>
      </c>
      <c r="M1111" s="6">
        <f>HYPERLINK("https://map.naver.com/p/search/세종특별자치시 나성동 829", "지도Link")</f>
        <v/>
      </c>
      <c r="N1111" s="6">
        <f>HYPERLINK("http://www.eum.go.kr/web/ar/lu/luLandDet.jsp?pnu=3611010700108290000&amp;isNoScr=script&amp;mode=search", "토지이음")</f>
        <v/>
      </c>
      <c r="O1111" s="3" t="inlineStr">
        <is>
          <t>개신푸르지오</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세종특별자치시 나성동 829</t>
        </is>
      </c>
      <c r="B1112" s="3" t="inlineStr">
        <is>
          <t>중심상업지역</t>
        </is>
      </c>
      <c r="C1112" s="3" t="inlineStr">
        <is>
          <t>대</t>
        </is>
      </c>
      <c r="D1112" s="3" t="inlineStr">
        <is>
          <t>대</t>
        </is>
      </c>
      <c r="E1112" s="3" t="inlineStr">
        <is>
          <t>매매</t>
        </is>
      </c>
      <c r="F1112" s="4" t="n">
        <v>650000</v>
      </c>
      <c r="G1112" s="4" t="n">
        <v>4727</v>
      </c>
      <c r="H1112" s="4" t="n">
        <v>1430</v>
      </c>
      <c r="I1112" s="5" t="n">
        <v>454.5</v>
      </c>
      <c r="J1112" s="4" t="n">
        <v>747.8</v>
      </c>
      <c r="K1112" s="3" t="inlineStr">
        <is>
          <t>2순환로 대로변 접근성 좋은 병원 자동차매장 입지</t>
        </is>
      </c>
      <c r="L1112" s="6">
        <f>HYPERLINK("https://fin.land.naver.com/articles/2648847029", "매물Link")</f>
        <v/>
      </c>
      <c r="M1112" s="6">
        <f>HYPERLINK("https://map.naver.com/p/search/세종특별자치시 나성동 829", "지도Link")</f>
        <v/>
      </c>
      <c r="N1112" s="6">
        <f>HYPERLINK("http://www.eum.go.kr/web/ar/lu/luLandDet.jsp?pnu=3611010700108290000&amp;isNoScr=script&amp;mode=search", "토지이음")</f>
        <v/>
      </c>
      <c r="O1112" s="3" t="inlineStr">
        <is>
          <t>좋은터</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세종특별자치시 나성동 829</t>
        </is>
      </c>
      <c r="B1113" s="3" t="inlineStr">
        <is>
          <t>중심상업지역</t>
        </is>
      </c>
      <c r="C1113" s="3" t="inlineStr">
        <is>
          <t>대</t>
        </is>
      </c>
      <c r="D1113" s="3" t="inlineStr">
        <is>
          <t>전</t>
        </is>
      </c>
      <c r="E1113" s="3" t="inlineStr">
        <is>
          <t>매매</t>
        </is>
      </c>
      <c r="F1113" s="4" t="n">
        <v>180000</v>
      </c>
      <c r="G1113" s="4" t="n">
        <v>1350</v>
      </c>
      <c r="H1113" s="4" t="n">
        <v>408</v>
      </c>
      <c r="I1113" s="5" t="n">
        <v>441.2</v>
      </c>
      <c r="J1113" s="4" t="n">
        <v>747.8</v>
      </c>
      <c r="K1113" s="3" t="inlineStr">
        <is>
          <t>교통량 많은 2차우회도로 4차선변</t>
        </is>
      </c>
      <c r="L1113" s="6">
        <f>HYPERLINK("https://fin.land.naver.com/articles/2648846105", "매물Link")</f>
        <v/>
      </c>
      <c r="M1113" s="6">
        <f>HYPERLINK("https://map.naver.com/p/search/세종특별자치시 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세종특별자치시 나성동 829</t>
        </is>
      </c>
      <c r="B1114" s="3" t="inlineStr">
        <is>
          <t>중심상업지역</t>
        </is>
      </c>
      <c r="C1114" s="3" t="inlineStr">
        <is>
          <t>대</t>
        </is>
      </c>
      <c r="D1114" s="3" t="inlineStr">
        <is>
          <t>대</t>
        </is>
      </c>
      <c r="E1114" s="3" t="inlineStr">
        <is>
          <t>매매</t>
        </is>
      </c>
      <c r="F1114" s="4" t="n">
        <v>102000</v>
      </c>
      <c r="G1114" s="4" t="n">
        <v>513</v>
      </c>
      <c r="H1114" s="4" t="n">
        <v>155</v>
      </c>
      <c r="I1114" s="5" t="n">
        <v>658.1</v>
      </c>
      <c r="J1114" s="4" t="n">
        <v>747.8</v>
      </c>
      <c r="K1114" s="3" t="inlineStr">
        <is>
          <t>취락지역 4층건물 노인보호시설 강추</t>
        </is>
      </c>
      <c r="L1114" s="6">
        <f>HYPERLINK("https://fin.land.naver.com/articles/2646664333", "매물Link")</f>
        <v/>
      </c>
      <c r="M1114" s="6">
        <f>HYPERLINK("https://map.naver.com/p/search/세종특별자치시 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세종특별자치시 나성동 829</t>
        </is>
      </c>
      <c r="B1115" s="3" t="inlineStr">
        <is>
          <t>중심상업지역</t>
        </is>
      </c>
      <c r="C1115" s="3" t="inlineStr">
        <is>
          <t>대</t>
        </is>
      </c>
      <c r="D1115" s="3" t="inlineStr">
        <is>
          <t>대</t>
        </is>
      </c>
      <c r="E1115" s="3" t="inlineStr">
        <is>
          <t>매매</t>
        </is>
      </c>
      <c r="F1115" s="4" t="n">
        <v>650000</v>
      </c>
      <c r="G1115" s="4" t="n">
        <v>4727</v>
      </c>
      <c r="H1115" s="4" t="n">
        <v>1430</v>
      </c>
      <c r="I1115" s="5" t="n">
        <v>454.5</v>
      </c>
      <c r="J1115" s="4" t="n">
        <v>747.8</v>
      </c>
      <c r="K1115" s="3" t="inlineStr">
        <is>
          <t>nan</t>
        </is>
      </c>
      <c r="L1115" s="6">
        <f>HYPERLINK("https://fin.land.naver.com/articles/2649553728", "매물Link")</f>
        <v/>
      </c>
      <c r="M1115" s="6">
        <f>HYPERLINK("https://map.naver.com/p/search/세종특별자치시 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세종특별자치시 나성동 829</t>
        </is>
      </c>
      <c r="B1116" s="3" t="inlineStr">
        <is>
          <t>중심상업지역</t>
        </is>
      </c>
      <c r="C1116" s="3" t="inlineStr">
        <is>
          <t>대</t>
        </is>
      </c>
      <c r="D1116" s="3" t="inlineStr">
        <is>
          <t>전</t>
        </is>
      </c>
      <c r="E1116" s="3" t="inlineStr">
        <is>
          <t>매매</t>
        </is>
      </c>
      <c r="F1116" s="4" t="n">
        <v>180000</v>
      </c>
      <c r="G1116" s="4" t="n">
        <v>1480</v>
      </c>
      <c r="H1116" s="4" t="n">
        <v>448</v>
      </c>
      <c r="I1116" s="5" t="n">
        <v>401.8</v>
      </c>
      <c r="J1116" s="4" t="n">
        <v>747.8</v>
      </c>
      <c r="K1116" s="3" t="inlineStr">
        <is>
          <t>nan</t>
        </is>
      </c>
      <c r="L1116" s="6">
        <f>HYPERLINK("https://fin.land.naver.com/articles/2647468918", "매물Link")</f>
        <v/>
      </c>
      <c r="M1116" s="6">
        <f>HYPERLINK("https://map.naver.com/p/search/세종특별자치시 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세종특별자치시 나성동 829</t>
        </is>
      </c>
      <c r="B1117" s="3" t="inlineStr">
        <is>
          <t>중심상업지역</t>
        </is>
      </c>
      <c r="C1117" s="3" t="inlineStr">
        <is>
          <t>대</t>
        </is>
      </c>
      <c r="D1117" s="3" t="inlineStr">
        <is>
          <t>대</t>
        </is>
      </c>
      <c r="E1117" s="3" t="inlineStr">
        <is>
          <t>매매</t>
        </is>
      </c>
      <c r="F1117" s="4" t="n">
        <v>600000</v>
      </c>
      <c r="G1117" s="4" t="n">
        <v>3332</v>
      </c>
      <c r="H1117" s="4" t="n">
        <v>1008</v>
      </c>
      <c r="I1117" s="5" t="n">
        <v>595.2</v>
      </c>
      <c r="J1117" s="4" t="n">
        <v>747.8</v>
      </c>
      <c r="K1117" s="3" t="inlineStr">
        <is>
          <t>토지면적은 총3필지이며 상가와토지 일괄매매임</t>
        </is>
      </c>
      <c r="L1117" s="6">
        <f>HYPERLINK("https://fin.land.naver.com/articles/2645839293", "매물Link")</f>
        <v/>
      </c>
      <c r="M1117" s="6">
        <f>HYPERLINK("https://map.naver.com/p/search/세종특별자치시 나성동 829", "지도Link")</f>
        <v/>
      </c>
      <c r="N1117" s="6">
        <f>HYPERLINK("http://www.eum.go.kr/web/ar/lu/luLandDet.jsp?pnu=3611010700108290000&amp;isNoScr=script&amp;mode=search", "토지이음")</f>
        <v/>
      </c>
      <c r="O1117" s="3" t="inlineStr">
        <is>
          <t>테크노지웰탑</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세종특별자치시 나성동 829</t>
        </is>
      </c>
      <c r="B1118" s="3" t="inlineStr">
        <is>
          <t>중심상업지역</t>
        </is>
      </c>
      <c r="C1118" s="3" t="inlineStr">
        <is>
          <t>대</t>
        </is>
      </c>
      <c r="D1118" s="3" t="inlineStr">
        <is>
          <t>대</t>
        </is>
      </c>
      <c r="E1118" s="3" t="inlineStr">
        <is>
          <t>매매</t>
        </is>
      </c>
      <c r="F1118" s="4" t="n">
        <v>700000</v>
      </c>
      <c r="G1118" s="4" t="n">
        <v>5063</v>
      </c>
      <c r="H1118" s="4" t="n">
        <v>1532</v>
      </c>
      <c r="I1118" s="5" t="n">
        <v>456.9</v>
      </c>
      <c r="J1118" s="4" t="n">
        <v>747.8</v>
      </c>
      <c r="K1118" s="3" t="inlineStr">
        <is>
          <t>창고 임대중이며 전을 포함한 평수입니다</t>
        </is>
      </c>
      <c r="L1118" s="6">
        <f>HYPERLINK("https://fin.land.naver.com/articles/2646736063", "매물Link")</f>
        <v/>
      </c>
      <c r="M1118" s="6">
        <f>HYPERLINK("https://map.naver.com/p/search/세종특별자치시 나성동 829", "지도Link")</f>
        <v/>
      </c>
      <c r="N1118" s="6">
        <f>HYPERLINK("http://www.eum.go.kr/web/ar/lu/luLandDet.jsp?pnu=3611010700108290000&amp;isNoScr=script&amp;mode=search", "토지이음")</f>
        <v/>
      </c>
      <c r="O1118" s="3" t="inlineStr">
        <is>
          <t>금룡</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세종특별자치시 나성동 829</t>
        </is>
      </c>
      <c r="B1119" s="3" t="inlineStr">
        <is>
          <t>중심상업지역</t>
        </is>
      </c>
      <c r="C1119" s="3" t="inlineStr">
        <is>
          <t>대</t>
        </is>
      </c>
      <c r="D1119" s="3" t="inlineStr">
        <is>
          <t>전</t>
        </is>
      </c>
      <c r="E1119" s="3" t="inlineStr">
        <is>
          <t>매매</t>
        </is>
      </c>
      <c r="F1119" s="4" t="n">
        <v>207600</v>
      </c>
      <c r="G1119" s="4" t="n">
        <v>1598</v>
      </c>
      <c r="H1119" s="4" t="n">
        <v>483</v>
      </c>
      <c r="I1119" s="5" t="n">
        <v>429.8</v>
      </c>
      <c r="J1119" s="4" t="n">
        <v>747.8</v>
      </c>
      <c r="K1119" s="3" t="inlineStr">
        <is>
          <t>장성동 2순환로 접함  인접지역 장성동 아파트단지 조성 투자및 다용도사용</t>
        </is>
      </c>
      <c r="L1119" s="6">
        <f>HYPERLINK("https://fin.land.naver.com/articles/2648351525", "매물Link")</f>
        <v/>
      </c>
      <c r="M1119" s="6">
        <f>HYPERLINK("https://map.naver.com/p/search/세종특별자치시 나성동 829", "지도Link")</f>
        <v/>
      </c>
      <c r="N1119" s="6">
        <f>HYPERLINK("http://www.eum.go.kr/web/ar/lu/luLandDet.jsp?pnu=3611010700108290000&amp;isNoScr=script&amp;mode=search", "토지이음")</f>
        <v/>
      </c>
      <c r="O1119" s="3" t="inlineStr">
        <is>
          <t>청와대합동</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세종특별자치시 나성동 829</t>
        </is>
      </c>
      <c r="B1120" s="3" t="inlineStr">
        <is>
          <t>중심상업지역</t>
        </is>
      </c>
      <c r="C1120" s="3" t="inlineStr">
        <is>
          <t>대</t>
        </is>
      </c>
      <c r="D1120" s="3" t="inlineStr">
        <is>
          <t>답</t>
        </is>
      </c>
      <c r="E1120" s="3" t="inlineStr">
        <is>
          <t>매매</t>
        </is>
      </c>
      <c r="F1120" s="4" t="n">
        <v>262700</v>
      </c>
      <c r="G1120" s="4" t="n">
        <v>2629</v>
      </c>
      <c r="H1120" s="4" t="n">
        <v>795</v>
      </c>
      <c r="I1120" s="5" t="n">
        <v>330.4</v>
      </c>
      <c r="J1120" s="4" t="n">
        <v>747.8</v>
      </c>
      <c r="K1120" s="3" t="inlineStr">
        <is>
          <t>분필협의</t>
        </is>
      </c>
      <c r="L1120" s="6">
        <f>HYPERLINK("https://fin.land.naver.com/articles/2646949987", "매물Link")</f>
        <v/>
      </c>
      <c r="M1120" s="6">
        <f>HYPERLINK("https://map.naver.com/p/search/세종특별자치시 나성동 829", "지도Link")</f>
        <v/>
      </c>
      <c r="N1120" s="6">
        <f>HYPERLINK("http://www.eum.go.kr/web/ar/lu/luLandDet.jsp?pnu=3611010700108290000&amp;isNoScr=script&amp;mode=search", "토지이음")</f>
        <v/>
      </c>
      <c r="O1120" s="3" t="inlineStr">
        <is>
          <t>한화</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세종특별자치시 나성동 829</t>
        </is>
      </c>
      <c r="B1121" s="3" t="inlineStr">
        <is>
          <t>중심상업지역</t>
        </is>
      </c>
      <c r="C1121" s="3" t="inlineStr">
        <is>
          <t>대</t>
        </is>
      </c>
      <c r="D1121" s="3" t="inlineStr">
        <is>
          <t>임야</t>
        </is>
      </c>
      <c r="E1121" s="3" t="inlineStr">
        <is>
          <t>매매</t>
        </is>
      </c>
      <c r="F1121" s="4" t="n">
        <v>68000</v>
      </c>
      <c r="G1121" s="4" t="n">
        <v>1304</v>
      </c>
      <c r="H1121" s="4" t="n">
        <v>394</v>
      </c>
      <c r="I1121" s="5" t="n">
        <v>172.6</v>
      </c>
      <c r="J1121" s="4" t="n">
        <v>747.8</v>
      </c>
      <c r="K1121" s="3" t="inlineStr">
        <is>
          <t>장성동 토지 매매</t>
        </is>
      </c>
      <c r="L1121" s="6">
        <f>HYPERLINK("https://fin.land.naver.com/articles/2644355328", "매물Link")</f>
        <v/>
      </c>
      <c r="M1121" s="6">
        <f>HYPERLINK("https://map.naver.com/p/search/세종특별자치시 나성동 829", "지도Link")</f>
        <v/>
      </c>
      <c r="N1121" s="6">
        <f>HYPERLINK("http://www.eum.go.kr/web/ar/lu/luLandDet.jsp?pnu=3611010700108290000&amp;isNoScr=script&amp;mode=search", "토지이음")</f>
        <v/>
      </c>
      <c r="O1121" s="3" t="inlineStr">
        <is>
          <t>대한</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세종특별자치시 나성동 829</t>
        </is>
      </c>
      <c r="B1122" s="3" t="inlineStr">
        <is>
          <t>중심상업지역</t>
        </is>
      </c>
      <c r="C1122" s="3" t="inlineStr">
        <is>
          <t>대</t>
        </is>
      </c>
      <c r="D1122" s="3" t="inlineStr">
        <is>
          <t>전</t>
        </is>
      </c>
      <c r="E1122" s="3" t="inlineStr">
        <is>
          <t>매매</t>
        </is>
      </c>
      <c r="F1122" s="4" t="n">
        <v>110000</v>
      </c>
      <c r="G1122" s="4" t="n">
        <v>3585</v>
      </c>
      <c r="H1122" s="4" t="n">
        <v>1084</v>
      </c>
      <c r="I1122" s="5" t="n">
        <v>101.5</v>
      </c>
      <c r="J1122" s="4" t="n">
        <v>747.8</v>
      </c>
      <c r="K1122" s="3" t="inlineStr">
        <is>
          <t>2.3순환로 신분평개발지구 접근성 좋은 위치의 토지</t>
        </is>
      </c>
      <c r="L1122" s="6">
        <f>HYPERLINK("https://fin.land.naver.com/articles/2649038247", "매물Link")</f>
        <v/>
      </c>
      <c r="M1122" s="6">
        <f>HYPERLINK("https://map.naver.com/p/search/세종특별자치시 나성동 829", "지도Link")</f>
        <v/>
      </c>
      <c r="N1122" s="6">
        <f>HYPERLINK("http://www.eum.go.kr/web/ar/lu/luLandDet.jsp?pnu=3611010700108290000&amp;isNoScr=script&amp;mode=search", "토지이음")</f>
        <v/>
      </c>
      <c r="O1122" s="3" t="inlineStr">
        <is>
          <t>더원</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세종특별자치시 나성동 829</t>
        </is>
      </c>
      <c r="B1123" s="3" t="inlineStr">
        <is>
          <t>중심상업지역</t>
        </is>
      </c>
      <c r="C1123" s="3" t="inlineStr">
        <is>
          <t>대</t>
        </is>
      </c>
      <c r="D1123" s="3" t="inlineStr">
        <is>
          <t>임야</t>
        </is>
      </c>
      <c r="E1123" s="3" t="inlineStr">
        <is>
          <t>매매</t>
        </is>
      </c>
      <c r="F1123" s="4" t="n">
        <v>280000</v>
      </c>
      <c r="G1123" s="4" t="n">
        <v>10891</v>
      </c>
      <c r="H1123" s="4" t="n">
        <v>3295</v>
      </c>
      <c r="I1123" s="5" t="n">
        <v>85</v>
      </c>
      <c r="J1123" s="4" t="n">
        <v>747.8</v>
      </c>
      <c r="K1123" s="3" t="inlineStr">
        <is>
          <t>2.3순환로 접근성 좋은 토지 도시계획도로 착공시 지가 상승</t>
        </is>
      </c>
      <c r="L1123" s="6">
        <f>HYPERLINK("https://fin.land.naver.com/articles/2649020309", "매물Link")</f>
        <v/>
      </c>
      <c r="M1123" s="6">
        <f>HYPERLINK("https://map.naver.com/p/search/세종특별자치시 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세종특별자치시 나성동 829</t>
        </is>
      </c>
      <c r="B1124" s="3" t="inlineStr">
        <is>
          <t>중심상업지역</t>
        </is>
      </c>
      <c r="C1124" s="3" t="inlineStr">
        <is>
          <t>대</t>
        </is>
      </c>
      <c r="D1124" s="3" t="inlineStr">
        <is>
          <t>대</t>
        </is>
      </c>
      <c r="E1124" s="3" t="inlineStr">
        <is>
          <t>매매</t>
        </is>
      </c>
      <c r="F1124" s="4" t="n">
        <v>176000</v>
      </c>
      <c r="G1124" s="4" t="n">
        <v>1461</v>
      </c>
      <c r="H1124" s="4" t="n">
        <v>442</v>
      </c>
      <c r="I1124" s="5" t="n">
        <v>398.2</v>
      </c>
      <c r="J1124" s="4" t="n">
        <v>747.8</v>
      </c>
      <c r="K1124" s="3" t="inlineStr">
        <is>
          <t>교통량 많은 4차선 대로변</t>
        </is>
      </c>
      <c r="L1124" s="6">
        <f>HYPERLINK("https://fin.land.naver.com/articles/2646077219", "매물Link")</f>
        <v/>
      </c>
      <c r="M1124" s="6">
        <f>HYPERLINK("https://map.naver.com/p/search/세종특별자치시 나성동 829", "지도Link")</f>
        <v/>
      </c>
      <c r="N1124" s="6">
        <f>HYPERLINK("http://www.eum.go.kr/web/ar/lu/luLandDet.jsp?pnu=3611010700108290000&amp;isNoScr=script&amp;mode=search", "토지이음")</f>
        <v/>
      </c>
      <c r="O1124" s="3" t="inlineStr">
        <is>
          <t>좋은터</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세종특별자치시 나성동 829</t>
        </is>
      </c>
      <c r="B1125" s="3" t="inlineStr">
        <is>
          <t>중심상업지역</t>
        </is>
      </c>
      <c r="C1125" s="3" t="inlineStr">
        <is>
          <t>대</t>
        </is>
      </c>
      <c r="D1125" s="3" t="inlineStr">
        <is>
          <t>전</t>
        </is>
      </c>
      <c r="E1125" s="3" t="inlineStr">
        <is>
          <t>매매</t>
        </is>
      </c>
      <c r="F1125" s="4" t="n">
        <v>25000</v>
      </c>
      <c r="G1125" s="4" t="n">
        <v>1474</v>
      </c>
      <c r="H1125" s="4" t="n">
        <v>446</v>
      </c>
      <c r="I1125" s="5" t="n">
        <v>56.1</v>
      </c>
      <c r="J1125" s="4" t="n">
        <v>747.8</v>
      </c>
      <c r="K1125" s="3" t="inlineStr">
        <is>
          <t>진입도로 있어 접근성 우수, 도로 옆 부지로 전원주택, 주말농장 추천</t>
        </is>
      </c>
      <c r="L1125" s="6">
        <f>HYPERLINK("https://fin.land.naver.com/articles/2649561226", "매물Link")</f>
        <v/>
      </c>
      <c r="M1125" s="6">
        <f>HYPERLINK("https://map.naver.com/p/search/세종특별자치시 나성동 829", "지도Link")</f>
        <v/>
      </c>
      <c r="N1125" s="6">
        <f>HYPERLINK("http://www.eum.go.kr/web/ar/lu/luLandDet.jsp?pnu=3611010700108290000&amp;isNoScr=script&amp;mode=search", "토지이음")</f>
        <v/>
      </c>
      <c r="O1125" s="3" t="inlineStr">
        <is>
          <t>하경</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세종특별자치시 나성동 829</t>
        </is>
      </c>
      <c r="B1126" s="3" t="inlineStr">
        <is>
          <t>중심상업지역</t>
        </is>
      </c>
      <c r="C1126" s="3" t="inlineStr">
        <is>
          <t>대</t>
        </is>
      </c>
      <c r="D1126" s="3" t="inlineStr">
        <is>
          <t>대</t>
        </is>
      </c>
      <c r="E1126" s="3" t="inlineStr">
        <is>
          <t>매매</t>
        </is>
      </c>
      <c r="F1126" s="4" t="n">
        <v>210000</v>
      </c>
      <c r="G1126" s="4" t="n">
        <v>2534</v>
      </c>
      <c r="H1126" s="4" t="n">
        <v>767</v>
      </c>
      <c r="I1126" s="5" t="n">
        <v>273.8</v>
      </c>
      <c r="J1126" s="4" t="n">
        <v>747.8</v>
      </c>
      <c r="K1126" s="3" t="inlineStr">
        <is>
          <t>현재 브런치카페 운영중, 다양한업종 가능</t>
        </is>
      </c>
      <c r="L1126" s="6">
        <f>HYPERLINK("https://fin.land.naver.com/articles/2649849680", "매물Link")</f>
        <v/>
      </c>
      <c r="M1126" s="6">
        <f>HYPERLINK("https://map.naver.com/p/search/세종특별자치시 나성동 829", "지도Link")</f>
        <v/>
      </c>
      <c r="N1126" s="6">
        <f>HYPERLINK("http://www.eum.go.kr/web/ar/lu/luLandDet.jsp?pnu=3611010700108290000&amp;isNoScr=script&amp;mode=search", "토지이음")</f>
        <v/>
      </c>
      <c r="O1126" s="3" t="inlineStr">
        <is>
          <t>뉴스타</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세종특별자치시 나성동 829</t>
        </is>
      </c>
      <c r="B1127" s="3" t="inlineStr">
        <is>
          <t>중심상업지역</t>
        </is>
      </c>
      <c r="C1127" s="3" t="inlineStr">
        <is>
          <t>대</t>
        </is>
      </c>
      <c r="D1127" s="3" t="inlineStr">
        <is>
          <t>전</t>
        </is>
      </c>
      <c r="E1127" s="3" t="inlineStr">
        <is>
          <t>매매</t>
        </is>
      </c>
      <c r="F1127" s="4" t="n">
        <v>70700</v>
      </c>
      <c r="G1127" s="4" t="n">
        <v>2337</v>
      </c>
      <c r="H1127" s="4" t="n">
        <v>707</v>
      </c>
      <c r="I1127" s="5" t="n">
        <v>100</v>
      </c>
      <c r="J1127" s="4" t="n">
        <v>747.8</v>
      </c>
      <c r="K1127" s="3" t="inlineStr">
        <is>
          <t>nan</t>
        </is>
      </c>
      <c r="L1127" s="6">
        <f>HYPERLINK("https://fin.land.naver.com/articles/2649794531", "매물Link")</f>
        <v/>
      </c>
      <c r="M1127" s="6">
        <f>HYPERLINK("https://map.naver.com/p/search/세종특별자치시 나성동 829", "지도Link")</f>
        <v/>
      </c>
      <c r="N1127" s="6">
        <f>HYPERLINK("http://www.eum.go.kr/web/ar/lu/luLandDet.jsp?pnu=3611010700108290000&amp;isNoScr=script&amp;mode=search", "토지이음")</f>
        <v/>
      </c>
      <c r="O1127" s="3" t="inlineStr">
        <is>
          <t>바로</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세종특별자치시 나성동 829</t>
        </is>
      </c>
      <c r="B1128" s="3" t="inlineStr">
        <is>
          <t>중심상업지역</t>
        </is>
      </c>
      <c r="C1128" s="3" t="inlineStr">
        <is>
          <t>대</t>
        </is>
      </c>
      <c r="D1128" s="3" t="inlineStr">
        <is>
          <t>전</t>
        </is>
      </c>
      <c r="E1128" s="3" t="inlineStr">
        <is>
          <t>매매</t>
        </is>
      </c>
      <c r="F1128" s="4" t="n">
        <v>27000</v>
      </c>
      <c r="G1128" s="4" t="n">
        <v>1017</v>
      </c>
      <c r="H1128" s="4" t="n">
        <v>308</v>
      </c>
      <c r="I1128" s="5" t="n">
        <v>87.7</v>
      </c>
      <c r="J1128" s="4" t="n">
        <v>747.8</v>
      </c>
      <c r="K1128" s="3" t="inlineStr">
        <is>
          <t>반듯한 사각형 모양의 토지임</t>
        </is>
      </c>
      <c r="L1128" s="6">
        <f>HYPERLINK("https://fin.land.naver.com/articles/2649775613", "매물Link")</f>
        <v/>
      </c>
      <c r="M1128" s="6">
        <f>HYPERLINK("https://map.naver.com/p/search/세종특별자치시 나성동 829", "지도Link")</f>
        <v/>
      </c>
      <c r="N1128" s="6">
        <f>HYPERLINK("http://www.eum.go.kr/web/ar/lu/luLandDet.jsp?pnu=3611010700108290000&amp;isNoScr=script&amp;mode=search", "토지이음")</f>
        <v/>
      </c>
      <c r="O1128" s="3" t="inlineStr">
        <is>
          <t>교차로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세종특별자치시 나성동 829</t>
        </is>
      </c>
      <c r="B1129" s="3" t="inlineStr">
        <is>
          <t>중심상업지역</t>
        </is>
      </c>
      <c r="C1129" s="3" t="inlineStr">
        <is>
          <t>대</t>
        </is>
      </c>
      <c r="D1129" s="3" t="inlineStr">
        <is>
          <t>대</t>
        </is>
      </c>
      <c r="E1129" s="3" t="inlineStr">
        <is>
          <t>매매</t>
        </is>
      </c>
      <c r="F1129" s="4" t="n">
        <v>224960</v>
      </c>
      <c r="G1129" s="4" t="n">
        <v>4647</v>
      </c>
      <c r="H1129" s="4" t="n">
        <v>1406</v>
      </c>
      <c r="I1129" s="5" t="n">
        <v>160</v>
      </c>
      <c r="J1129" s="4" t="n">
        <v>747.8</v>
      </c>
      <c r="K1129" s="3" t="inlineStr">
        <is>
          <t>2차선도로변 2종근린생활시설로 허가득 제조업 근생가능 식품업종가능</t>
        </is>
      </c>
      <c r="L1129" s="6">
        <f>HYPERLINK("https://fin.land.naver.com/articles/2649682979", "매물Link")</f>
        <v/>
      </c>
      <c r="M1129" s="6">
        <f>HYPERLINK("https://map.naver.com/p/search/세종특별자치시 나성동 829", "지도Link")</f>
        <v/>
      </c>
      <c r="N1129" s="6">
        <f>HYPERLINK("http://www.eum.go.kr/web/ar/lu/luLandDet.jsp?pnu=3611010700108290000&amp;isNoScr=script&amp;mode=search", "토지이음")</f>
        <v/>
      </c>
      <c r="O1129" s="3" t="inlineStr">
        <is>
          <t>더원</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세종특별자치시 나성동 829</t>
        </is>
      </c>
      <c r="B1130" s="3" t="inlineStr">
        <is>
          <t>중심상업지역</t>
        </is>
      </c>
      <c r="C1130" s="3" t="inlineStr">
        <is>
          <t>대</t>
        </is>
      </c>
      <c r="D1130" s="3" t="inlineStr">
        <is>
          <t>임야</t>
        </is>
      </c>
      <c r="E1130" s="3" t="inlineStr">
        <is>
          <t>매매</t>
        </is>
      </c>
      <c r="F1130" s="4" t="n">
        <v>18300</v>
      </c>
      <c r="G1130" s="4" t="n">
        <v>473</v>
      </c>
      <c r="H1130" s="4" t="n">
        <v>143</v>
      </c>
      <c r="I1130" s="5" t="n">
        <v>128</v>
      </c>
      <c r="J1130" s="4" t="n">
        <v>747.8</v>
      </c>
      <c r="K1130" s="3" t="inlineStr">
        <is>
          <t>가좌리 단독 주택 토지 매매</t>
        </is>
      </c>
      <c r="L1130" s="6">
        <f>HYPERLINK("https://fin.land.naver.com/articles/2649584175", "매물Link")</f>
        <v/>
      </c>
      <c r="M1130" s="6">
        <f>HYPERLINK("https://map.naver.com/p/search/세종특별자치시 나성동 829", "지도Link")</f>
        <v/>
      </c>
      <c r="N1130" s="6">
        <f>HYPERLINK("http://www.eum.go.kr/web/ar/lu/luLandDet.jsp?pnu=3611010700108290000&amp;isNoScr=script&amp;mode=search", "토지이음")</f>
        <v/>
      </c>
      <c r="O1130" s="3" t="inlineStr">
        <is>
          <t>사거리</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세종특별자치시 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HYPERLINK("https://map.naver.com/p/search/세종특별자치시 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세종특별자치시 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HYPERLINK("https://map.naver.com/p/search/세종특별자치시 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세종특별자치시 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HYPERLINK("https://map.naver.com/p/search/세종특별자치시 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세종특별자치시 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HYPERLINK("https://map.naver.com/p/search/세종특별자치시 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세종특별자치시 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HYPERLINK("https://map.naver.com/p/search/세종특별자치시 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세종특별자치시 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HYPERLINK("https://map.naver.com/p/search/세종특별자치시 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세종특별자치시 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HYPERLINK("https://map.naver.com/p/search/세종특별자치시 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세종특별자치시 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HYPERLINK("https://map.naver.com/p/search/세종특별자치시 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세종특별자치시 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HYPERLINK("https://map.naver.com/p/search/세종특별자치시 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세종특별자치시 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HYPERLINK("https://map.naver.com/p/search/세종특별자치시 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세종특별자치시 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HYPERLINK("https://map.naver.com/p/search/세종특별자치시 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세종특별자치시 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HYPERLINK("https://map.naver.com/p/search/세종특별자치시 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세종특별자치시 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HYPERLINK("https://map.naver.com/p/search/세종특별자치시 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세종특별자치시 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HYPERLINK("https://map.naver.com/p/search/세종특별자치시 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세종특별자치시 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HYPERLINK("https://map.naver.com/p/search/세종특별자치시 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세종특별자치시 나성동 829</t>
        </is>
      </c>
      <c r="B1146" s="3" t="inlineStr">
        <is>
          <t>중심상업지역</t>
        </is>
      </c>
      <c r="C1146" s="3" t="inlineStr">
        <is>
          <t>대</t>
        </is>
      </c>
      <c r="D1146" s="3" t="inlineStr">
        <is>
          <t>대</t>
        </is>
      </c>
      <c r="E1146" s="3" t="inlineStr">
        <is>
          <t>매매</t>
        </is>
      </c>
      <c r="F1146" s="4" t="n">
        <v>21200</v>
      </c>
      <c r="G1146" s="4" t="n">
        <v>670</v>
      </c>
      <c r="H1146" s="4" t="n">
        <v>203</v>
      </c>
      <c r="I1146" s="5" t="n">
        <v>104.4</v>
      </c>
      <c r="J1146" s="4" t="n">
        <v>747.8</v>
      </c>
      <c r="K1146" s="3" t="inlineStr">
        <is>
          <t>nan</t>
        </is>
      </c>
      <c r="L1146" s="6">
        <f>HYPERLINK("https://fin.land.naver.com/articles/2649240235", "매물Link")</f>
        <v/>
      </c>
      <c r="M1146" s="6">
        <f>HYPERLINK("https://map.naver.com/p/search/세종특별자치시 나성동 829", "지도Link")</f>
        <v/>
      </c>
      <c r="N1146" s="6">
        <f>HYPERLINK("http://www.eum.go.kr/web/ar/lu/luLandDet.jsp?pnu=3611010700108290000&amp;isNoScr=script&amp;mode=search", "토지이음")</f>
        <v/>
      </c>
      <c r="O1146" s="3" t="inlineStr">
        <is>
          <t>사랑</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세종특별자치시 나성동 829</t>
        </is>
      </c>
      <c r="B1147" s="3" t="inlineStr">
        <is>
          <t>중심상업지역</t>
        </is>
      </c>
      <c r="C1147" s="3" t="inlineStr">
        <is>
          <t>대</t>
        </is>
      </c>
      <c r="D1147" s="3" t="inlineStr">
        <is>
          <t>답</t>
        </is>
      </c>
      <c r="E1147" s="3" t="inlineStr">
        <is>
          <t>매매</t>
        </is>
      </c>
      <c r="F1147" s="4" t="n">
        <v>24900</v>
      </c>
      <c r="G1147" s="4" t="n">
        <v>1392</v>
      </c>
      <c r="H1147" s="4" t="n">
        <v>421</v>
      </c>
      <c r="I1147" s="5" t="n">
        <v>59.1</v>
      </c>
      <c r="J1147" s="4" t="n">
        <v>747.8</v>
      </c>
      <c r="K1147" s="3" t="inlineStr">
        <is>
          <t>nan</t>
        </is>
      </c>
      <c r="L1147" s="6">
        <f>HYPERLINK("https://fin.land.naver.com/articles/2649918515", "매물Link")</f>
        <v/>
      </c>
      <c r="M1147" s="6">
        <f>HYPERLINK("https://map.naver.com/p/search/세종특별자치시 나성동 829", "지도Link")</f>
        <v/>
      </c>
      <c r="N1147" s="6">
        <f>HYPERLINK("http://www.eum.go.kr/web/ar/lu/luLandDet.jsp?pnu=3611010700108290000&amp;isNoScr=script&amp;mode=search", "토지이음")</f>
        <v/>
      </c>
      <c r="O1147" s="3" t="inlineStr">
        <is>
          <t>바로</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세종특별자치시 나성동 829</t>
        </is>
      </c>
      <c r="B1148" s="3" t="inlineStr">
        <is>
          <t>중심상업지역</t>
        </is>
      </c>
      <c r="C1148" s="3" t="inlineStr">
        <is>
          <t>대</t>
        </is>
      </c>
      <c r="D1148" s="3" t="inlineStr">
        <is>
          <t>임야</t>
        </is>
      </c>
      <c r="E1148" s="3" t="inlineStr">
        <is>
          <t>매매</t>
        </is>
      </c>
      <c r="F1148" s="4" t="n">
        <v>23000</v>
      </c>
      <c r="G1148" s="4" t="n">
        <v>479</v>
      </c>
      <c r="H1148" s="4" t="n">
        <v>145</v>
      </c>
      <c r="I1148" s="5" t="n">
        <v>158.6</v>
      </c>
      <c r="J1148" s="4" t="n">
        <v>747.8</v>
      </c>
      <c r="K1148" s="3" t="inlineStr">
        <is>
          <t>주택지을실 분이나 소형창고 지으실분 좋아요</t>
        </is>
      </c>
      <c r="L1148" s="6">
        <f>HYPERLINK("https://fin.land.naver.com/articles/2648705779", "매물Link")</f>
        <v/>
      </c>
      <c r="M1148" s="6">
        <f>HYPERLINK("https://map.naver.com/p/search/세종특별자치시 나성동 829", "지도Link")</f>
        <v/>
      </c>
      <c r="N1148" s="6">
        <f>HYPERLINK("http://www.eum.go.kr/web/ar/lu/luLandDet.jsp?pnu=3611010700108290000&amp;isNoScr=script&amp;mode=search", "토지이음")</f>
        <v/>
      </c>
      <c r="O1148" s="3" t="inlineStr">
        <is>
          <t>해뜨는  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세종특별자치시 나성동 829</t>
        </is>
      </c>
      <c r="B1149" s="3" t="inlineStr">
        <is>
          <t>중심상업지역</t>
        </is>
      </c>
      <c r="C1149" s="3" t="inlineStr">
        <is>
          <t>대</t>
        </is>
      </c>
      <c r="D1149" s="3" t="inlineStr">
        <is>
          <t>전</t>
        </is>
      </c>
      <c r="E1149" s="3" t="inlineStr">
        <is>
          <t>매매</t>
        </is>
      </c>
      <c r="F1149" s="4" t="n">
        <v>71000</v>
      </c>
      <c r="G1149" s="4" t="n">
        <v>1234</v>
      </c>
      <c r="H1149" s="4" t="n">
        <v>373</v>
      </c>
      <c r="I1149" s="5" t="n">
        <v>190.3</v>
      </c>
      <c r="J1149" s="4" t="n">
        <v>747.8</v>
      </c>
      <c r="K1149" s="3" t="inlineStr">
        <is>
          <t>인허가 완료 산업용지 , I.C 신설 수혜지 ,공장창고 신축 가능</t>
        </is>
      </c>
      <c r="L1149" s="6">
        <f>HYPERLINK("https://fin.land.naver.com/articles/2645488279", "매물Link")</f>
        <v/>
      </c>
      <c r="M1149" s="6">
        <f>HYPERLINK("https://map.naver.com/p/search/세종특별자치시 나성동 829", "지도Link")</f>
        <v/>
      </c>
      <c r="N1149" s="6">
        <f>HYPERLINK("http://www.eum.go.kr/web/ar/lu/luLandDet.jsp?pnu=3611010700108290000&amp;isNoScr=script&amp;mode=search", "토지이음")</f>
        <v/>
      </c>
      <c r="O1149" s="3" t="inlineStr">
        <is>
          <t>타임합동사무소</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세종특별자치시 나성동 829</t>
        </is>
      </c>
      <c r="B1150" s="3" t="inlineStr">
        <is>
          <t>중심상업지역</t>
        </is>
      </c>
      <c r="C1150" s="3" t="inlineStr">
        <is>
          <t>대</t>
        </is>
      </c>
      <c r="D1150" s="3" t="inlineStr">
        <is>
          <t>전</t>
        </is>
      </c>
      <c r="E1150" s="3" t="inlineStr">
        <is>
          <t>매매</t>
        </is>
      </c>
      <c r="F1150" s="4" t="n">
        <v>23000</v>
      </c>
      <c r="G1150" s="4" t="n">
        <v>1547</v>
      </c>
      <c r="H1150" s="4" t="n">
        <v>468</v>
      </c>
      <c r="I1150" s="5" t="n">
        <v>49.1</v>
      </c>
      <c r="J1150" s="4" t="n">
        <v>747.8</v>
      </c>
      <c r="K1150" s="3" t="inlineStr">
        <is>
          <t>주말농장 추천, 농막설치되어 있음</t>
        </is>
      </c>
      <c r="L1150" s="6">
        <f>HYPERLINK("https://fin.land.naver.com/articles/2644772763", "매물Link")</f>
        <v/>
      </c>
      <c r="M1150" s="6">
        <f>HYPERLINK("https://map.naver.com/p/search/세종특별자치시 나성동 829", "지도Link")</f>
        <v/>
      </c>
      <c r="N1150" s="6">
        <f>HYPERLINK("http://www.eum.go.kr/web/ar/lu/luLandDet.jsp?pnu=3611010700108290000&amp;isNoScr=script&amp;mode=search", "토지이음")</f>
        <v/>
      </c>
      <c r="O1150" s="3" t="inlineStr">
        <is>
          <t>하경</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세종특별자치시 나성동 829</t>
        </is>
      </c>
      <c r="B1151" s="3" t="inlineStr">
        <is>
          <t>중심상업지역</t>
        </is>
      </c>
      <c r="C1151" s="3" t="inlineStr">
        <is>
          <t>대</t>
        </is>
      </c>
      <c r="D1151" s="3" t="inlineStr">
        <is>
          <t>임야</t>
        </is>
      </c>
      <c r="E1151" s="3" t="inlineStr">
        <is>
          <t>매매</t>
        </is>
      </c>
      <c r="F1151" s="4" t="n">
        <v>250000</v>
      </c>
      <c r="G1151" s="4" t="n">
        <v>3678</v>
      </c>
      <c r="H1151" s="4" t="n">
        <v>1113</v>
      </c>
      <c r="I1151" s="5" t="n">
        <v>224.6</v>
      </c>
      <c r="J1151" s="4" t="n">
        <v>747.8</v>
      </c>
      <c r="K1151" s="3" t="inlineStr">
        <is>
          <t>35미터 6차선 대로 접한 토지로서 진입도로 16미터 점용허가 득</t>
        </is>
      </c>
      <c r="L1151" s="6">
        <f>HYPERLINK("https://fin.land.naver.com/articles/2647622622", "매물Link")</f>
        <v/>
      </c>
      <c r="M1151" s="6">
        <f>HYPERLINK("https://map.naver.com/p/search/세종특별자치시 나성동 829", "지도Link")</f>
        <v/>
      </c>
      <c r="N1151" s="6">
        <f>HYPERLINK("http://www.eum.go.kr/web/ar/lu/luLandDet.jsp?pnu=3611010700108290000&amp;isNoScr=script&amp;mode=search", "토지이음")</f>
        <v/>
      </c>
      <c r="O1151" s="3" t="inlineStr">
        <is>
          <t>가가</t>
        </is>
      </c>
      <c r="P1151" s="3" t="n">
        <v>1</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세종특별자치시 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HYPERLINK("https://map.naver.com/p/search/세종특별자치시 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세종특별자치시 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HYPERLINK("https://map.naver.com/p/search/세종특별자치시 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세종특별자치시 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HYPERLINK("https://map.naver.com/p/search/세종특별자치시 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세종특별자치시 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HYPERLINK("https://map.naver.com/p/search/세종특별자치시 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세종특별자치시 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HYPERLINK("https://map.naver.com/p/search/세종특별자치시 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세종특별자치시 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HYPERLINK("https://map.naver.com/p/search/세종특별자치시 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세종특별자치시 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HYPERLINK("https://map.naver.com/p/search/세종특별자치시 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세종특별자치시 나성동 829</t>
        </is>
      </c>
      <c r="B1159" s="3" t="inlineStr">
        <is>
          <t>중심상업지역</t>
        </is>
      </c>
      <c r="C1159" s="3" t="inlineStr">
        <is>
          <t>대</t>
        </is>
      </c>
      <c r="D1159" s="3" t="inlineStr">
        <is>
          <t>임야</t>
        </is>
      </c>
      <c r="E1159" s="3" t="inlineStr">
        <is>
          <t>매매</t>
        </is>
      </c>
      <c r="F1159" s="4" t="n">
        <v>105000</v>
      </c>
      <c r="G1159" s="4" t="n">
        <v>9914</v>
      </c>
      <c r="H1159" s="4" t="n">
        <v>2999</v>
      </c>
      <c r="I1159" s="5" t="n">
        <v>35</v>
      </c>
      <c r="J1159" s="4" t="n">
        <v>747.8</v>
      </c>
      <c r="K1159" s="3" t="inlineStr">
        <is>
          <t>청주시에서 접근성이 좋은 위치에 있는 토지임</t>
        </is>
      </c>
      <c r="L1159" s="6">
        <f>HYPERLINK("https://fin.land.naver.com/articles/2645626978", "매물Link")</f>
        <v/>
      </c>
      <c r="M1159" s="6">
        <f>HYPERLINK("https://map.naver.com/p/search/세종특별자치시 나성동 829", "지도Link")</f>
        <v/>
      </c>
      <c r="N1159" s="6">
        <f>HYPERLINK("http://www.eum.go.kr/web/ar/lu/luLandDet.jsp?pnu=3611010700108290000&amp;isNoScr=script&amp;mode=search", "토지이음")</f>
        <v/>
      </c>
      <c r="O1159" s="3" t="inlineStr">
        <is>
          <t>교차로</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세종특별자치시 나성동 829</t>
        </is>
      </c>
      <c r="B1160" s="3" t="inlineStr">
        <is>
          <t>중심상업지역</t>
        </is>
      </c>
      <c r="C1160" s="3" t="inlineStr">
        <is>
          <t>대</t>
        </is>
      </c>
      <c r="D1160" s="3" t="inlineStr">
        <is>
          <t>대</t>
        </is>
      </c>
      <c r="E1160" s="3" t="inlineStr">
        <is>
          <t>매매</t>
        </is>
      </c>
      <c r="F1160" s="4" t="n">
        <v>34000</v>
      </c>
      <c r="G1160" s="4" t="n">
        <v>248</v>
      </c>
      <c r="H1160" s="4" t="n">
        <v>75</v>
      </c>
      <c r="I1160" s="5" t="n">
        <v>453.3</v>
      </c>
      <c r="J1160" s="4" t="n">
        <v>747.8</v>
      </c>
      <c r="K1160" s="3" t="inlineStr">
        <is>
          <t>건축허가서 도면 있음,산남동 대원칸타빌 인근의 나대지,3층 이하의 건물</t>
        </is>
      </c>
      <c r="L1160" s="6">
        <f>HYPERLINK("https://fin.land.naver.com/articles/2647622837", "매물Link")</f>
        <v/>
      </c>
      <c r="M1160" s="6">
        <f>HYPERLINK("https://map.naver.com/p/search/세종특별자치시 나성동 829", "지도Link")</f>
        <v/>
      </c>
      <c r="N1160" s="6">
        <f>HYPERLINK("http://www.eum.go.kr/web/ar/lu/luLandDet.jsp?pnu=3611010700108290000&amp;isNoScr=script&amp;mode=search", "토지이음")</f>
        <v/>
      </c>
      <c r="O1160" s="3" t="inlineStr">
        <is>
          <t>가가</t>
        </is>
      </c>
      <c r="P1160" s="3" t="n">
        <v>3</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세종특별자치시 나성동 829</t>
        </is>
      </c>
      <c r="B1161" s="3" t="inlineStr">
        <is>
          <t>중심상업지역</t>
        </is>
      </c>
      <c r="C1161" s="3" t="inlineStr">
        <is>
          <t>대</t>
        </is>
      </c>
      <c r="D1161" s="3" t="inlineStr">
        <is>
          <t>답</t>
        </is>
      </c>
      <c r="E1161" s="3" t="inlineStr">
        <is>
          <t>매매</t>
        </is>
      </c>
      <c r="F1161" s="4" t="n">
        <v>28000</v>
      </c>
      <c r="G1161" s="4" t="n">
        <v>254</v>
      </c>
      <c r="H1161" s="4" t="n">
        <v>77</v>
      </c>
      <c r="I1161" s="5" t="n">
        <v>363.6</v>
      </c>
      <c r="J1161" s="4" t="n">
        <v>747.8</v>
      </c>
      <c r="K1161" s="3" t="inlineStr">
        <is>
          <t>모충대로 인근 및 아파트 밀집지역 주변 토지</t>
        </is>
      </c>
      <c r="L1161" s="6">
        <f>HYPERLINK("https://fin.land.naver.com/articles/2647738156", "매물Link")</f>
        <v/>
      </c>
      <c r="M1161" s="6">
        <f>HYPERLINK("https://map.naver.com/p/search/세종특별자치시 나성동 829", "지도Link")</f>
        <v/>
      </c>
      <c r="N1161" s="6">
        <f>HYPERLINK("http://www.eum.go.kr/web/ar/lu/luLandDet.jsp?pnu=3611010700108290000&amp;isNoScr=script&amp;mode=search", "토지이음")</f>
        <v/>
      </c>
      <c r="O1161" s="3" t="inlineStr">
        <is>
          <t>좋은</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세종특별자치시 나성동 829</t>
        </is>
      </c>
      <c r="B1162" s="3" t="inlineStr">
        <is>
          <t>중심상업지역</t>
        </is>
      </c>
      <c r="C1162" s="3" t="inlineStr">
        <is>
          <t>대</t>
        </is>
      </c>
      <c r="D1162" s="3" t="inlineStr">
        <is>
          <t>대</t>
        </is>
      </c>
      <c r="E1162" s="3" t="inlineStr">
        <is>
          <t>매매</t>
        </is>
      </c>
      <c r="F1162" s="4" t="n">
        <v>20000</v>
      </c>
      <c r="G1162" s="4" t="n">
        <v>182</v>
      </c>
      <c r="H1162" s="4" t="n">
        <v>55</v>
      </c>
      <c r="I1162" s="5" t="n">
        <v>363.6</v>
      </c>
      <c r="J1162" s="4" t="n">
        <v>747.8</v>
      </c>
      <c r="K1162" s="3" t="inlineStr">
        <is>
          <t>nan</t>
        </is>
      </c>
      <c r="L1162" s="6">
        <f>HYPERLINK("https://fin.land.naver.com/articles/2647012453", "매물Link")</f>
        <v/>
      </c>
      <c r="M1162" s="6">
        <f>HYPERLINK("https://map.naver.com/p/search/세종특별자치시 나성동 829", "지도Link")</f>
        <v/>
      </c>
      <c r="N1162" s="6">
        <f>HYPERLINK("http://www.eum.go.kr/web/ar/lu/luLandDet.jsp?pnu=3611010700108290000&amp;isNoScr=script&amp;mode=search", "토지이음")</f>
        <v/>
      </c>
      <c r="O1162" s="3" t="inlineStr">
        <is>
          <t>가온</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세종특별자치시 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HYPERLINK("https://map.naver.com/p/search/세종특별자치시 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세종특별자치시 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HYPERLINK("https://map.naver.com/p/search/세종특별자치시 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세종특별자치시 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HYPERLINK("https://map.naver.com/p/search/세종특별자치시 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세종특별자치시 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HYPERLINK("https://map.naver.com/p/search/세종특별자치시 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세종특별자치시 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HYPERLINK("https://map.naver.com/p/search/세종특별자치시 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세종특별자치시 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HYPERLINK("https://map.naver.com/p/search/세종특별자치시 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세종특별자치시 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HYPERLINK("https://map.naver.com/p/search/세종특별자치시 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세종특별자치시 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HYPERLINK("https://map.naver.com/p/search/세종특별자치시 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세종특별자치시 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HYPERLINK("https://map.naver.com/p/search/세종특별자치시 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세종특별자치시 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HYPERLINK("https://map.naver.com/p/search/세종특별자치시 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세종특별자치시 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HYPERLINK("https://map.naver.com/p/search/세종특별자치시 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세종특별자치시 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HYPERLINK("https://map.naver.com/p/search/세종특별자치시 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세종특별자치시 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HYPERLINK("https://map.naver.com/p/search/세종특별자치시 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세종특별자치시 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HYPERLINK("https://map.naver.com/p/search/세종특별자치시 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세종특별자치시 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HYPERLINK("https://map.naver.com/p/search/세종특별자치시 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세종특별자치시 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HYPERLINK("https://map.naver.com/p/search/세종특별자치시 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세종특별자치시 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HYPERLINK("https://map.naver.com/p/search/세종특별자치시 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세종특별자치시 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HYPERLINK("https://map.naver.com/p/search/세종특별자치시 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세종특별자치시 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HYPERLINK("https://map.naver.com/p/search/세종특별자치시 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세종특별자치시 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HYPERLINK("https://map.naver.com/p/search/세종특별자치시 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세종특별자치시 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HYPERLINK("https://map.naver.com/p/search/세종특별자치시 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세종특별자치시 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HYPERLINK("https://map.naver.com/p/search/세종특별자치시 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세종특별자치시 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HYPERLINK("https://map.naver.com/p/search/세종특별자치시 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세종특별자치시 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HYPERLINK("https://map.naver.com/p/search/세종특별자치시 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세종특별자치시 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HYPERLINK("https://map.naver.com/p/search/세종특별자치시 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세종특별자치시 나성동 829</t>
        </is>
      </c>
      <c r="B1188" s="3" t="inlineStr">
        <is>
          <t>중심상업지역</t>
        </is>
      </c>
      <c r="C1188" s="3" t="inlineStr">
        <is>
          <t>대</t>
        </is>
      </c>
      <c r="D1188" s="3" t="inlineStr">
        <is>
          <t>대</t>
        </is>
      </c>
      <c r="E1188" s="3" t="inlineStr">
        <is>
          <t>매매</t>
        </is>
      </c>
      <c r="F1188" s="4" t="n">
        <v>32850</v>
      </c>
      <c r="G1188" s="4" t="n">
        <v>1208</v>
      </c>
      <c r="H1188" s="4" t="n">
        <v>365</v>
      </c>
      <c r="I1188" s="5" t="n">
        <v>90</v>
      </c>
      <c r="J1188" s="4" t="n">
        <v>747.8</v>
      </c>
      <c r="K1188" s="3" t="inlineStr">
        <is>
          <t>탁트인전망 도로접 전원주택 건축하면 조용하고 좋은곳</t>
        </is>
      </c>
      <c r="L1188" s="6">
        <f>HYPERLINK("https://fin.land.naver.com/articles/2645534980", "매물Link")</f>
        <v/>
      </c>
      <c r="M1188" s="6">
        <f>HYPERLINK("https://map.naver.com/p/search/세종특별자치시 나성동 829", "지도Link")</f>
        <v/>
      </c>
      <c r="N1188" s="6">
        <f>HYPERLINK("http://www.eum.go.kr/web/ar/lu/luLandDet.jsp?pnu=3611010700108290000&amp;isNoScr=script&amp;mode=search", "토지이음")</f>
        <v/>
      </c>
      <c r="O1188" s="3" t="inlineStr">
        <is>
          <t>신두꺼비</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세종특별자치시 나성동 829</t>
        </is>
      </c>
      <c r="B1189" s="3" t="inlineStr">
        <is>
          <t>중심상업지역</t>
        </is>
      </c>
      <c r="C1189" s="3" t="inlineStr">
        <is>
          <t>대</t>
        </is>
      </c>
      <c r="D1189" s="3" t="inlineStr">
        <is>
          <t>답</t>
        </is>
      </c>
      <c r="E1189" s="3" t="inlineStr">
        <is>
          <t>매매</t>
        </is>
      </c>
      <c r="F1189" s="4" t="n">
        <v>60000</v>
      </c>
      <c r="G1189" s="4" t="n">
        <v>2466</v>
      </c>
      <c r="H1189" s="4" t="n">
        <v>746</v>
      </c>
      <c r="I1189" s="5" t="n">
        <v>80.40000000000001</v>
      </c>
      <c r="J1189" s="4" t="n">
        <v>747.8</v>
      </c>
      <c r="K1189" s="3" t="inlineStr">
        <is>
          <t>4차선에접하고현재성토작업을완료하여전축하기용이함</t>
        </is>
      </c>
      <c r="L1189" s="6">
        <f>HYPERLINK("https://fin.land.naver.com/articles/2647784586", "매물Link")</f>
        <v/>
      </c>
      <c r="M1189" s="6">
        <f>HYPERLINK("https://map.naver.com/p/search/세종특별자치시 나성동 829", "지도Link")</f>
        <v/>
      </c>
      <c r="N1189" s="6">
        <f>HYPERLINK("http://www.eum.go.kr/web/ar/lu/luLandDet.jsp?pnu=3611010700108290000&amp;isNoScr=script&amp;mode=search", "토지이음")</f>
        <v/>
      </c>
      <c r="O1189" s="3" t="inlineStr">
        <is>
          <t>성안길</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세종특별자치시 나성동 829</t>
        </is>
      </c>
      <c r="B1190" s="3" t="inlineStr">
        <is>
          <t>중심상업지역</t>
        </is>
      </c>
      <c r="C1190" s="3" t="inlineStr">
        <is>
          <t>대</t>
        </is>
      </c>
      <c r="D1190" s="3" t="inlineStr">
        <is>
          <t>답</t>
        </is>
      </c>
      <c r="E1190" s="3" t="inlineStr">
        <is>
          <t>매매</t>
        </is>
      </c>
      <c r="F1190" s="4" t="n">
        <v>12000</v>
      </c>
      <c r="G1190" s="4" t="n">
        <v>1411</v>
      </c>
      <c r="H1190" s="4" t="n">
        <v>427</v>
      </c>
      <c r="I1190" s="5" t="n">
        <v>28.1</v>
      </c>
      <c r="J1190" s="4" t="n">
        <v>747.8</v>
      </c>
      <c r="K1190" s="3" t="inlineStr">
        <is>
          <t>1282 충북과학고등학교인근, 밭으로이용중, 주말농장가능</t>
        </is>
      </c>
      <c r="L1190" s="6">
        <f>HYPERLINK("https://fin.land.naver.com/articles/2648135384", "매물Link")</f>
        <v/>
      </c>
      <c r="M1190" s="6">
        <f>HYPERLINK("https://map.naver.com/p/search/세종특별자치시 나성동 829", "지도Link")</f>
        <v/>
      </c>
      <c r="N1190" s="6">
        <f>HYPERLINK("http://www.eum.go.kr/web/ar/lu/luLandDet.jsp?pnu=3611010700108290000&amp;isNoScr=script&amp;mode=search", "토지이음")</f>
        <v/>
      </c>
      <c r="O1190" s="3" t="inlineStr">
        <is>
          <t>길</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세종특별자치시 나성동 829</t>
        </is>
      </c>
      <c r="B1191" s="3" t="inlineStr">
        <is>
          <t>중심상업지역</t>
        </is>
      </c>
      <c r="C1191" s="3" t="inlineStr">
        <is>
          <t>대</t>
        </is>
      </c>
      <c r="D1191" s="3" t="inlineStr">
        <is>
          <t>전</t>
        </is>
      </c>
      <c r="E1191" s="3" t="inlineStr">
        <is>
          <t>매매</t>
        </is>
      </c>
      <c r="F1191" s="4" t="n">
        <v>25300</v>
      </c>
      <c r="G1191" s="4" t="n">
        <v>1327</v>
      </c>
      <c r="H1191" s="4" t="n">
        <v>401</v>
      </c>
      <c r="I1191" s="5" t="n">
        <v>63.1</v>
      </c>
      <c r="J1191" s="4" t="n">
        <v>747.8</v>
      </c>
      <c r="K1191" s="3" t="inlineStr">
        <is>
          <t>nan</t>
        </is>
      </c>
      <c r="L1191" s="6">
        <f>HYPERLINK("https://fin.land.naver.com/articles/2648165694", "매물Link")</f>
        <v/>
      </c>
      <c r="M1191" s="6">
        <f>HYPERLINK("https://map.naver.com/p/search/세종특별자치시 나성동 829", "지도Link")</f>
        <v/>
      </c>
      <c r="N1191" s="6">
        <f>HYPERLINK("http://www.eum.go.kr/web/ar/lu/luLandDet.jsp?pnu=3611010700108290000&amp;isNoScr=script&amp;mode=search", "토지이음")</f>
        <v/>
      </c>
      <c r="O1191" s="3" t="inlineStr">
        <is>
          <t>주성</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세종특별자치시 나성동 829</t>
        </is>
      </c>
      <c r="B1192" s="3" t="inlineStr">
        <is>
          <t>중심상업지역</t>
        </is>
      </c>
      <c r="C1192" s="3" t="inlineStr">
        <is>
          <t>대</t>
        </is>
      </c>
      <c r="D1192" s="3" t="inlineStr">
        <is>
          <t>전</t>
        </is>
      </c>
      <c r="E1192" s="3" t="inlineStr">
        <is>
          <t>매매</t>
        </is>
      </c>
      <c r="F1192" s="4" t="n">
        <v>30800</v>
      </c>
      <c r="G1192" s="4" t="n">
        <v>2916</v>
      </c>
      <c r="H1192" s="4" t="n">
        <v>882</v>
      </c>
      <c r="I1192" s="5" t="n">
        <v>34.9</v>
      </c>
      <c r="J1192" s="4" t="n">
        <v>747.8</v>
      </c>
      <c r="K1192" s="3" t="inlineStr">
        <is>
          <t>nan</t>
        </is>
      </c>
      <c r="L1192" s="6">
        <f>HYPERLINK("https://fin.land.naver.com/articles/2648519688", "매물Link")</f>
        <v/>
      </c>
      <c r="M1192" s="6">
        <f>HYPERLINK("https://map.naver.com/p/search/세종특별자치시 나성동 829", "지도Link")</f>
        <v/>
      </c>
      <c r="N1192" s="6">
        <f>HYPERLINK("http://www.eum.go.kr/web/ar/lu/luLandDet.jsp?pnu=3611010700108290000&amp;isNoScr=script&amp;mode=search", "토지이음")</f>
        <v/>
      </c>
      <c r="O1192" s="3" t="inlineStr">
        <is>
          <t>용암탑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세종특별자치시 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HYPERLINK("https://map.naver.com/p/search/세종특별자치시 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세종특별자치시 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HYPERLINK("https://map.naver.com/p/search/세종특별자치시 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세종특별자치시 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HYPERLINK("https://map.naver.com/p/search/세종특별자치시 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세종특별자치시 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HYPERLINK("https://map.naver.com/p/search/세종특별자치시 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세종특별자치시 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HYPERLINK("https://map.naver.com/p/search/세종특별자치시 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세종특별자치시 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HYPERLINK("https://map.naver.com/p/search/세종특별자치시 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세종특별자치시 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HYPERLINK("https://map.naver.com/p/search/세종특별자치시 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세종특별자치시 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HYPERLINK("https://map.naver.com/p/search/세종특별자치시 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세종특별자치시 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HYPERLINK("https://map.naver.com/p/search/세종특별자치시 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세종특별자치시 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HYPERLINK("https://map.naver.com/p/search/세종특별자치시 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세종특별자치시 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HYPERLINK("https://map.naver.com/p/search/세종특별자치시 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세종특별자치시 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HYPERLINK("https://map.naver.com/p/search/세종특별자치시 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세종특별자치시 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HYPERLINK("https://map.naver.com/p/search/세종특별자치시 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세종특별자치시 나성동 829</t>
        </is>
      </c>
      <c r="B1206" s="3" t="inlineStr">
        <is>
          <t>중심상업지역</t>
        </is>
      </c>
      <c r="C1206" s="3" t="inlineStr">
        <is>
          <t>대</t>
        </is>
      </c>
      <c r="D1206" s="3" t="inlineStr">
        <is>
          <t>대</t>
        </is>
      </c>
      <c r="E1206" s="3" t="inlineStr">
        <is>
          <t>매매</t>
        </is>
      </c>
      <c r="F1206" s="4" t="n">
        <v>11000</v>
      </c>
      <c r="G1206" s="4" t="n">
        <v>402</v>
      </c>
      <c r="H1206" s="4" t="n">
        <v>122</v>
      </c>
      <c r="I1206" s="5" t="n">
        <v>90.2</v>
      </c>
      <c r="J1206" s="4" t="n">
        <v>747.8</v>
      </c>
      <c r="K1206" s="3" t="inlineStr">
        <is>
          <t>공기좋은곳,주말농장,주말쉼터  추천해요.</t>
        </is>
      </c>
      <c r="L1206" s="6">
        <f>HYPERLINK("https://fin.land.naver.com/articles/2645310058", "매물Link")</f>
        <v/>
      </c>
      <c r="M1206" s="6">
        <f>HYPERLINK("https://map.naver.com/p/search/세종특별자치시 나성동 829", "지도Link")</f>
        <v/>
      </c>
      <c r="N1206" s="6">
        <f>HYPERLINK("http://www.eum.go.kr/web/ar/lu/luLandDet.jsp?pnu=3611010700108290000&amp;isNoScr=script&amp;mode=search", "토지이음")</f>
        <v/>
      </c>
      <c r="O1206" s="3" t="inlineStr">
        <is>
          <t>동남다온</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세종특별자치시 나성동 829</t>
        </is>
      </c>
      <c r="B1207" s="3" t="inlineStr">
        <is>
          <t>중심상업지역</t>
        </is>
      </c>
      <c r="C1207" s="3" t="inlineStr">
        <is>
          <t>대</t>
        </is>
      </c>
      <c r="D1207" s="3" t="inlineStr">
        <is>
          <t>전</t>
        </is>
      </c>
      <c r="E1207" s="3" t="inlineStr">
        <is>
          <t>매매</t>
        </is>
      </c>
      <c r="F1207" s="4" t="n">
        <v>167100</v>
      </c>
      <c r="G1207" s="4" t="n">
        <v>6499</v>
      </c>
      <c r="H1207" s="4" t="n">
        <v>1966</v>
      </c>
      <c r="I1207" s="5" t="n">
        <v>85</v>
      </c>
      <c r="J1207" s="4" t="n">
        <v>747.8</v>
      </c>
      <c r="K1207" s="3" t="inlineStr">
        <is>
          <t>조망최상</t>
        </is>
      </c>
      <c r="L1207" s="6">
        <f>HYPERLINK("https://fin.land.naver.com/articles/2649481602", "매물Link")</f>
        <v/>
      </c>
      <c r="M1207" s="6">
        <f>HYPERLINK("https://map.naver.com/p/search/세종특별자치시 나성동 829", "지도Link")</f>
        <v/>
      </c>
      <c r="N1207" s="6">
        <f>HYPERLINK("http://www.eum.go.kr/web/ar/lu/luLandDet.jsp?pnu=3611010700108290000&amp;isNoScr=script&amp;mode=search", "토지이음")</f>
        <v/>
      </c>
      <c r="O1207" s="3" t="inlineStr">
        <is>
          <t>LBA행운</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세종특별자치시 나성동 829</t>
        </is>
      </c>
      <c r="B1208" s="3" t="inlineStr">
        <is>
          <t>중심상업지역</t>
        </is>
      </c>
      <c r="C1208" s="3" t="inlineStr">
        <is>
          <t>대</t>
        </is>
      </c>
      <c r="D1208" s="3" t="inlineStr">
        <is>
          <t>전</t>
        </is>
      </c>
      <c r="E1208" s="3" t="inlineStr">
        <is>
          <t>매매</t>
        </is>
      </c>
      <c r="F1208" s="4" t="n">
        <v>12000</v>
      </c>
      <c r="G1208" s="4" t="n">
        <v>1233</v>
      </c>
      <c r="H1208" s="4" t="n">
        <v>373</v>
      </c>
      <c r="I1208" s="5" t="n">
        <v>32.2</v>
      </c>
      <c r="J1208" s="4" t="n">
        <v>747.8</v>
      </c>
      <c r="K1208" s="3" t="inlineStr">
        <is>
          <t>농막이 설치되어 있어 주말농장으로 추천</t>
        </is>
      </c>
      <c r="L1208" s="6">
        <f>HYPERLINK("https://fin.land.naver.com/articles/2647532975", "매물Link")</f>
        <v/>
      </c>
      <c r="M1208" s="6">
        <f>HYPERLINK("https://map.naver.com/p/search/세종특별자치시 나성동 829", "지도Link")</f>
        <v/>
      </c>
      <c r="N1208" s="6">
        <f>HYPERLINK("http://www.eum.go.kr/web/ar/lu/luLandDet.jsp?pnu=3611010700108290000&amp;isNoScr=script&amp;mode=search", "토지이음")</f>
        <v/>
      </c>
      <c r="O1208" s="3" t="inlineStr">
        <is>
          <t>산들</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세종특별자치시 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HYPERLINK("https://map.naver.com/p/search/세종특별자치시 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세종특별자치시 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HYPERLINK("https://map.naver.com/p/search/세종특별자치시 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세종특별자치시 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HYPERLINK("https://map.naver.com/p/search/세종특별자치시 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세종특별자치시 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HYPERLINK("https://map.naver.com/p/search/세종특별자치시 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세종특별자치시 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HYPERLINK("https://map.naver.com/p/search/세종특별자치시 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세종특별자치시 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HYPERLINK("https://map.naver.com/p/search/세종특별자치시 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세종특별자치시 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HYPERLINK("https://map.naver.com/p/search/세종특별자치시 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세종특별자치시 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HYPERLINK("https://map.naver.com/p/search/세종특별자치시 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세종특별자치시 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HYPERLINK("https://map.naver.com/p/search/세종특별자치시 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세종특별자치시 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HYPERLINK("https://map.naver.com/p/search/세종특별자치시 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세종특별자치시 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HYPERLINK("https://map.naver.com/p/search/세종특별자치시 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세종특별자치시 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HYPERLINK("https://map.naver.com/p/search/세종특별자치시 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세종특별자치시 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HYPERLINK("https://map.naver.com/p/search/세종특별자치시 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세종특별자치시 나성동 829</t>
        </is>
      </c>
      <c r="B1222" s="3" t="inlineStr">
        <is>
          <t>중심상업지역</t>
        </is>
      </c>
      <c r="C1222" s="3" t="inlineStr">
        <is>
          <t>대</t>
        </is>
      </c>
      <c r="D1222" s="3" t="inlineStr">
        <is>
          <t>전</t>
        </is>
      </c>
      <c r="E1222" s="3" t="inlineStr">
        <is>
          <t>매매</t>
        </is>
      </c>
      <c r="F1222" s="4" t="n">
        <v>6500</v>
      </c>
      <c r="G1222" s="4" t="n">
        <v>1316</v>
      </c>
      <c r="H1222" s="4" t="n">
        <v>398</v>
      </c>
      <c r="I1222" s="5" t="n">
        <v>16.3</v>
      </c>
      <c r="J1222" s="4" t="n">
        <v>747.8</v>
      </c>
      <c r="K1222" s="3" t="inlineStr">
        <is>
          <t>2차선근접,주말농장,산소자리</t>
        </is>
      </c>
      <c r="L1222" s="6">
        <f>HYPERLINK("https://fin.land.naver.com/articles/2648595983", "매물Link")</f>
        <v/>
      </c>
      <c r="M1222" s="6">
        <f>HYPERLINK("https://map.naver.com/p/search/세종특별자치시 나성동 829", "지도Link")</f>
        <v/>
      </c>
      <c r="N1222" s="6">
        <f>HYPERLINK("http://www.eum.go.kr/web/ar/lu/luLandDet.jsp?pnu=3611010700108290000&amp;isNoScr=script&amp;mode=search", "토지이음")</f>
        <v/>
      </c>
      <c r="O1222" s="3" t="inlineStr">
        <is>
          <t>창조</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세종특별자치시 나성동 829</t>
        </is>
      </c>
      <c r="B1223" s="3" t="inlineStr">
        <is>
          <t>중심상업지역</t>
        </is>
      </c>
      <c r="C1223" s="3" t="inlineStr">
        <is>
          <t>대</t>
        </is>
      </c>
      <c r="D1223" s="3" t="inlineStr">
        <is>
          <t>잡종지</t>
        </is>
      </c>
      <c r="E1223" s="3" t="inlineStr">
        <is>
          <t>매매</t>
        </is>
      </c>
      <c r="F1223" s="4" t="n">
        <v>30000</v>
      </c>
      <c r="G1223" s="4" t="n">
        <v>674</v>
      </c>
      <c r="H1223" s="4" t="n">
        <v>204</v>
      </c>
      <c r="I1223" s="5" t="n">
        <v>147.1</v>
      </c>
      <c r="J1223" s="4" t="n">
        <v>747.8</v>
      </c>
      <c r="K1223" s="3" t="inlineStr">
        <is>
          <t>계획관리지역 잡종지에 지은 철근콘크리트 구조 2층 단독주택</t>
        </is>
      </c>
      <c r="L1223" s="6">
        <f>HYPERLINK("https://fin.land.naver.com/articles/2647309666", "매물Link")</f>
        <v/>
      </c>
      <c r="M1223" s="6">
        <f>HYPERLINK("https://map.naver.com/p/search/세종특별자치시 나성동 829", "지도Link")</f>
        <v/>
      </c>
      <c r="N1223" s="6">
        <f>HYPERLINK("http://www.eum.go.kr/web/ar/lu/luLandDet.jsp?pnu=3611010700108290000&amp;isNoScr=script&amp;mode=search", "토지이음")</f>
        <v/>
      </c>
      <c r="O1223" s="3" t="inlineStr">
        <is>
          <t>정직한한국</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세종특별자치시 나성동 829</t>
        </is>
      </c>
      <c r="B1224" s="3" t="inlineStr">
        <is>
          <t>중심상업지역</t>
        </is>
      </c>
      <c r="C1224" s="3" t="inlineStr">
        <is>
          <t>대</t>
        </is>
      </c>
      <c r="D1224" s="3" t="inlineStr">
        <is>
          <t>답</t>
        </is>
      </c>
      <c r="E1224" s="3" t="inlineStr">
        <is>
          <t>매매</t>
        </is>
      </c>
      <c r="F1224" s="4" t="n">
        <v>193000</v>
      </c>
      <c r="G1224" s="4" t="n">
        <v>4553</v>
      </c>
      <c r="H1224" s="4" t="n">
        <v>1377</v>
      </c>
      <c r="I1224" s="5" t="n">
        <v>140.2</v>
      </c>
      <c r="J1224" s="4" t="n">
        <v>747.8</v>
      </c>
      <c r="K1224" s="3" t="inlineStr">
        <is>
          <t>nan</t>
        </is>
      </c>
      <c r="L1224" s="6">
        <f>HYPERLINK("https://fin.land.naver.com/articles/2648669404", "매물Link")</f>
        <v/>
      </c>
      <c r="M1224" s="6">
        <f>HYPERLINK("https://map.naver.com/p/search/세종특별자치시 나성동 829", "지도Link")</f>
        <v/>
      </c>
      <c r="N1224" s="6">
        <f>HYPERLINK("http://www.eum.go.kr/web/ar/lu/luLandDet.jsp?pnu=3611010700108290000&amp;isNoScr=script&amp;mode=search", "토지이음")</f>
        <v/>
      </c>
      <c r="O1224" s="3" t="inlineStr">
        <is>
          <t>교차로</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세종특별자치시 나성동 829</t>
        </is>
      </c>
      <c r="B1225" s="3" t="inlineStr">
        <is>
          <t>중심상업지역</t>
        </is>
      </c>
      <c r="C1225" s="3" t="inlineStr">
        <is>
          <t>대</t>
        </is>
      </c>
      <c r="D1225" s="3" t="inlineStr">
        <is>
          <t>임야</t>
        </is>
      </c>
      <c r="E1225" s="3" t="inlineStr">
        <is>
          <t>매매</t>
        </is>
      </c>
      <c r="F1225" s="4" t="n">
        <v>15600</v>
      </c>
      <c r="G1225" s="4" t="n">
        <v>435</v>
      </c>
      <c r="H1225" s="4" t="n">
        <v>132</v>
      </c>
      <c r="I1225" s="5" t="n">
        <v>118.2</v>
      </c>
      <c r="J1225" s="4" t="n">
        <v>747.8</v>
      </c>
      <c r="K1225" s="3" t="inlineStr">
        <is>
          <t>고은별마을 전원주택지 매매 고은리 전원주택지</t>
        </is>
      </c>
      <c r="L1225" s="6">
        <f>HYPERLINK("https://fin.land.naver.com/articles/2649047753", "매물Link")</f>
        <v/>
      </c>
      <c r="M1225" s="6">
        <f>HYPERLINK("https://map.naver.com/p/search/세종특별자치시 나성동 829", "지도Link")</f>
        <v/>
      </c>
      <c r="N1225" s="6">
        <f>HYPERLINK("http://www.eum.go.kr/web/ar/lu/luLandDet.jsp?pnu=3611010700108290000&amp;isNoScr=script&amp;mode=search", "토지이음")</f>
        <v/>
      </c>
      <c r="O1225" s="3" t="inlineStr">
        <is>
          <t>나인</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세종특별자치시 나성동 829</t>
        </is>
      </c>
      <c r="B1226" s="3" t="inlineStr">
        <is>
          <t>중심상업지역</t>
        </is>
      </c>
      <c r="C1226" s="3" t="inlineStr">
        <is>
          <t>대</t>
        </is>
      </c>
      <c r="D1226" s="3" t="inlineStr">
        <is>
          <t>전</t>
        </is>
      </c>
      <c r="E1226" s="3" t="inlineStr">
        <is>
          <t>매매</t>
        </is>
      </c>
      <c r="F1226" s="4" t="n">
        <v>25000</v>
      </c>
      <c r="G1226" s="4" t="n">
        <v>582</v>
      </c>
      <c r="H1226" s="4" t="n">
        <v>176</v>
      </c>
      <c r="I1226" s="5" t="n">
        <v>142</v>
      </c>
      <c r="J1226" s="4" t="n">
        <v>747.8</v>
      </c>
      <c r="K1226" s="3" t="inlineStr">
        <is>
          <t>3면도로 접,교통,공공편의시설 굿, 향후 개발가능성 높음.전원주택타운강추</t>
        </is>
      </c>
      <c r="L1226" s="6">
        <f>HYPERLINK("https://fin.land.naver.com/articles/2648441238", "매물Link")</f>
        <v/>
      </c>
      <c r="M1226" s="6">
        <f>HYPERLINK("https://map.naver.com/p/search/세종특별자치시 나성동 829", "지도Link")</f>
        <v/>
      </c>
      <c r="N1226" s="6">
        <f>HYPERLINK("http://www.eum.go.kr/web/ar/lu/luLandDet.jsp?pnu=3611010700108290000&amp;isNoScr=script&amp;mode=search", "토지이음")</f>
        <v/>
      </c>
      <c r="O1226" s="3" t="inlineStr">
        <is>
          <t>랜드마크</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세종특별자치시 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HYPERLINK("https://map.naver.com/p/search/세종특별자치시 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세종특별자치시 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HYPERLINK("https://map.naver.com/p/search/세종특별자치시 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세종특별자치시 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HYPERLINK("https://map.naver.com/p/search/세종특별자치시 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세종특별자치시 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HYPERLINK("https://map.naver.com/p/search/세종특별자치시 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세종특별자치시 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HYPERLINK("https://map.naver.com/p/search/세종특별자치시 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세종특별자치시 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HYPERLINK("https://map.naver.com/p/search/세종특별자치시 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세종특별자치시 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HYPERLINK("https://map.naver.com/p/search/세종특별자치시 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세종특별자치시 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HYPERLINK("https://map.naver.com/p/search/세종특별자치시 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세종특별자치시 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HYPERLINK("https://map.naver.com/p/search/세종특별자치시 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세종특별자치시 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HYPERLINK("https://map.naver.com/p/search/세종특별자치시 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세종특별자치시 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HYPERLINK("https://map.naver.com/p/search/세종특별자치시 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세종특별자치시 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HYPERLINK("https://map.naver.com/p/search/세종특별자치시 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세종특별자치시 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HYPERLINK("https://map.naver.com/p/search/세종특별자치시 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세종특별자치시 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HYPERLINK("https://map.naver.com/p/search/세종특별자치시 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세종특별자치시 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HYPERLINK("https://map.naver.com/p/search/세종특별자치시 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세종특별자치시 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HYPERLINK("https://map.naver.com/p/search/세종특별자치시 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세종특별자치시 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HYPERLINK("https://map.naver.com/p/search/세종특별자치시 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세종특별자치시 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HYPERLINK("https://map.naver.com/p/search/세종특별자치시 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세종특별자치시 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HYPERLINK("https://map.naver.com/p/search/세종특별자치시 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세종특별자치시 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HYPERLINK("https://map.naver.com/p/search/세종특별자치시 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세종특별자치시 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HYPERLINK("https://map.naver.com/p/search/세종특별자치시 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세종특별자치시 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HYPERLINK("https://map.naver.com/p/search/세종특별자치시 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세종특별자치시 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HYPERLINK("https://map.naver.com/p/search/세종특별자치시 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세종특별자치시 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HYPERLINK("https://map.naver.com/p/search/세종특별자치시 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세종특별자치시 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HYPERLINK("https://map.naver.com/p/search/세종특별자치시 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세종특별자치시 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HYPERLINK("https://map.naver.com/p/search/세종특별자치시 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세종특별자치시 나성동 829</t>
        </is>
      </c>
      <c r="B1253" s="3" t="inlineStr">
        <is>
          <t>중심상업지역</t>
        </is>
      </c>
      <c r="C1253" s="3" t="inlineStr">
        <is>
          <t>대</t>
        </is>
      </c>
      <c r="D1253" s="3" t="inlineStr">
        <is>
          <t>대</t>
        </is>
      </c>
      <c r="E1253" s="3" t="inlineStr">
        <is>
          <t>매매</t>
        </is>
      </c>
      <c r="F1253" s="4" t="n">
        <v>350000</v>
      </c>
      <c r="G1253" s="4" t="n">
        <v>1037</v>
      </c>
      <c r="H1253" s="4" t="n">
        <v>314</v>
      </c>
      <c r="I1253" s="5" t="n">
        <v>1114.6</v>
      </c>
      <c r="J1253" s="4" t="n">
        <v>747.8</v>
      </c>
      <c r="K1253" s="3" t="inlineStr">
        <is>
          <t>상업지역이며 오피스텔부지적함</t>
        </is>
      </c>
      <c r="L1253" s="6">
        <f>HYPERLINK("https://fin.land.naver.com/articles/2647181493", "매물Link")</f>
        <v/>
      </c>
      <c r="M1253" s="6">
        <f>HYPERLINK("https://map.naver.com/p/search/세종특별자치시 나성동 829", "지도Link")</f>
        <v/>
      </c>
      <c r="N1253" s="6">
        <f>HYPERLINK("http://www.eum.go.kr/web/ar/lu/luLandDet.jsp?pnu=3611010700108290000&amp;isNoScr=script&amp;mode=search", "토지이음")</f>
        <v/>
      </c>
      <c r="O1253" s="3" t="inlineStr">
        <is>
          <t>권덕사무소</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세종특별자치시 나성동 829</t>
        </is>
      </c>
      <c r="B1254" s="3" t="inlineStr">
        <is>
          <t>중심상업지역</t>
        </is>
      </c>
      <c r="C1254" s="3" t="inlineStr">
        <is>
          <t>대</t>
        </is>
      </c>
      <c r="D1254" s="3" t="inlineStr">
        <is>
          <t>전</t>
        </is>
      </c>
      <c r="E1254" s="3" t="inlineStr">
        <is>
          <t>매매</t>
        </is>
      </c>
      <c r="F1254" s="4" t="n">
        <v>16200</v>
      </c>
      <c r="G1254" s="4" t="n">
        <v>1988</v>
      </c>
      <c r="H1254" s="4" t="n">
        <v>601</v>
      </c>
      <c r="I1254" s="5" t="n">
        <v>27</v>
      </c>
      <c r="J1254" s="4" t="n">
        <v>747.8</v>
      </c>
      <c r="K1254" s="3" t="inlineStr">
        <is>
          <t>코너각지  투자 과수원 농막 추천</t>
        </is>
      </c>
      <c r="L1254" s="6">
        <f>HYPERLINK("https://fin.land.naver.com/articles/2646091608", "매물Link")</f>
        <v/>
      </c>
      <c r="M1254" s="6">
        <f>HYPERLINK("https://map.naver.com/p/search/세종특별자치시 나성동 829", "지도Link")</f>
        <v/>
      </c>
      <c r="N1254" s="6">
        <f>HYPERLINK("http://www.eum.go.kr/web/ar/lu/luLandDet.jsp?pnu=3611010700108290000&amp;isNoScr=script&amp;mode=search", "토지이음")</f>
        <v/>
      </c>
      <c r="O1254" s="3" t="inlineStr">
        <is>
          <t>우리동네</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세종특별자치시 나성동 829</t>
        </is>
      </c>
      <c r="B1255" s="3" t="inlineStr">
        <is>
          <t>중심상업지역</t>
        </is>
      </c>
      <c r="C1255" s="3" t="inlineStr">
        <is>
          <t>대</t>
        </is>
      </c>
      <c r="D1255" s="3" t="inlineStr">
        <is>
          <t>전</t>
        </is>
      </c>
      <c r="E1255" s="3" t="inlineStr">
        <is>
          <t>매매</t>
        </is>
      </c>
      <c r="F1255" s="4" t="n">
        <v>14200</v>
      </c>
      <c r="G1255" s="4" t="n">
        <v>3451</v>
      </c>
      <c r="H1255" s="4" t="n">
        <v>1044</v>
      </c>
      <c r="I1255" s="5" t="n">
        <v>13.6</v>
      </c>
      <c r="J1255" s="4" t="n">
        <v>747.8</v>
      </c>
      <c r="K1255" s="3" t="inlineStr">
        <is>
          <t>Point 농로 접하고 주변 환경 좋은 토지</t>
        </is>
      </c>
      <c r="L1255" s="6">
        <f>HYPERLINK("https://fin.land.naver.com/articles/2646508050", "매물Link")</f>
        <v/>
      </c>
      <c r="M1255" s="6">
        <f>HYPERLINK("https://map.naver.com/p/search/세종특별자치시 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세종특별자치시 나성동 829</t>
        </is>
      </c>
      <c r="B1256" s="3" t="inlineStr">
        <is>
          <t>중심상업지역</t>
        </is>
      </c>
      <c r="C1256" s="3" t="inlineStr">
        <is>
          <t>대</t>
        </is>
      </c>
      <c r="D1256" s="3" t="inlineStr">
        <is>
          <t>대</t>
        </is>
      </c>
      <c r="E1256" s="3" t="inlineStr">
        <is>
          <t>매매</t>
        </is>
      </c>
      <c r="F1256" s="4" t="n">
        <v>42000</v>
      </c>
      <c r="G1256" s="4" t="n">
        <v>3113</v>
      </c>
      <c r="H1256" s="4" t="n">
        <v>942</v>
      </c>
      <c r="I1256" s="5" t="n">
        <v>44.6</v>
      </c>
      <c r="J1256" s="4" t="n">
        <v>747.8</v>
      </c>
      <c r="K1256" s="3" t="inlineStr">
        <is>
          <t>하우스 5동 버섯 재배하실분 및 관련된 업종하실분</t>
        </is>
      </c>
      <c r="L1256" s="6">
        <f>HYPERLINK("https://fin.land.naver.com/articles/2647676933", "매물Link")</f>
        <v/>
      </c>
      <c r="M1256" s="6">
        <f>HYPERLINK("https://map.naver.com/p/search/세종특별자치시 나성동 829", "지도Link")</f>
        <v/>
      </c>
      <c r="N1256" s="6">
        <f>HYPERLINK("http://www.eum.go.kr/web/ar/lu/luLandDet.jsp?pnu=3611010700108290000&amp;isNoScr=script&amp;mode=search", "토지이음")</f>
        <v/>
      </c>
      <c r="O1256" s="3" t="inlineStr">
        <is>
          <t>열린호반</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세종특별자치시 나성동 829</t>
        </is>
      </c>
      <c r="B1257" s="3" t="inlineStr">
        <is>
          <t>중심상업지역</t>
        </is>
      </c>
      <c r="C1257" s="3" t="inlineStr">
        <is>
          <t>대</t>
        </is>
      </c>
      <c r="D1257" s="3" t="inlineStr">
        <is>
          <t>대</t>
        </is>
      </c>
      <c r="E1257" s="3" t="inlineStr">
        <is>
          <t>매매</t>
        </is>
      </c>
      <c r="F1257" s="4" t="n">
        <v>4800</v>
      </c>
      <c r="G1257" s="4" t="n">
        <v>248</v>
      </c>
      <c r="H1257" s="4" t="n">
        <v>75</v>
      </c>
      <c r="I1257" s="5" t="n">
        <v>64</v>
      </c>
      <c r="J1257" s="4" t="n">
        <v>747.8</v>
      </c>
      <c r="K1257" s="3" t="inlineStr">
        <is>
          <t>Point 구옥 있음, 도로 접근성 좋음, 대전세종청주 근교</t>
        </is>
      </c>
      <c r="L1257" s="6">
        <f>HYPERLINK("https://fin.land.naver.com/articles/2647899737", "매물Link")</f>
        <v/>
      </c>
      <c r="M1257" s="6">
        <f>HYPERLINK("https://map.naver.com/p/search/세종특별자치시 나성동 829", "지도Link")</f>
        <v/>
      </c>
      <c r="N1257" s="6">
        <f>HYPERLINK("http://www.eum.go.kr/web/ar/lu/luLandDet.jsp?pnu=3611010700108290000&amp;isNoScr=script&amp;mode=search", "토지이음")</f>
        <v/>
      </c>
      <c r="O1257" s="3" t="inlineStr">
        <is>
          <t>도마호반</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세종특별자치시 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HYPERLINK("https://map.naver.com/p/search/세종특별자치시 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세종특별자치시 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HYPERLINK("https://map.naver.com/p/search/세종특별자치시 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세종특별자치시 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HYPERLINK("https://map.naver.com/p/search/세종특별자치시 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세종특별자치시 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HYPERLINK("https://map.naver.com/p/search/세종특별자치시 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세종특별자치시 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HYPERLINK("https://map.naver.com/p/search/세종특별자치시 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세종특별자치시 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HYPERLINK("https://map.naver.com/p/search/세종특별자치시 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세종특별자치시 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HYPERLINK("https://map.naver.com/p/search/세종특별자치시 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세종특별자치시 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HYPERLINK("https://map.naver.com/p/search/세종특별자치시 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세종특별자치시 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HYPERLINK("https://map.naver.com/p/search/세종특별자치시 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세종특별자치시 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HYPERLINK("https://map.naver.com/p/search/세종특별자치시 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세종특별자치시 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HYPERLINK("https://map.naver.com/p/search/세종특별자치시 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세종특별자치시 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HYPERLINK("https://map.naver.com/p/search/세종특별자치시 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세종특별자치시 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HYPERLINK("https://map.naver.com/p/search/세종특별자치시 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세종특별자치시 나성동 829</t>
        </is>
      </c>
      <c r="B1271" s="3" t="inlineStr">
        <is>
          <t>중심상업지역</t>
        </is>
      </c>
      <c r="C1271" s="3" t="inlineStr">
        <is>
          <t>대</t>
        </is>
      </c>
      <c r="D1271" s="3" t="inlineStr">
        <is>
          <t>답</t>
        </is>
      </c>
      <c r="E1271" s="3" t="inlineStr">
        <is>
          <t>매매</t>
        </is>
      </c>
      <c r="F1271" s="4" t="n">
        <v>53600</v>
      </c>
      <c r="G1271" s="4" t="n">
        <v>3223</v>
      </c>
      <c r="H1271" s="4" t="n">
        <v>975</v>
      </c>
      <c r="I1271" s="5" t="n">
        <v>55</v>
      </c>
      <c r="J1271" s="4" t="n">
        <v>747.8</v>
      </c>
      <c r="K1271" s="3" t="inlineStr">
        <is>
          <t>청주시 상당구청 가까운 투자용 토지(하우스설치)</t>
        </is>
      </c>
      <c r="L1271" s="6">
        <f>HYPERLINK("https://fin.land.naver.com/articles/2646637139", "매물Link")</f>
        <v/>
      </c>
      <c r="M1271" s="6">
        <f>HYPERLINK("https://map.naver.com/p/search/세종특별자치시 나성동 829", "지도Link")</f>
        <v/>
      </c>
      <c r="N1271" s="6">
        <f>HYPERLINK("http://www.eum.go.kr/web/ar/lu/luLandDet.jsp?pnu=3611010700108290000&amp;isNoScr=script&amp;mode=search", "토지이음")</f>
        <v/>
      </c>
      <c r="O1271" s="3" t="inlineStr">
        <is>
          <t>청주114</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세종특별자치시 나성동 829</t>
        </is>
      </c>
      <c r="B1272" s="3" t="inlineStr">
        <is>
          <t>중심상업지역</t>
        </is>
      </c>
      <c r="C1272" s="3" t="inlineStr">
        <is>
          <t>대</t>
        </is>
      </c>
      <c r="D1272" s="3" t="inlineStr">
        <is>
          <t>임야</t>
        </is>
      </c>
      <c r="E1272" s="3" t="inlineStr">
        <is>
          <t>매매</t>
        </is>
      </c>
      <c r="F1272" s="4" t="n">
        <v>18000</v>
      </c>
      <c r="G1272" s="4" t="n">
        <v>357</v>
      </c>
      <c r="H1272" s="4" t="n">
        <v>108</v>
      </c>
      <c r="I1272" s="5" t="n">
        <v>166.7</v>
      </c>
      <c r="J1272" s="4" t="n">
        <v>747.8</v>
      </c>
      <c r="K1272" s="3" t="inlineStr">
        <is>
          <t>nan</t>
        </is>
      </c>
      <c r="L1272" s="6">
        <f>HYPERLINK("https://fin.land.naver.com/articles/2648704052", "매물Link")</f>
        <v/>
      </c>
      <c r="M1272" s="6">
        <f>HYPERLINK("https://map.naver.com/p/search/세종특별자치시 나성동 829", "지도Link")</f>
        <v/>
      </c>
      <c r="N1272" s="6">
        <f>HYPERLINK("http://www.eum.go.kr/web/ar/lu/luLandDet.jsp?pnu=3611010700108290000&amp;isNoScr=script&amp;mode=search", "토지이음")</f>
        <v/>
      </c>
      <c r="O1272" s="3" t="inlineStr">
        <is>
          <t>해뜨는  사무소</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세종특별자치시 나성동 829</t>
        </is>
      </c>
      <c r="B1273" s="3" t="inlineStr">
        <is>
          <t>중심상업지역</t>
        </is>
      </c>
      <c r="C1273" s="3" t="inlineStr">
        <is>
          <t>대</t>
        </is>
      </c>
      <c r="D1273" s="3" t="inlineStr">
        <is>
          <t>임야</t>
        </is>
      </c>
      <c r="E1273" s="3" t="inlineStr">
        <is>
          <t>매매</t>
        </is>
      </c>
      <c r="F1273" s="4" t="n">
        <v>18000</v>
      </c>
      <c r="G1273" s="4" t="n">
        <v>561</v>
      </c>
      <c r="H1273" s="4" t="n">
        <v>170</v>
      </c>
      <c r="I1273" s="5" t="n">
        <v>105.9</v>
      </c>
      <c r="J1273" s="4" t="n">
        <v>747.8</v>
      </c>
      <c r="K1273" s="3" t="inlineStr">
        <is>
          <t>저렴한가격 전원주택 지으실분 환영 도로 66m2 포함</t>
        </is>
      </c>
      <c r="L1273" s="6">
        <f>HYPERLINK("https://fin.land.naver.com/articles/2646480795", "매물Link")</f>
        <v/>
      </c>
      <c r="M1273" s="6">
        <f>HYPERLINK("https://map.naver.com/p/search/세종특별자치시 나성동 829", "지도Link")</f>
        <v/>
      </c>
      <c r="N1273" s="6">
        <f>HYPERLINK("http://www.eum.go.kr/web/ar/lu/luLandDet.jsp?pnu=3611010700108290000&amp;isNoScr=script&amp;mode=search", "토지이음")</f>
        <v/>
      </c>
      <c r="O1273" s="3" t="inlineStr">
        <is>
          <t>열린호반  사무소</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세종특별자치시 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HYPERLINK("https://map.naver.com/p/search/세종특별자치시 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세종특별자치시 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HYPERLINK("https://map.naver.com/p/search/세종특별자치시 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세종특별자치시 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HYPERLINK("https://map.naver.com/p/search/세종특별자치시 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세종특별자치시 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HYPERLINK("https://map.naver.com/p/search/세종특별자치시 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세종특별자치시 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HYPERLINK("https://map.naver.com/p/search/세종특별자치시 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세종특별자치시 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HYPERLINK("https://map.naver.com/p/search/세종특별자치시 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세종특별자치시 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HYPERLINK("https://map.naver.com/p/search/세종특별자치시 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세종특별자치시 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HYPERLINK("https://map.naver.com/p/search/세종특별자치시 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세종특별자치시 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HYPERLINK("https://map.naver.com/p/search/세종특별자치시 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세종특별자치시 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HYPERLINK("https://map.naver.com/p/search/세종특별자치시 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세종특별자치시 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HYPERLINK("https://map.naver.com/p/search/세종특별자치시 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세종특별자치시 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HYPERLINK("https://map.naver.com/p/search/세종특별자치시 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세종특별자치시 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HYPERLINK("https://map.naver.com/p/search/세종특별자치시 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세종특별자치시 나성동 829</t>
        </is>
      </c>
      <c r="B1287" s="3" t="inlineStr">
        <is>
          <t>중심상업지역</t>
        </is>
      </c>
      <c r="C1287" s="3" t="inlineStr">
        <is>
          <t>대</t>
        </is>
      </c>
      <c r="D1287" s="3" t="inlineStr">
        <is>
          <t>전</t>
        </is>
      </c>
      <c r="E1287" s="3" t="inlineStr">
        <is>
          <t>매매</t>
        </is>
      </c>
      <c r="F1287" s="4" t="n">
        <v>17500</v>
      </c>
      <c r="G1287" s="4" t="n">
        <v>3765</v>
      </c>
      <c r="H1287" s="4" t="n">
        <v>1139</v>
      </c>
      <c r="I1287" s="5" t="n">
        <v>15.4</v>
      </c>
      <c r="J1287" s="4" t="n">
        <v>747.8</v>
      </c>
      <c r="K1287" s="3" t="inlineStr">
        <is>
          <t>시세대비 저렴한 밭신탄10분</t>
        </is>
      </c>
      <c r="L1287" s="6">
        <f>HYPERLINK("https://fin.land.naver.com/articles/2648123019", "매물Link")</f>
        <v/>
      </c>
      <c r="M1287" s="6">
        <f>HYPERLINK("https://map.naver.com/p/search/세종특별자치시 나성동 829", "지도Link")</f>
        <v/>
      </c>
      <c r="N1287" s="6">
        <f>HYPERLINK("http://www.eum.go.kr/web/ar/lu/luLandDet.jsp?pnu=3611010700108290000&amp;isNoScr=script&amp;mode=search", "토지이음")</f>
        <v/>
      </c>
      <c r="O1287" s="3" t="inlineStr">
        <is>
          <t>우리동네</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세종특별자치시 나성동 829</t>
        </is>
      </c>
      <c r="B1288" s="3" t="inlineStr">
        <is>
          <t>중심상업지역</t>
        </is>
      </c>
      <c r="C1288" s="3" t="inlineStr">
        <is>
          <t>대</t>
        </is>
      </c>
      <c r="D1288" s="3" t="inlineStr">
        <is>
          <t>답</t>
        </is>
      </c>
      <c r="E1288" s="3" t="inlineStr">
        <is>
          <t>매매</t>
        </is>
      </c>
      <c r="F1288" s="4" t="n">
        <v>35000</v>
      </c>
      <c r="G1288" s="4" t="n">
        <v>2318</v>
      </c>
      <c r="H1288" s="4" t="n">
        <v>701</v>
      </c>
      <c r="I1288" s="5" t="n">
        <v>49.9</v>
      </c>
      <c r="J1288" s="4" t="n">
        <v>747.8</v>
      </c>
      <c r="K1288" s="3" t="inlineStr">
        <is>
          <t>양쪽도로접 농사지으실분 대토구하시는분, 투자하실분 추천~~</t>
        </is>
      </c>
      <c r="L1288" s="6">
        <f>HYPERLINK("https://fin.land.naver.com/articles/2646314361", "매물Link")</f>
        <v/>
      </c>
      <c r="M1288" s="6">
        <f>HYPERLINK("https://map.naver.com/p/search/세종특별자치시 나성동 829", "지도Link")</f>
        <v/>
      </c>
      <c r="N1288" s="6">
        <f>HYPERLINK("http://www.eum.go.kr/web/ar/lu/luLandDet.jsp?pnu=3611010700108290000&amp;isNoScr=script&amp;mode=search", "토지이음")</f>
        <v/>
      </c>
      <c r="O1288" s="3" t="inlineStr">
        <is>
          <t>신두꺼비</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세종특별자치시 나성동 829</t>
        </is>
      </c>
      <c r="B1289" s="3" t="inlineStr">
        <is>
          <t>중심상업지역</t>
        </is>
      </c>
      <c r="C1289" s="3" t="inlineStr">
        <is>
          <t>대</t>
        </is>
      </c>
      <c r="D1289" s="3" t="inlineStr">
        <is>
          <t>임야</t>
        </is>
      </c>
      <c r="E1289" s="3" t="inlineStr">
        <is>
          <t>매매</t>
        </is>
      </c>
      <c r="F1289" s="4" t="n">
        <v>160000</v>
      </c>
      <c r="G1289" s="4" t="n">
        <v>1967</v>
      </c>
      <c r="H1289" s="4" t="n">
        <v>595</v>
      </c>
      <c r="I1289" s="5" t="n">
        <v>268.9</v>
      </c>
      <c r="J1289" s="4" t="n">
        <v>747.8</v>
      </c>
      <c r="K1289" s="3" t="inlineStr">
        <is>
          <t>매매 강추  한 필지가 아닌 두 필지 상세 설명 필독</t>
        </is>
      </c>
      <c r="L1289" s="6">
        <f>HYPERLINK("https://fin.land.naver.com/articles/2647797622", "매물Link")</f>
        <v/>
      </c>
      <c r="M1289" s="6">
        <f>HYPERLINK("https://map.naver.com/p/search/세종특별자치시 나성동 829", "지도Link")</f>
        <v/>
      </c>
      <c r="N1289" s="6">
        <f>HYPERLINK("http://www.eum.go.kr/web/ar/lu/luLandDet.jsp?pnu=3611010700108290000&amp;isNoScr=script&amp;mode=search", "토지이음")</f>
        <v/>
      </c>
      <c r="O1289" s="3" t="inlineStr">
        <is>
          <t>오송퍼스트영웅</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세종특별자치시 나성동 829</t>
        </is>
      </c>
      <c r="B1290" s="3" t="inlineStr">
        <is>
          <t>중심상업지역</t>
        </is>
      </c>
      <c r="C1290" s="3" t="inlineStr">
        <is>
          <t>대</t>
        </is>
      </c>
      <c r="D1290" s="3" t="inlineStr">
        <is>
          <t>답</t>
        </is>
      </c>
      <c r="E1290" s="3" t="inlineStr">
        <is>
          <t>매매</t>
        </is>
      </c>
      <c r="F1290" s="4" t="n">
        <v>52000</v>
      </c>
      <c r="G1290" s="4" t="n">
        <v>6244</v>
      </c>
      <c r="H1290" s="4" t="n">
        <v>1889</v>
      </c>
      <c r="I1290" s="5" t="n">
        <v>27.5</v>
      </c>
      <c r="J1290" s="4" t="n">
        <v>747.8</v>
      </c>
      <c r="K1290" s="3" t="inlineStr">
        <is>
          <t>2차선 도로에 접한 농지</t>
        </is>
      </c>
      <c r="L1290" s="6">
        <f>HYPERLINK("https://fin.land.naver.com/articles/2647357961", "매물Link")</f>
        <v/>
      </c>
      <c r="M1290" s="6">
        <f>HYPERLINK("https://map.naver.com/p/search/세종특별자치시 나성동 829", "지도Link")</f>
        <v/>
      </c>
      <c r="N1290" s="6">
        <f>HYPERLINK("http://www.eum.go.kr/web/ar/lu/luLandDet.jsp?pnu=3611010700108290000&amp;isNoScr=script&amp;mode=search", "토지이음")</f>
        <v/>
      </c>
      <c r="O1290" s="3" t="inlineStr">
        <is>
          <t>연주영</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세종특별자치시 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HYPERLINK("https://map.naver.com/p/search/세종특별자치시 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세종특별자치시 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HYPERLINK("https://map.naver.com/p/search/세종특별자치시 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세종특별자치시 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HYPERLINK("https://map.naver.com/p/search/세종특별자치시 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세종특별자치시 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HYPERLINK("https://map.naver.com/p/search/세종특별자치시 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세종특별자치시 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HYPERLINK("https://map.naver.com/p/search/세종특별자치시 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세종특별자치시 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HYPERLINK("https://map.naver.com/p/search/세종특별자치시 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세종특별자치시 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HYPERLINK("https://map.naver.com/p/search/세종특별자치시 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세종특별자치시 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HYPERLINK("https://map.naver.com/p/search/세종특별자치시 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세종특별자치시 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HYPERLINK("https://map.naver.com/p/search/세종특별자치시 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세종특별자치시 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HYPERLINK("https://map.naver.com/p/search/세종특별자치시 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세종특별자치시 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HYPERLINK("https://map.naver.com/p/search/세종특별자치시 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세종특별자치시 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HYPERLINK("https://map.naver.com/p/search/세종특별자치시 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세종특별자치시 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HYPERLINK("https://map.naver.com/p/search/세종특별자치시 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세종특별자치시 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HYPERLINK("https://map.naver.com/p/search/세종특별자치시 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세종특별자치시 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HYPERLINK("https://map.naver.com/p/search/세종특별자치시 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세종특별자치시 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HYPERLINK("https://map.naver.com/p/search/세종특별자치시 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세종특별자치시 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HYPERLINK("https://map.naver.com/p/search/세종특별자치시 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세종특별자치시 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HYPERLINK("https://map.naver.com/p/search/세종특별자치시 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세종특별자치시 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HYPERLINK("https://map.naver.com/p/search/세종특별자치시 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세종특별자치시 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HYPERLINK("https://map.naver.com/p/search/세종특별자치시 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세종특별자치시 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HYPERLINK("https://map.naver.com/p/search/세종특별자치시 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세종특별자치시 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HYPERLINK("https://map.naver.com/p/search/세종특별자치시 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세종특별자치시 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HYPERLINK("https://map.naver.com/p/search/세종특별자치시 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세종특별자치시 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HYPERLINK("https://map.naver.com/p/search/세종특별자치시 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세종특별자치시 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HYPERLINK("https://map.naver.com/p/search/세종특별자치시 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세종특별자치시 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HYPERLINK("https://map.naver.com/p/search/세종특별자치시 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세종특별자치시 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HYPERLINK("https://map.naver.com/p/search/세종특별자치시 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세종특별자치시 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HYPERLINK("https://map.naver.com/p/search/세종특별자치시 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세종특별자치시 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HYPERLINK("https://map.naver.com/p/search/세종특별자치시 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세종특별자치시 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HYPERLINK("https://map.naver.com/p/search/세종특별자치시 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세종특별자치시 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HYPERLINK("https://map.naver.com/p/search/세종특별자치시 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세종특별자치시 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HYPERLINK("https://map.naver.com/p/search/세종특별자치시 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세종특별자치시 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HYPERLINK("https://map.naver.com/p/search/세종특별자치시 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세종특별자치시 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HYPERLINK("https://map.naver.com/p/search/세종특별자치시 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세종특별자치시 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HYPERLINK("https://map.naver.com/p/search/세종특별자치시 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세종특별자치시 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HYPERLINK("https://map.naver.com/p/search/세종특별자치시 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세종특별자치시 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HYPERLINK("https://map.naver.com/p/search/세종특별자치시 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세종특별자치시 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HYPERLINK("https://map.naver.com/p/search/세종특별자치시 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세종특별자치시 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HYPERLINK("https://map.naver.com/p/search/세종특별자치시 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세종특별자치시 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HYPERLINK("https://map.naver.com/p/search/세종특별자치시 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세종특별자치시 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HYPERLINK("https://map.naver.com/p/search/세종특별자치시 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세종특별자치시 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HYPERLINK("https://map.naver.com/p/search/세종특별자치시 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세종특별자치시 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HYPERLINK("https://map.naver.com/p/search/세종특별자치시 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세종특별자치시 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HYPERLINK("https://map.naver.com/p/search/세종특별자치시 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세종특별자치시 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HYPERLINK("https://map.naver.com/p/search/세종특별자치시 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세종특별자치시 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HYPERLINK("https://map.naver.com/p/search/세종특별자치시 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세종특별자치시 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HYPERLINK("https://map.naver.com/p/search/세종특별자치시 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세종특별자치시 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HYPERLINK("https://map.naver.com/p/search/세종특별자치시 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세종특별자치시 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HYPERLINK("https://map.naver.com/p/search/세종특별자치시 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세종특별자치시 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HYPERLINK("https://map.naver.com/p/search/세종특별자치시 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세종특별자치시 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HYPERLINK("https://map.naver.com/p/search/세종특별자치시 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세종특별자치시 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HYPERLINK("https://map.naver.com/p/search/세종특별자치시 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세종특별자치시 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HYPERLINK("https://map.naver.com/p/search/세종특별자치시 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세종특별자치시 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HYPERLINK("https://map.naver.com/p/search/세종특별자치시 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세종특별자치시 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HYPERLINK("https://map.naver.com/p/search/세종특별자치시 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세종특별자치시 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HYPERLINK("https://map.naver.com/p/search/세종특별자치시 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세종특별자치시 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HYPERLINK("https://map.naver.com/p/search/세종특별자치시 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세종특별자치시 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HYPERLINK("https://map.naver.com/p/search/세종특별자치시 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세종특별자치시 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HYPERLINK("https://map.naver.com/p/search/세종특별자치시 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세종특별자치시 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HYPERLINK("https://map.naver.com/p/search/세종특별자치시 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세종특별자치시 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HYPERLINK("https://map.naver.com/p/search/세종특별자치시 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세종특별자치시 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HYPERLINK("https://map.naver.com/p/search/세종특별자치시 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세종특별자치시 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HYPERLINK("https://map.naver.com/p/search/세종특별자치시 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세종특별자치시 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HYPERLINK("https://map.naver.com/p/search/세종특별자치시 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세종특별자치시 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HYPERLINK("https://map.naver.com/p/search/세종특별자치시 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세종특별자치시 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HYPERLINK("https://map.naver.com/p/search/세종특별자치시 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세종특별자치시 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HYPERLINK("https://map.naver.com/p/search/세종특별자치시 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세종특별자치시 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HYPERLINK("https://map.naver.com/p/search/세종특별자치시 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세종특별자치시 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HYPERLINK("https://map.naver.com/p/search/세종특별자치시 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세종특별자치시 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HYPERLINK("https://map.naver.com/p/search/세종특별자치시 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세종특별자치시 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HYPERLINK("https://map.naver.com/p/search/세종특별자치시 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세종특별자치시 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HYPERLINK("https://map.naver.com/p/search/세종특별자치시 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세종특별자치시 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HYPERLINK("https://map.naver.com/p/search/세종특별자치시 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세종특별자치시 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HYPERLINK("https://map.naver.com/p/search/세종특별자치시 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세종특별자치시 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HYPERLINK("https://map.naver.com/p/search/세종특별자치시 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세종특별자치시 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HYPERLINK("https://map.naver.com/p/search/세종특별자치시 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세종특별자치시 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HYPERLINK("https://map.naver.com/p/search/세종특별자치시 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세종특별자치시 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HYPERLINK("https://map.naver.com/p/search/세종특별자치시 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세종특별자치시 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HYPERLINK("https://map.naver.com/p/search/세종특별자치시 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세종특별자치시 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HYPERLINK("https://map.naver.com/p/search/세종특별자치시 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세종특별자치시 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HYPERLINK("https://map.naver.com/p/search/세종특별자치시 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세종특별자치시 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HYPERLINK("https://map.naver.com/p/search/세종특별자치시 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세종특별자치시 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HYPERLINK("https://map.naver.com/p/search/세종특별자치시 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세종특별자치시 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HYPERLINK("https://map.naver.com/p/search/세종특별자치시 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세종특별자치시 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HYPERLINK("https://map.naver.com/p/search/세종특별자치시 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세종특별자치시 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HYPERLINK("https://map.naver.com/p/search/세종특별자치시 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세종특별자치시 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HYPERLINK("https://map.naver.com/p/search/세종특별자치시 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세종특별자치시 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HYPERLINK("https://map.naver.com/p/search/세종특별자치시 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세종특별자치시 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HYPERLINK("https://map.naver.com/p/search/세종특별자치시 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세종특별자치시 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HYPERLINK("https://map.naver.com/p/search/세종특별자치시 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세종특별자치시 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HYPERLINK("https://map.naver.com/p/search/세종특별자치시 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세종특별자치시 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HYPERLINK("https://map.naver.com/p/search/세종특별자치시 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세종특별자치시 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HYPERLINK("https://map.naver.com/p/search/세종특별자치시 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세종특별자치시 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HYPERLINK("https://map.naver.com/p/search/세종특별자치시 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세종특별자치시 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HYPERLINK("https://map.naver.com/p/search/세종특별자치시 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세종특별자치시 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HYPERLINK("https://map.naver.com/p/search/세종특별자치시 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세종특별자치시 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HYPERLINK("https://map.naver.com/p/search/세종특별자치시 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세종특별자치시 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HYPERLINK("https://map.naver.com/p/search/세종특별자치시 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세종특별자치시 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HYPERLINK("https://map.naver.com/p/search/세종특별자치시 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세종특별자치시 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HYPERLINK("https://map.naver.com/p/search/세종특별자치시 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세종특별자치시 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HYPERLINK("https://map.naver.com/p/search/세종특별자치시 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세종특별자치시 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HYPERLINK("https://map.naver.com/p/search/세종특별자치시 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세종특별자치시 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HYPERLINK("https://map.naver.com/p/search/세종특별자치시 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세종특별자치시 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HYPERLINK("https://map.naver.com/p/search/세종특별자치시 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세종특별자치시 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HYPERLINK("https://map.naver.com/p/search/세종특별자치시 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세종특별자치시 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HYPERLINK("https://map.naver.com/p/search/세종특별자치시 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세종특별자치시 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HYPERLINK("https://map.naver.com/p/search/세종특별자치시 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세종특별자치시 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HYPERLINK("https://map.naver.com/p/search/세종특별자치시 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세종특별자치시 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HYPERLINK("https://map.naver.com/p/search/세종특별자치시 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세종특별자치시 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HYPERLINK("https://map.naver.com/p/search/세종특별자치시 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세종특별자치시 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HYPERLINK("https://map.naver.com/p/search/세종특별자치시 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세종특별자치시 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HYPERLINK("https://map.naver.com/p/search/세종특별자치시 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세종특별자치시 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HYPERLINK("https://map.naver.com/p/search/세종특별자치시 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세종특별자치시 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HYPERLINK("https://map.naver.com/p/search/세종특별자치시 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세종특별자치시 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HYPERLINK("https://map.naver.com/p/search/세종특별자치시 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세종특별자치시 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HYPERLINK("https://map.naver.com/p/search/세종특별자치시 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세종특별자치시 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HYPERLINK("https://map.naver.com/p/search/세종특별자치시 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세종특별자치시 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HYPERLINK("https://map.naver.com/p/search/세종특별자치시 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세종특별자치시 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HYPERLINK("https://map.naver.com/p/search/세종특별자치시 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세종특별자치시 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HYPERLINK("https://map.naver.com/p/search/세종특별자치시 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세종특별자치시 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HYPERLINK("https://map.naver.com/p/search/세종특별자치시 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세종특별자치시 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HYPERLINK("https://map.naver.com/p/search/세종특별자치시 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세종특별자치시 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HYPERLINK("https://map.naver.com/p/search/세종특별자치시 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세종특별자치시 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HYPERLINK("https://map.naver.com/p/search/세종특별자치시 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세종특별자치시 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HYPERLINK("https://map.naver.com/p/search/세종특별자치시 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세종특별자치시 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HYPERLINK("https://map.naver.com/p/search/세종특별자치시 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세종특별자치시 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HYPERLINK("https://map.naver.com/p/search/세종특별자치시 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세종특별자치시 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HYPERLINK("https://map.naver.com/p/search/세종특별자치시 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세종특별자치시 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HYPERLINK("https://map.naver.com/p/search/세종특별자치시 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세종특별자치시 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HYPERLINK("https://map.naver.com/p/search/세종특별자치시 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세종특별자치시 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HYPERLINK("https://map.naver.com/p/search/세종특별자치시 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세종특별자치시 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HYPERLINK("https://map.naver.com/p/search/세종특별자치시 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세종특별자치시 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HYPERLINK("https://map.naver.com/p/search/세종특별자치시 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세종특별자치시 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HYPERLINK("https://map.naver.com/p/search/세종특별자치시 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세종특별자치시 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HYPERLINK("https://map.naver.com/p/search/세종특별자치시 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세종특별자치시 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HYPERLINK("https://map.naver.com/p/search/세종특별자치시 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세종특별자치시 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HYPERLINK("https://map.naver.com/p/search/세종특별자치시 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세종특별자치시 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HYPERLINK("https://map.naver.com/p/search/세종특별자치시 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세종특별자치시 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HYPERLINK("https://map.naver.com/p/search/세종특별자치시 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세종특별자치시 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HYPERLINK("https://map.naver.com/p/search/세종특별자치시 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세종특별자치시 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HYPERLINK("https://map.naver.com/p/search/세종특별자치시 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세종특별자치시 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HYPERLINK("https://map.naver.com/p/search/세종특별자치시 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세종특별자치시 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HYPERLINK("https://map.naver.com/p/search/세종특별자치시 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세종특별자치시 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HYPERLINK("https://map.naver.com/p/search/세종특별자치시 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세종특별자치시 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HYPERLINK("https://map.naver.com/p/search/세종특별자치시 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세종특별자치시 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HYPERLINK("https://map.naver.com/p/search/세종특별자치시 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세종특별자치시 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HYPERLINK("https://map.naver.com/p/search/세종특별자치시 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세종특별자치시 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HYPERLINK("https://map.naver.com/p/search/세종특별자치시 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세종특별자치시 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HYPERLINK("https://map.naver.com/p/search/세종특별자치시 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세종특별자치시 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HYPERLINK("https://map.naver.com/p/search/세종특별자치시 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세종특별자치시 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HYPERLINK("https://map.naver.com/p/search/세종특별자치시 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세종특별자치시 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HYPERLINK("https://map.naver.com/p/search/세종특별자치시 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세종특별자치시 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HYPERLINK("https://map.naver.com/p/search/세종특별자치시 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세종특별자치시 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HYPERLINK("https://map.naver.com/p/search/세종특별자치시 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세종특별자치시 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HYPERLINK("https://map.naver.com/p/search/세종특별자치시 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세종특별자치시 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HYPERLINK("https://map.naver.com/p/search/세종특별자치시 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세종특별자치시 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HYPERLINK("https://map.naver.com/p/search/세종특별자치시 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세종특별자치시 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HYPERLINK("https://map.naver.com/p/search/세종특별자치시 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세종특별자치시 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HYPERLINK("https://map.naver.com/p/search/세종특별자치시 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세종특별자치시 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HYPERLINK("https://map.naver.com/p/search/세종특별자치시 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세종특별자치시 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HYPERLINK("https://map.naver.com/p/search/세종특별자치시 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세종특별자치시 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HYPERLINK("https://map.naver.com/p/search/세종특별자치시 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세종특별자치시 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HYPERLINK("https://map.naver.com/p/search/세종특별자치시 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세종특별자치시 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HYPERLINK("https://map.naver.com/p/search/세종특별자치시 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세종특별자치시 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HYPERLINK("https://map.naver.com/p/search/세종특별자치시 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세종특별자치시 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HYPERLINK("https://map.naver.com/p/search/세종특별자치시 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세종특별자치시 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HYPERLINK("https://map.naver.com/p/search/세종특별자치시 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세종특별자치시 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HYPERLINK("https://map.naver.com/p/search/세종특별자치시 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세종특별자치시 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HYPERLINK("https://map.naver.com/p/search/세종특별자치시 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세종특별자치시 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HYPERLINK("https://map.naver.com/p/search/세종특별자치시 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세종특별자치시 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HYPERLINK("https://map.naver.com/p/search/세종특별자치시 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세종특별자치시 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HYPERLINK("https://map.naver.com/p/search/세종특별자치시 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세종특별자치시 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HYPERLINK("https://map.naver.com/p/search/세종특별자치시 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세종특별자치시 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HYPERLINK("https://map.naver.com/p/search/세종특별자치시 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세종특별자치시 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HYPERLINK("https://map.naver.com/p/search/세종특별자치시 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세종특별자치시 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HYPERLINK("https://map.naver.com/p/search/세종특별자치시 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세종특별자치시 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HYPERLINK("https://map.naver.com/p/search/세종특별자치시 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세종특별자치시 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HYPERLINK("https://map.naver.com/p/search/세종특별자치시 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세종특별자치시 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HYPERLINK("https://map.naver.com/p/search/세종특별자치시 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세종특별자치시 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HYPERLINK("https://map.naver.com/p/search/세종특별자치시 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세종특별자치시 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HYPERLINK("https://map.naver.com/p/search/세종특별자치시 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세종특별자치시 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HYPERLINK("https://map.naver.com/p/search/세종특별자치시 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세종특별자치시 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HYPERLINK("https://map.naver.com/p/search/세종특별자치시 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세종특별자치시 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HYPERLINK("https://map.naver.com/p/search/세종특별자치시 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세종특별자치시 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HYPERLINK("https://map.naver.com/p/search/세종특별자치시 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세종특별자치시 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HYPERLINK("https://map.naver.com/p/search/세종특별자치시 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세종특별자치시 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HYPERLINK("https://map.naver.com/p/search/세종특별자치시 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세종특별자치시 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HYPERLINK("https://map.naver.com/p/search/세종특별자치시 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세종특별자치시 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HYPERLINK("https://map.naver.com/p/search/세종특별자치시 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세종특별자치시 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HYPERLINK("https://map.naver.com/p/search/세종특별자치시 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세종특별자치시 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HYPERLINK("https://map.naver.com/p/search/세종특별자치시 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세종특별자치시 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HYPERLINK("https://map.naver.com/p/search/세종특별자치시 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세종특별자치시 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HYPERLINK("https://map.naver.com/p/search/세종특별자치시 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세종특별자치시 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HYPERLINK("https://map.naver.com/p/search/세종특별자치시 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세종특별자치시 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HYPERLINK("https://map.naver.com/p/search/세종특별자치시 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세종특별자치시 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HYPERLINK("https://map.naver.com/p/search/세종특별자치시 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세종특별자치시 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HYPERLINK("https://map.naver.com/p/search/세종특별자치시 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세종특별자치시 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HYPERLINK("https://map.naver.com/p/search/세종특별자치시 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세종특별자치시 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HYPERLINK("https://map.naver.com/p/search/세종특별자치시 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세종특별자치시 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HYPERLINK("https://map.naver.com/p/search/세종특별자치시 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세종특별자치시 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HYPERLINK("https://map.naver.com/p/search/세종특별자치시 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세종특별자치시 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HYPERLINK("https://map.naver.com/p/search/세종특별자치시 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세종특별자치시 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HYPERLINK("https://map.naver.com/p/search/세종특별자치시 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세종특별자치시 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HYPERLINK("https://map.naver.com/p/search/세종특별자치시 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세종특별자치시 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HYPERLINK("https://map.naver.com/p/search/세종특별자치시 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세종특별자치시 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HYPERLINK("https://map.naver.com/p/search/세종특별자치시 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세종특별자치시 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HYPERLINK("https://map.naver.com/p/search/세종특별자치시 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세종특별자치시 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HYPERLINK("https://map.naver.com/p/search/세종특별자치시 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세종특별자치시 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HYPERLINK("https://map.naver.com/p/search/세종특별자치시 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세종특별자치시 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HYPERLINK("https://map.naver.com/p/search/세종특별자치시 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세종특별자치시 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HYPERLINK("https://map.naver.com/p/search/세종특별자치시 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세종특별자치시 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HYPERLINK("https://map.naver.com/p/search/세종특별자치시 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세종특별자치시 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HYPERLINK("https://map.naver.com/p/search/세종특별자치시 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세종특별자치시 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HYPERLINK("https://map.naver.com/p/search/세종특별자치시 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세종특별자치시 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HYPERLINK("https://map.naver.com/p/search/세종특별자치시 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세종특별자치시 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HYPERLINK("https://map.naver.com/p/search/세종특별자치시 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세종특별자치시 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HYPERLINK("https://map.naver.com/p/search/세종특별자치시 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세종특별자치시 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HYPERLINK("https://map.naver.com/p/search/세종특별자치시 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세종특별자치시 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HYPERLINK("https://map.naver.com/p/search/세종특별자치시 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세종특별자치시 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HYPERLINK("https://map.naver.com/p/search/세종특별자치시 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세종특별자치시 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HYPERLINK("https://map.naver.com/p/search/세종특별자치시 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세종특별자치시 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HYPERLINK("https://map.naver.com/p/search/세종특별자치시 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세종특별자치시 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HYPERLINK("https://map.naver.com/p/search/세종특별자치시 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세종특별자치시 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HYPERLINK("https://map.naver.com/p/search/세종특별자치시 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세종특별자치시 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HYPERLINK("https://map.naver.com/p/search/세종특별자치시 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세종특별자치시 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HYPERLINK("https://map.naver.com/p/search/세종특별자치시 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세종특별자치시 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HYPERLINK("https://map.naver.com/p/search/세종특별자치시 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세종특별자치시 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HYPERLINK("https://map.naver.com/p/search/세종특별자치시 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세종특별자치시 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HYPERLINK("https://map.naver.com/p/search/세종특별자치시 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세종특별자치시 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HYPERLINK("https://map.naver.com/p/search/세종특별자치시 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세종특별자치시 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HYPERLINK("https://map.naver.com/p/search/세종특별자치시 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세종특별자치시 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HYPERLINK("https://map.naver.com/p/search/세종특별자치시 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세종특별자치시 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HYPERLINK("https://map.naver.com/p/search/세종특별자치시 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세종특별자치시 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HYPERLINK("https://map.naver.com/p/search/세종특별자치시 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세종특별자치시 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HYPERLINK("https://map.naver.com/p/search/세종특별자치시 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세종특별자치시 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HYPERLINK("https://map.naver.com/p/search/세종특별자치시 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세종특별자치시 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HYPERLINK("https://map.naver.com/p/search/세종특별자치시 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세종특별자치시 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HYPERLINK("https://map.naver.com/p/search/세종특별자치시 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세종특별자치시 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HYPERLINK("https://map.naver.com/p/search/세종특별자치시 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세종특별자치시 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HYPERLINK("https://map.naver.com/p/search/세종특별자치시 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세종특별자치시 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HYPERLINK("https://map.naver.com/p/search/세종특별자치시 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세종특별자치시 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HYPERLINK("https://map.naver.com/p/search/세종특별자치시 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세종특별자치시 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HYPERLINK("https://map.naver.com/p/search/세종특별자치시 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세종특별자치시 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HYPERLINK("https://map.naver.com/p/search/세종특별자치시 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세종특별자치시 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HYPERLINK("https://map.naver.com/p/search/세종특별자치시 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세종특별자치시 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HYPERLINK("https://map.naver.com/p/search/세종특별자치시 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세종특별자치시 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HYPERLINK("https://map.naver.com/p/search/세종특별자치시 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세종특별자치시 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HYPERLINK("https://map.naver.com/p/search/세종특별자치시 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세종특별자치시 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HYPERLINK("https://map.naver.com/p/search/세종특별자치시 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세종특별자치시 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HYPERLINK("https://map.naver.com/p/search/세종특별자치시 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세종특별자치시 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HYPERLINK("https://map.naver.com/p/search/세종특별자치시 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세종특별자치시 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HYPERLINK("https://map.naver.com/p/search/세종특별자치시 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세종특별자치시 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HYPERLINK("https://map.naver.com/p/search/세종특별자치시 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세종특별자치시 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HYPERLINK("https://map.naver.com/p/search/세종특별자치시 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세종특별자치시 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HYPERLINK("https://map.naver.com/p/search/세종특별자치시 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세종특별자치시 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HYPERLINK("https://map.naver.com/p/search/세종특별자치시 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세종특별자치시 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HYPERLINK("https://map.naver.com/p/search/세종특별자치시 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세종특별자치시 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HYPERLINK("https://map.naver.com/p/search/세종특별자치시 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세종특별자치시 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HYPERLINK("https://map.naver.com/p/search/세종특별자치시 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세종특별자치시 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HYPERLINK("https://map.naver.com/p/search/세종특별자치시 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세종특별자치시 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HYPERLINK("https://map.naver.com/p/search/세종특별자치시 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세종특별자치시 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HYPERLINK("https://map.naver.com/p/search/세종특별자치시 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세종특별자치시 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HYPERLINK("https://map.naver.com/p/search/세종특별자치시 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세종특별자치시 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HYPERLINK("https://map.naver.com/p/search/세종특별자치시 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세종특별자치시 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HYPERLINK("https://map.naver.com/p/search/세종특별자치시 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세종특별자치시 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HYPERLINK("https://map.naver.com/p/search/세종특별자치시 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세종특별자치시 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HYPERLINK("https://map.naver.com/p/search/세종특별자치시 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세종특별자치시 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HYPERLINK("https://map.naver.com/p/search/세종특별자치시 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세종특별자치시 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HYPERLINK("https://map.naver.com/p/search/세종특별자치시 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세종특별자치시 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HYPERLINK("https://map.naver.com/p/search/세종특별자치시 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세종특별자치시 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HYPERLINK("https://map.naver.com/p/search/세종특별자치시 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세종특별자치시 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HYPERLINK("https://map.naver.com/p/search/세종특별자치시 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세종특별자치시 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HYPERLINK("https://map.naver.com/p/search/세종특별자치시 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세종특별자치시 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HYPERLINK("https://map.naver.com/p/search/세종특별자치시 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세종특별자치시 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HYPERLINK("https://map.naver.com/p/search/세종특별자치시 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세종특별자치시 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HYPERLINK("https://map.naver.com/p/search/세종특별자치시 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세종특별자치시 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HYPERLINK("https://map.naver.com/p/search/세종특별자치시 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세종특별자치시 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HYPERLINK("https://map.naver.com/p/search/세종특별자치시 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세종특별자치시 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HYPERLINK("https://map.naver.com/p/search/세종특별자치시 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세종특별자치시 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HYPERLINK("https://map.naver.com/p/search/세종특별자치시 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세종특별자치시 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HYPERLINK("https://map.naver.com/p/search/세종특별자치시 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세종특별자치시 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HYPERLINK("https://map.naver.com/p/search/세종특별자치시 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세종특별자치시 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HYPERLINK("https://map.naver.com/p/search/세종특별자치시 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세종특별자치시 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HYPERLINK("https://map.naver.com/p/search/세종특별자치시 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세종특별자치시 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HYPERLINK("https://map.naver.com/p/search/세종특별자치시 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세종특별자치시 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HYPERLINK("https://map.naver.com/p/search/세종특별자치시 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세종특별자치시 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HYPERLINK("https://map.naver.com/p/search/세종특별자치시 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세종특별자치시 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HYPERLINK("https://map.naver.com/p/search/세종특별자치시 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세종특별자치시 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HYPERLINK("https://map.naver.com/p/search/세종특별자치시 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세종특별자치시 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HYPERLINK("https://map.naver.com/p/search/세종특별자치시 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세종특별자치시 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HYPERLINK("https://map.naver.com/p/search/세종특별자치시 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세종특별자치시 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HYPERLINK("https://map.naver.com/p/search/세종특별자치시 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세종특별자치시 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HYPERLINK("https://map.naver.com/p/search/세종특별자치시 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세종특별자치시 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HYPERLINK("https://map.naver.com/p/search/세종특별자치시 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세종특별자치시 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HYPERLINK("https://map.naver.com/p/search/세종특별자치시 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세종특별자치시 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HYPERLINK("https://map.naver.com/p/search/세종특별자치시 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세종특별자치시 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HYPERLINK("https://map.naver.com/p/search/세종특별자치시 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세종특별자치시 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HYPERLINK("https://map.naver.com/p/search/세종특별자치시 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세종특별자치시 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HYPERLINK("https://map.naver.com/p/search/세종특별자치시 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세종특별자치시 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HYPERLINK("https://map.naver.com/p/search/세종특별자치시 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세종특별자치시 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HYPERLINK("https://map.naver.com/p/search/세종특별자치시 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세종특별자치시 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HYPERLINK("https://map.naver.com/p/search/세종특별자치시 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세종특별자치시 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HYPERLINK("https://map.naver.com/p/search/세종특별자치시 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세종특별자치시 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HYPERLINK("https://map.naver.com/p/search/세종특별자치시 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세종특별자치시 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HYPERLINK("https://map.naver.com/p/search/세종특별자치시 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세종특별자치시 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HYPERLINK("https://map.naver.com/p/search/세종특별자치시 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세종특별자치시 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HYPERLINK("https://map.naver.com/p/search/세종특별자치시 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세종특별자치시 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HYPERLINK("https://map.naver.com/p/search/세종특별자치시 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세종특별자치시 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HYPERLINK("https://map.naver.com/p/search/세종특별자치시 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세종특별자치시 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HYPERLINK("https://map.naver.com/p/search/세종특별자치시 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세종특별자치시 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HYPERLINK("https://map.naver.com/p/search/세종특별자치시 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세종특별자치시 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HYPERLINK("https://map.naver.com/p/search/세종특별자치시 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세종특별자치시 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HYPERLINK("https://map.naver.com/p/search/세종특별자치시 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세종특별자치시 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HYPERLINK("https://map.naver.com/p/search/세종특별자치시 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세종특별자치시 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HYPERLINK("https://map.naver.com/p/search/세종특별자치시 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세종특별자치시 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HYPERLINK("https://map.naver.com/p/search/세종특별자치시 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세종특별자치시 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HYPERLINK("https://map.naver.com/p/search/세종특별자치시 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세종특별자치시 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HYPERLINK("https://map.naver.com/p/search/세종특별자치시 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세종특별자치시 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HYPERLINK("https://map.naver.com/p/search/세종특별자치시 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세종특별자치시 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HYPERLINK("https://map.naver.com/p/search/세종특별자치시 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세종특별자치시 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HYPERLINK("https://map.naver.com/p/search/세종특별자치시 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세종특별자치시 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HYPERLINK("https://map.naver.com/p/search/세종특별자치시 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세종특별자치시 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HYPERLINK("https://map.naver.com/p/search/세종특별자치시 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세종특별자치시 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HYPERLINK("https://map.naver.com/p/search/세종특별자치시 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세종특별자치시 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HYPERLINK("https://map.naver.com/p/search/세종특별자치시 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세종특별자치시 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HYPERLINK("https://map.naver.com/p/search/세종특별자치시 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세종특별자치시 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HYPERLINK("https://map.naver.com/p/search/세종특별자치시 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세종특별자치시 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HYPERLINK("https://map.naver.com/p/search/세종특별자치시 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세종특별자치시 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HYPERLINK("https://map.naver.com/p/search/세종특별자치시 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세종특별자치시 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HYPERLINK("https://map.naver.com/p/search/세종특별자치시 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세종특별자치시 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HYPERLINK("https://map.naver.com/p/search/세종특별자치시 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세종특별자치시 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HYPERLINK("https://map.naver.com/p/search/세종특별자치시 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세종특별자치시 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HYPERLINK("https://map.naver.com/p/search/세종특별자치시 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세종특별자치시 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HYPERLINK("https://map.naver.com/p/search/세종특별자치시 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세종특별자치시 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HYPERLINK("https://map.naver.com/p/search/세종특별자치시 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세종특별자치시 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HYPERLINK("https://map.naver.com/p/search/세종특별자치시 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세종특별자치시 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HYPERLINK("https://map.naver.com/p/search/세종특별자치시 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세종특별자치시 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HYPERLINK("https://map.naver.com/p/search/세종특별자치시 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세종특별자치시 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HYPERLINK("https://map.naver.com/p/search/세종특별자치시 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세종특별자치시 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HYPERLINK("https://map.naver.com/p/search/세종특별자치시 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세종특별자치시 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HYPERLINK("https://map.naver.com/p/search/세종특별자치시 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세종특별자치시 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HYPERLINK("https://map.naver.com/p/search/세종특별자치시 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세종특별자치시 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HYPERLINK("https://map.naver.com/p/search/세종특별자치시 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세종특별자치시 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HYPERLINK("https://map.naver.com/p/search/세종특별자치시 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세종특별자치시 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HYPERLINK("https://map.naver.com/p/search/세종특별자치시 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세종특별자치시 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HYPERLINK("https://map.naver.com/p/search/세종특별자치시 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세종특별자치시 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HYPERLINK("https://map.naver.com/p/search/세종특별자치시 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세종특별자치시 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HYPERLINK("https://map.naver.com/p/search/세종특별자치시 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세종특별자치시 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HYPERLINK("https://map.naver.com/p/search/세종특별자치시 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세종특별자치시 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HYPERLINK("https://map.naver.com/p/search/세종특별자치시 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세종특별자치시 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HYPERLINK("https://map.naver.com/p/search/세종특별자치시 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세종특별자치시 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HYPERLINK("https://map.naver.com/p/search/세종특별자치시 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세종특별자치시 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HYPERLINK("https://map.naver.com/p/search/세종특별자치시 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세종특별자치시 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HYPERLINK("https://map.naver.com/p/search/세종특별자치시 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세종특별자치시 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HYPERLINK("https://map.naver.com/p/search/세종특별자치시 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세종특별자치시 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HYPERLINK("https://map.naver.com/p/search/세종특별자치시 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세종특별자치시 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HYPERLINK("https://map.naver.com/p/search/세종특별자치시 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세종특별자치시 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HYPERLINK("https://map.naver.com/p/search/세종특별자치시 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세종특별자치시 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HYPERLINK("https://map.naver.com/p/search/세종특별자치시 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세종특별자치시 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HYPERLINK("https://map.naver.com/p/search/세종특별자치시 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세종특별자치시 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HYPERLINK("https://map.naver.com/p/search/세종특별자치시 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세종특별자치시 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HYPERLINK("https://map.naver.com/p/search/세종특별자치시 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세종특별자치시 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HYPERLINK("https://map.naver.com/p/search/세종특별자치시 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세종특별자치시 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HYPERLINK("https://map.naver.com/p/search/세종특별자치시 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세종특별자치시 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HYPERLINK("https://map.naver.com/p/search/세종특별자치시 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세종특별자치시 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HYPERLINK("https://map.naver.com/p/search/세종특별자치시 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세종특별자치시 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HYPERLINK("https://map.naver.com/p/search/세종특별자치시 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세종특별자치시 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HYPERLINK("https://map.naver.com/p/search/세종특별자치시 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세종특별자치시 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HYPERLINK("https://map.naver.com/p/search/세종특별자치시 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세종특별자치시 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HYPERLINK("https://map.naver.com/p/search/세종특별자치시 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세종특별자치시 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HYPERLINK("https://map.naver.com/p/search/세종특별자치시 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세종특별자치시 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HYPERLINK("https://map.naver.com/p/search/세종특별자치시 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세종특별자치시 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HYPERLINK("https://map.naver.com/p/search/세종특별자치시 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세종특별자치시 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HYPERLINK("https://map.naver.com/p/search/세종특별자치시 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세종특별자치시 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HYPERLINK("https://map.naver.com/p/search/세종특별자치시 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세종특별자치시 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HYPERLINK("https://map.naver.com/p/search/세종특별자치시 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세종특별자치시 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HYPERLINK("https://map.naver.com/p/search/세종특별자치시 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세종특별자치시 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HYPERLINK("https://map.naver.com/p/search/세종특별자치시 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세종특별자치시 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HYPERLINK("https://map.naver.com/p/search/세종특별자치시 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세종특별자치시 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HYPERLINK("https://map.naver.com/p/search/세종특별자치시 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세종특별자치시 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HYPERLINK("https://map.naver.com/p/search/세종특별자치시 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세종특별자치시 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HYPERLINK("https://map.naver.com/p/search/세종특별자치시 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세종특별자치시 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HYPERLINK("https://map.naver.com/p/search/세종특별자치시 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세종특별자치시 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HYPERLINK("https://map.naver.com/p/search/세종특별자치시 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세종특별자치시 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HYPERLINK("https://map.naver.com/p/search/세종특별자치시 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세종특별자치시 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HYPERLINK("https://map.naver.com/p/search/세종특별자치시 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세종특별자치시 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HYPERLINK("https://map.naver.com/p/search/세종특별자치시 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세종특별자치시 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HYPERLINK("https://map.naver.com/p/search/세종특별자치시 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세종특별자치시 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HYPERLINK("https://map.naver.com/p/search/세종특별자치시 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세종특별자치시 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HYPERLINK("https://map.naver.com/p/search/세종특별자치시 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세종특별자치시 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HYPERLINK("https://map.naver.com/p/search/세종특별자치시 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세종특별자치시 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HYPERLINK("https://map.naver.com/p/search/세종특별자치시 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세종특별자치시 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HYPERLINK("https://map.naver.com/p/search/세종특별자치시 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세종특별자치시 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HYPERLINK("https://map.naver.com/p/search/세종특별자치시 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세종특별자치시 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HYPERLINK("https://map.naver.com/p/search/세종특별자치시 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세종특별자치시 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HYPERLINK("https://map.naver.com/p/search/세종특별자치시 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세종특별자치시 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HYPERLINK("https://map.naver.com/p/search/세종특별자치시 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세종특별자치시 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HYPERLINK("https://map.naver.com/p/search/세종특별자치시 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세종특별자치시 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HYPERLINK("https://map.naver.com/p/search/세종특별자치시 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세종특별자치시 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HYPERLINK("https://map.naver.com/p/search/세종특별자치시 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세종특별자치시 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HYPERLINK("https://map.naver.com/p/search/세종특별자치시 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세종특별자치시 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HYPERLINK("https://map.naver.com/p/search/세종특별자치시 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세종특별자치시 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HYPERLINK("https://map.naver.com/p/search/세종특별자치시 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세종특별자치시 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HYPERLINK("https://map.naver.com/p/search/세종특별자치시 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세종특별자치시 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HYPERLINK("https://map.naver.com/p/search/세종특별자치시 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세종특별자치시 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HYPERLINK("https://map.naver.com/p/search/세종특별자치시 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세종특별자치시 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HYPERLINK("https://map.naver.com/p/search/세종특별자치시 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세종특별자치시 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HYPERLINK("https://map.naver.com/p/search/세종특별자치시 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세종특별자치시 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HYPERLINK("https://map.naver.com/p/search/세종특별자치시 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세종특별자치시 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HYPERLINK("https://map.naver.com/p/search/세종특별자치시 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세종특별자치시 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HYPERLINK("https://map.naver.com/p/search/세종특별자치시 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세종특별자치시 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HYPERLINK("https://map.naver.com/p/search/세종특별자치시 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세종특별자치시 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HYPERLINK("https://map.naver.com/p/search/세종특별자치시 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세종특별자치시 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HYPERLINK("https://map.naver.com/p/search/세종특별자치시 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세종특별자치시 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HYPERLINK("https://map.naver.com/p/search/세종특별자치시 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세종특별자치시 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HYPERLINK("https://map.naver.com/p/search/세종특별자치시 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세종특별자치시 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HYPERLINK("https://map.naver.com/p/search/세종특별자치시 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세종특별자치시 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HYPERLINK("https://map.naver.com/p/search/세종특별자치시 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세종특별자치시 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HYPERLINK("https://map.naver.com/p/search/세종특별자치시 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세종특별자치시 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HYPERLINK("https://map.naver.com/p/search/세종특별자치시 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세종특별자치시 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HYPERLINK("https://map.naver.com/p/search/세종특별자치시 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세종특별자치시 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HYPERLINK("https://map.naver.com/p/search/세종특별자치시 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세종특별자치시 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HYPERLINK("https://map.naver.com/p/search/세종특별자치시 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세종특별자치시 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HYPERLINK("https://map.naver.com/p/search/세종특별자치시 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세종특별자치시 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HYPERLINK("https://map.naver.com/p/search/세종특별자치시 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세종특별자치시 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HYPERLINK("https://map.naver.com/p/search/세종특별자치시 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세종특별자치시 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HYPERLINK("https://map.naver.com/p/search/세종특별자치시 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세종특별자치시 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HYPERLINK("https://map.naver.com/p/search/세종특별자치시 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세종특별자치시 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HYPERLINK("https://map.naver.com/p/search/세종특별자치시 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세종특별자치시 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HYPERLINK("https://map.naver.com/p/search/세종특별자치시 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세종특별자치시 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HYPERLINK("https://map.naver.com/p/search/세종특별자치시 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세종특별자치시 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HYPERLINK("https://map.naver.com/p/search/세종특별자치시 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세종특별자치시 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HYPERLINK("https://map.naver.com/p/search/세종특별자치시 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세종특별자치시 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HYPERLINK("https://map.naver.com/p/search/세종특별자치시 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세종특별자치시 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HYPERLINK("https://map.naver.com/p/search/세종특별자치시 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세종특별자치시 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HYPERLINK("https://map.naver.com/p/search/세종특별자치시 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세종특별자치시 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HYPERLINK("https://map.naver.com/p/search/세종특별자치시 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세종특별자치시 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HYPERLINK("https://map.naver.com/p/search/세종특별자치시 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세종특별자치시 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HYPERLINK("https://map.naver.com/p/search/세종특별자치시 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세종특별자치시 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HYPERLINK("https://map.naver.com/p/search/세종특별자치시 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세종특별자치시 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HYPERLINK("https://map.naver.com/p/search/세종특별자치시 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세종특별자치시 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HYPERLINK("https://map.naver.com/p/search/세종특별자치시 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세종특별자치시 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HYPERLINK("https://map.naver.com/p/search/세종특별자치시 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세종특별자치시 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HYPERLINK("https://map.naver.com/p/search/세종특별자치시 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세종특별자치시 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HYPERLINK("https://map.naver.com/p/search/세종특별자치시 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세종특별자치시 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HYPERLINK("https://map.naver.com/p/search/세종특별자치시 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세종특별자치시 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HYPERLINK("https://map.naver.com/p/search/세종특별자치시 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세종특별자치시 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HYPERLINK("https://map.naver.com/p/search/세종특별자치시 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세종특별자치시 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HYPERLINK("https://map.naver.com/p/search/세종특별자치시 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세종특별자치시 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HYPERLINK("https://map.naver.com/p/search/세종특별자치시 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세종특별자치시 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HYPERLINK("https://map.naver.com/p/search/세종특별자치시 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세종특별자치시 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HYPERLINK("https://map.naver.com/p/search/세종특별자치시 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세종특별자치시 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HYPERLINK("https://map.naver.com/p/search/세종특별자치시 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세종특별자치시 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HYPERLINK("https://map.naver.com/p/search/세종특별자치시 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세종특별자치시 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HYPERLINK("https://map.naver.com/p/search/세종특별자치시 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세종특별자치시 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HYPERLINK("https://map.naver.com/p/search/세종특별자치시 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세종특별자치시 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HYPERLINK("https://map.naver.com/p/search/세종특별자치시 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세종특별자치시 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HYPERLINK("https://map.naver.com/p/search/세종특별자치시 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세종특별자치시 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HYPERLINK("https://map.naver.com/p/search/세종특별자치시 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세종특별자치시 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HYPERLINK("https://map.naver.com/p/search/세종특별자치시 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세종특별자치시 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HYPERLINK("https://map.naver.com/p/search/세종특별자치시 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세종특별자치시 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HYPERLINK("https://map.naver.com/p/search/세종특별자치시 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세종특별자치시 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HYPERLINK("https://map.naver.com/p/search/세종특별자치시 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세종특별자치시 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HYPERLINK("https://map.naver.com/p/search/세종특별자치시 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세종특별자치시 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HYPERLINK("https://map.naver.com/p/search/세종특별자치시 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세종특별자치시 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HYPERLINK("https://map.naver.com/p/search/세종특별자치시 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세종특별자치시 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HYPERLINK("https://map.naver.com/p/search/세종특별자치시 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세종특별자치시 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HYPERLINK("https://map.naver.com/p/search/세종특별자치시 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세종특별자치시 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HYPERLINK("https://map.naver.com/p/search/세종특별자치시 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세종특별자치시 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HYPERLINK("https://map.naver.com/p/search/세종특별자치시 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세종특별자치시 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HYPERLINK("https://map.naver.com/p/search/세종특별자치시 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세종특별자치시 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HYPERLINK("https://map.naver.com/p/search/세종특별자치시 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세종특별자치시 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HYPERLINK("https://map.naver.com/p/search/세종특별자치시 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세종특별자치시 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HYPERLINK("https://map.naver.com/p/search/세종특별자치시 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세종특별자치시 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HYPERLINK("https://map.naver.com/p/search/세종특별자치시 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세종특별자치시 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HYPERLINK("https://map.naver.com/p/search/세종특별자치시 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세종특별자치시 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HYPERLINK("https://map.naver.com/p/search/세종특별자치시 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세종특별자치시 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HYPERLINK("https://map.naver.com/p/search/세종특별자치시 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세종특별자치시 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HYPERLINK("https://map.naver.com/p/search/세종특별자치시 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세종특별자치시 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HYPERLINK("https://map.naver.com/p/search/세종특별자치시 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세종특별자치시 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HYPERLINK("https://map.naver.com/p/search/세종특별자치시 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세종특별자치시 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HYPERLINK("https://map.naver.com/p/search/세종특별자치시 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세종특별자치시 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HYPERLINK("https://map.naver.com/p/search/세종특별자치시 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세종특별자치시 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HYPERLINK("https://map.naver.com/p/search/세종특별자치시 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세종특별자치시 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HYPERLINK("https://map.naver.com/p/search/세종특별자치시 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세종특별자치시 나성동 829</t>
        </is>
      </c>
      <c r="B1776" s="3" t="inlineStr">
        <is>
          <t>중심상업지역</t>
        </is>
      </c>
      <c r="C1776" s="3" t="inlineStr">
        <is>
          <t>대</t>
        </is>
      </c>
      <c r="D1776" s="3" t="inlineStr">
        <is>
          <t>답</t>
        </is>
      </c>
      <c r="E1776" s="3" t="inlineStr">
        <is>
          <t>매매</t>
        </is>
      </c>
      <c r="F1776" s="4" t="n">
        <v>33000</v>
      </c>
      <c r="G1776" s="4" t="n">
        <v>1874</v>
      </c>
      <c r="H1776" s="4" t="n">
        <v>567</v>
      </c>
      <c r="I1776" s="5" t="n">
        <v>58.2</v>
      </c>
      <c r="J1776" s="4" t="n">
        <v>747.8</v>
      </c>
      <c r="K1776" s="3" t="inlineStr">
        <is>
          <t>nan</t>
        </is>
      </c>
      <c r="L1776" s="6">
        <f>HYPERLINK("https://fin.land.naver.com/articles/2649792825", "매물Link")</f>
        <v/>
      </c>
      <c r="M1776" s="6">
        <f>HYPERLINK("https://map.naver.com/p/search/세종특별자치시 나성동 829", "지도Link")</f>
        <v/>
      </c>
      <c r="N1776" s="6">
        <f>HYPERLINK("http://www.eum.go.kr/web/ar/lu/luLandDet.jsp?pnu=3611010700108290000&amp;isNoScr=script&amp;mode=search", "토지이음")</f>
        <v/>
      </c>
      <c r="O1776" s="3" t="inlineStr">
        <is>
          <t>바로</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세종특별자치시 나성동 829</t>
        </is>
      </c>
      <c r="B1777" s="3" t="inlineStr">
        <is>
          <t>중심상업지역</t>
        </is>
      </c>
      <c r="C1777" s="3" t="inlineStr">
        <is>
          <t>대</t>
        </is>
      </c>
      <c r="D1777" s="3" t="inlineStr">
        <is>
          <t>답</t>
        </is>
      </c>
      <c r="E1777" s="3" t="inlineStr">
        <is>
          <t>매매</t>
        </is>
      </c>
      <c r="F1777" s="4" t="n">
        <v>10000</v>
      </c>
      <c r="G1777" s="4" t="n">
        <v>878</v>
      </c>
      <c r="H1777" s="4" t="n">
        <v>266</v>
      </c>
      <c r="I1777" s="5" t="n">
        <v>37.6</v>
      </c>
      <c r="J1777" s="4" t="n">
        <v>747.8</v>
      </c>
      <c r="K1777" s="3" t="inlineStr">
        <is>
          <t>nan</t>
        </is>
      </c>
      <c r="L1777" s="6">
        <f>HYPERLINK("https://fin.land.naver.com/articles/2645322644", "매물Link")</f>
        <v/>
      </c>
      <c r="M1777" s="6">
        <f>HYPERLINK("https://map.naver.com/p/search/세종특별자치시 나성동 829", "지도Link")</f>
        <v/>
      </c>
      <c r="N1777" s="6">
        <f>HYPERLINK("http://www.eum.go.kr/web/ar/lu/luLandDet.jsp?pnu=3611010700108290000&amp;isNoScr=script&amp;mode=search", "토지이음")</f>
        <v/>
      </c>
      <c r="O1777" s="3" t="inlineStr">
        <is>
          <t>귀빈</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세종특별자치시 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HYPERLINK("https://map.naver.com/p/search/세종특별자치시 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세종특별자치시 나성동 829</t>
        </is>
      </c>
      <c r="B1779" s="3" t="inlineStr">
        <is>
          <t>중심상업지역</t>
        </is>
      </c>
      <c r="C1779" s="3" t="inlineStr">
        <is>
          <t>대</t>
        </is>
      </c>
      <c r="D1779" s="3" t="inlineStr">
        <is>
          <t>대</t>
        </is>
      </c>
      <c r="E1779" s="3" t="inlineStr">
        <is>
          <t>매매</t>
        </is>
      </c>
      <c r="F1779" s="4" t="n">
        <v>24000</v>
      </c>
      <c r="G1779" s="4" t="n">
        <v>701</v>
      </c>
      <c r="H1779" s="4" t="n">
        <v>212</v>
      </c>
      <c r="I1779" s="5" t="n">
        <v>113.2</v>
      </c>
      <c r="J1779" s="4" t="n">
        <v>747.8</v>
      </c>
      <c r="K1779" s="3" t="inlineStr">
        <is>
          <t>주중동 조용하고 위치 좋은 주택지와 농작물재배용도의 토지포함 매매이예요</t>
        </is>
      </c>
      <c r="L1779" s="6">
        <f>HYPERLINK("https://fin.land.naver.com/articles/2646569304", "매물Link")</f>
        <v/>
      </c>
      <c r="M1779" s="6">
        <f>HYPERLINK("https://map.naver.com/p/search/세종특별자치시 나성동 829", "지도Link")</f>
        <v/>
      </c>
      <c r="N1779" s="6">
        <f>HYPERLINK("http://www.eum.go.kr/web/ar/lu/luLandDet.jsp?pnu=3611010700108290000&amp;isNoScr=script&amp;mode=search", "토지이음")</f>
        <v/>
      </c>
      <c r="O1779" s="3" t="inlineStr">
        <is>
          <t>4989명품</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세종특별자치시 나성동 829</t>
        </is>
      </c>
      <c r="B1780" s="3" t="inlineStr">
        <is>
          <t>중심상업지역</t>
        </is>
      </c>
      <c r="C1780" s="3" t="inlineStr">
        <is>
          <t>대</t>
        </is>
      </c>
      <c r="D1780" s="3" t="inlineStr">
        <is>
          <t>전</t>
        </is>
      </c>
      <c r="E1780" s="3" t="inlineStr">
        <is>
          <t>매매</t>
        </is>
      </c>
      <c r="F1780" s="4" t="n">
        <v>47500</v>
      </c>
      <c r="G1780" s="4" t="n">
        <v>2242</v>
      </c>
      <c r="H1780" s="4" t="n">
        <v>678</v>
      </c>
      <c r="I1780" s="5" t="n">
        <v>70.09999999999999</v>
      </c>
      <c r="J1780" s="4" t="n">
        <v>747.8</v>
      </c>
      <c r="K1780" s="3" t="inlineStr">
        <is>
          <t>자연녹지 주말농장 농사용 투자용현황도로 있음, 분할매도 가능</t>
        </is>
      </c>
      <c r="L1780" s="6">
        <f>HYPERLINK("https://fin.land.naver.com/articles/2647420289", "매물Link")</f>
        <v/>
      </c>
      <c r="M1780" s="6">
        <f>HYPERLINK("https://map.naver.com/p/search/세종특별자치시 나성동 829", "지도Link")</f>
        <v/>
      </c>
      <c r="N1780" s="6">
        <f>HYPERLINK("http://www.eum.go.kr/web/ar/lu/luLandDet.jsp?pnu=3611010700108290000&amp;isNoScr=script&amp;mode=search", "토지이음")</f>
        <v/>
      </c>
      <c r="O1780" s="3" t="inlineStr">
        <is>
          <t>명문</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세종특별자치시 나성동 829</t>
        </is>
      </c>
      <c r="B1781" s="3" t="inlineStr">
        <is>
          <t>중심상업지역</t>
        </is>
      </c>
      <c r="C1781" s="3" t="inlineStr">
        <is>
          <t>대</t>
        </is>
      </c>
      <c r="D1781" s="3" t="inlineStr">
        <is>
          <t>답</t>
        </is>
      </c>
      <c r="E1781" s="3" t="inlineStr">
        <is>
          <t>매매</t>
        </is>
      </c>
      <c r="F1781" s="4" t="n">
        <v>66300</v>
      </c>
      <c r="G1781" s="4" t="n">
        <v>1290</v>
      </c>
      <c r="H1781" s="4" t="n">
        <v>390</v>
      </c>
      <c r="I1781" s="5" t="n">
        <v>170</v>
      </c>
      <c r="J1781" s="4" t="n">
        <v>747.8</v>
      </c>
      <c r="K1781" s="3" t="inlineStr">
        <is>
          <t>2차선도로첩2종제조허가득</t>
        </is>
      </c>
      <c r="L1781" s="6">
        <f>HYPERLINK("https://fin.land.naver.com/articles/2649957416", "매물Link")</f>
        <v/>
      </c>
      <c r="M1781" s="6">
        <f>HYPERLINK("https://map.naver.com/p/search/세종특별자치시 나성동 829", "지도Link")</f>
        <v/>
      </c>
      <c r="N1781" s="6">
        <f>HYPERLINK("http://www.eum.go.kr/web/ar/lu/luLandDet.jsp?pnu=3611010700108290000&amp;isNoScr=script&amp;mode=search", "토지이음")</f>
        <v/>
      </c>
      <c r="O1781" s="3" t="inlineStr">
        <is>
          <t>보석</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세종특별자치시 나성동 829</t>
        </is>
      </c>
      <c r="B1782" s="3" t="inlineStr">
        <is>
          <t>중심상업지역</t>
        </is>
      </c>
      <c r="C1782" s="3" t="inlineStr">
        <is>
          <t>대</t>
        </is>
      </c>
      <c r="D1782" s="3" t="inlineStr">
        <is>
          <t>전</t>
        </is>
      </c>
      <c r="E1782" s="3" t="inlineStr">
        <is>
          <t>매매</t>
        </is>
      </c>
      <c r="F1782" s="4" t="n">
        <v>72000</v>
      </c>
      <c r="G1782" s="4" t="n">
        <v>1185</v>
      </c>
      <c r="H1782" s="4" t="n">
        <v>358</v>
      </c>
      <c r="I1782" s="5" t="n">
        <v>201.1</v>
      </c>
      <c r="J1782" s="4" t="n">
        <v>747.8</v>
      </c>
      <c r="K1782" s="3" t="inlineStr">
        <is>
          <t>자연취락지구 건폐율 60%</t>
        </is>
      </c>
      <c r="L1782" s="6">
        <f>HYPERLINK("https://fin.land.naver.com/articles/2645151571", "매물Link")</f>
        <v/>
      </c>
      <c r="M1782" s="6">
        <f>HYPERLINK("https://map.naver.com/p/search/세종특별자치시 나성동 829", "지도Link")</f>
        <v/>
      </c>
      <c r="N1782" s="6">
        <f>HYPERLINK("http://www.eum.go.kr/web/ar/lu/luLandDet.jsp?pnu=3611010700108290000&amp;isNoScr=script&amp;mode=search", "토지이음")</f>
        <v/>
      </c>
      <c r="O1782" s="3" t="inlineStr">
        <is>
          <t>드리다</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세종특별자치시 나성동 829</t>
        </is>
      </c>
      <c r="B1783" s="3" t="inlineStr">
        <is>
          <t>중심상업지역</t>
        </is>
      </c>
      <c r="C1783" s="3" t="inlineStr">
        <is>
          <t>대</t>
        </is>
      </c>
      <c r="D1783" s="3" t="inlineStr">
        <is>
          <t>전</t>
        </is>
      </c>
      <c r="E1783" s="3" t="inlineStr">
        <is>
          <t>매매</t>
        </is>
      </c>
      <c r="F1783" s="4" t="n">
        <v>55000</v>
      </c>
      <c r="G1783" s="4" t="n">
        <v>2409</v>
      </c>
      <c r="H1783" s="4" t="n">
        <v>729</v>
      </c>
      <c r="I1783" s="5" t="n">
        <v>75.40000000000001</v>
      </c>
      <c r="J1783" s="4" t="n">
        <v>747.8</v>
      </c>
      <c r="K1783" s="3" t="inlineStr">
        <is>
          <t>nan</t>
        </is>
      </c>
      <c r="L1783" s="6">
        <f>HYPERLINK("https://fin.land.naver.com/articles/2646656448", "매물Link")</f>
        <v/>
      </c>
      <c r="M1783" s="6">
        <f>HYPERLINK("https://map.naver.com/p/search/세종특별자치시 나성동 829", "지도Link")</f>
        <v/>
      </c>
      <c r="N1783" s="6">
        <f>HYPERLINK("http://www.eum.go.kr/web/ar/lu/luLandDet.jsp?pnu=3611010700108290000&amp;isNoScr=script&amp;mode=search", "토지이음")</f>
        <v/>
      </c>
      <c r="O1783" s="3" t="inlineStr">
        <is>
          <t>덕성</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세종특별자치시 나성동 829</t>
        </is>
      </c>
      <c r="B1784" s="3" t="inlineStr">
        <is>
          <t>중심상업지역</t>
        </is>
      </c>
      <c r="C1784" s="3" t="inlineStr">
        <is>
          <t>대</t>
        </is>
      </c>
      <c r="D1784" s="3" t="inlineStr">
        <is>
          <t>전</t>
        </is>
      </c>
      <c r="E1784" s="3" t="inlineStr">
        <is>
          <t>매매</t>
        </is>
      </c>
      <c r="F1784" s="4" t="n">
        <v>33200</v>
      </c>
      <c r="G1784" s="4" t="n">
        <v>1100</v>
      </c>
      <c r="H1784" s="4" t="n">
        <v>333</v>
      </c>
      <c r="I1784" s="5" t="n">
        <v>99.7</v>
      </c>
      <c r="J1784" s="4" t="n">
        <v>747.8</v>
      </c>
      <c r="K1784" s="3" t="inlineStr">
        <is>
          <t>투자로 추천</t>
        </is>
      </c>
      <c r="L1784" s="6">
        <f>HYPERLINK("https://fin.land.naver.com/articles/2645146631", "매물Link")</f>
        <v/>
      </c>
      <c r="M1784" s="6">
        <f>HYPERLINK("https://map.naver.com/p/search/세종특별자치시 나성동 829", "지도Link")</f>
        <v/>
      </c>
      <c r="N1784" s="6">
        <f>HYPERLINK("http://www.eum.go.kr/web/ar/lu/luLandDet.jsp?pnu=3611010700108290000&amp;isNoScr=script&amp;mode=search", "토지이음")</f>
        <v/>
      </c>
      <c r="O1784" s="3" t="inlineStr">
        <is>
          <t>보석</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세종특별자치시 나성동 829</t>
        </is>
      </c>
      <c r="B1785" s="3" t="inlineStr">
        <is>
          <t>중심상업지역</t>
        </is>
      </c>
      <c r="C1785" s="3" t="inlineStr">
        <is>
          <t>대</t>
        </is>
      </c>
      <c r="D1785" s="3" t="inlineStr">
        <is>
          <t>전</t>
        </is>
      </c>
      <c r="E1785" s="3" t="inlineStr">
        <is>
          <t>매매</t>
        </is>
      </c>
      <c r="F1785" s="4" t="n">
        <v>110000</v>
      </c>
      <c r="G1785" s="4" t="n">
        <v>1653</v>
      </c>
      <c r="H1785" s="4" t="n">
        <v>500</v>
      </c>
      <c r="I1785" s="5" t="n">
        <v>220</v>
      </c>
      <c r="J1785" s="4" t="n">
        <v>747.8</v>
      </c>
      <c r="K1785" s="3" t="inlineStr">
        <is>
          <t>청원구 주성동 충북경찰청 부근에 위치한 모양좋은 토지입니다</t>
        </is>
      </c>
      <c r="L1785" s="6">
        <f>HYPERLINK("https://fin.land.naver.com/articles/2647078096", "매물Link")</f>
        <v/>
      </c>
      <c r="M1785" s="6">
        <f>HYPERLINK("https://map.naver.com/p/search/세종특별자치시 나성동 829", "지도Link")</f>
        <v/>
      </c>
      <c r="N1785" s="6">
        <f>HYPERLINK("http://www.eum.go.kr/web/ar/lu/luLandDet.jsp?pnu=3611010700108290000&amp;isNoScr=script&amp;mode=search", "토지이음")</f>
        <v/>
      </c>
      <c r="O1785" s="3" t="inlineStr">
        <is>
          <t>지구촌무소</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세종특별자치시 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HYPERLINK("https://map.naver.com/p/search/세종특별자치시 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세종특별자치시 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HYPERLINK("https://map.naver.com/p/search/세종특별자치시 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세종특별자치시 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HYPERLINK("https://map.naver.com/p/search/세종특별자치시 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세종특별자치시 나성동 829</t>
        </is>
      </c>
      <c r="B1789" s="3" t="inlineStr">
        <is>
          <t>중심상업지역</t>
        </is>
      </c>
      <c r="C1789" s="3" t="inlineStr">
        <is>
          <t>대</t>
        </is>
      </c>
      <c r="D1789" s="3" t="inlineStr">
        <is>
          <t>전</t>
        </is>
      </c>
      <c r="E1789" s="3" t="inlineStr">
        <is>
          <t>매매</t>
        </is>
      </c>
      <c r="F1789" s="4" t="n">
        <v>380000</v>
      </c>
      <c r="G1789" s="4" t="n">
        <v>3760</v>
      </c>
      <c r="H1789" s="4" t="n">
        <v>1137</v>
      </c>
      <c r="I1789" s="5" t="n">
        <v>334.2</v>
      </c>
      <c r="J1789" s="4" t="n">
        <v>747.8</v>
      </c>
      <c r="K1789" s="3" t="inlineStr">
        <is>
          <t>nan</t>
        </is>
      </c>
      <c r="L1789" s="6">
        <f>HYPERLINK("https://fin.land.naver.com/articles/2648225153", "매물Link")</f>
        <v/>
      </c>
      <c r="M1789" s="6">
        <f>HYPERLINK("https://map.naver.com/p/search/세종특별자치시 나성동 829", "지도Link")</f>
        <v/>
      </c>
      <c r="N1789" s="6">
        <f>HYPERLINK("http://www.eum.go.kr/web/ar/lu/luLandDet.jsp?pnu=3611010700108290000&amp;isNoScr=script&amp;mode=search", "토지이음")</f>
        <v/>
      </c>
      <c r="O1789" s="3" t="inlineStr">
        <is>
          <t>좋은터</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세종특별자치시 나성동 829</t>
        </is>
      </c>
      <c r="B1790" s="3" t="inlineStr">
        <is>
          <t>중심상업지역</t>
        </is>
      </c>
      <c r="C1790" s="3" t="inlineStr">
        <is>
          <t>대</t>
        </is>
      </c>
      <c r="D1790" s="3" t="inlineStr">
        <is>
          <t>전</t>
        </is>
      </c>
      <c r="E1790" s="3" t="inlineStr">
        <is>
          <t>매매</t>
        </is>
      </c>
      <c r="F1790" s="4" t="n">
        <v>106000</v>
      </c>
      <c r="G1790" s="4" t="n">
        <v>2346</v>
      </c>
      <c r="H1790" s="4" t="n">
        <v>710</v>
      </c>
      <c r="I1790" s="5" t="n">
        <v>149.3</v>
      </c>
      <c r="J1790" s="4" t="n">
        <v>747.8</v>
      </c>
      <c r="K1790" s="3" t="inlineStr">
        <is>
          <t>자연녹지 전원주택지 주말농장 창고 투자용등분할매도 가능</t>
        </is>
      </c>
      <c r="L1790" s="6">
        <f>HYPERLINK("https://fin.land.naver.com/articles/2644028414", "매물Link")</f>
        <v/>
      </c>
      <c r="M1790" s="6">
        <f>HYPERLINK("https://map.naver.com/p/search/세종특별자치시 나성동 829", "지도Link")</f>
        <v/>
      </c>
      <c r="N1790" s="6">
        <f>HYPERLINK("http://www.eum.go.kr/web/ar/lu/luLandDet.jsp?pnu=3611010700108290000&amp;isNoScr=script&amp;mode=search", "토지이음")</f>
        <v/>
      </c>
      <c r="O1790" s="3" t="inlineStr">
        <is>
          <t>명문</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세종특별자치시 나성동 829</t>
        </is>
      </c>
      <c r="B1791" s="3" t="inlineStr">
        <is>
          <t>중심상업지역</t>
        </is>
      </c>
      <c r="C1791" s="3" t="inlineStr">
        <is>
          <t>대</t>
        </is>
      </c>
      <c r="D1791" s="3" t="inlineStr">
        <is>
          <t>전</t>
        </is>
      </c>
      <c r="E1791" s="3" t="inlineStr">
        <is>
          <t>매매</t>
        </is>
      </c>
      <c r="F1791" s="4" t="n">
        <v>3000</v>
      </c>
      <c r="G1791" s="4" t="n">
        <v>181</v>
      </c>
      <c r="H1791" s="4" t="n">
        <v>55</v>
      </c>
      <c r="I1791" s="5" t="n">
        <v>54.5</v>
      </c>
      <c r="J1791" s="4" t="n">
        <v>747.8</v>
      </c>
      <c r="K1791" s="3" t="inlineStr">
        <is>
          <t>도심 텃밭 주말농장용 토지</t>
        </is>
      </c>
      <c r="L1791" s="6">
        <f>HYPERLINK("https://fin.land.naver.com/articles/2649770085", "매물Link")</f>
        <v/>
      </c>
      <c r="M1791" s="6">
        <f>HYPERLINK("https://map.naver.com/p/search/세종특별자치시 나성동 829", "지도Link")</f>
        <v/>
      </c>
      <c r="N1791" s="6">
        <f>HYPERLINK("http://www.eum.go.kr/web/ar/lu/luLandDet.jsp?pnu=3611010700108290000&amp;isNoScr=script&amp;mode=search", "토지이음")</f>
        <v/>
      </c>
      <c r="O1791" s="3" t="inlineStr">
        <is>
          <t>김하연</t>
        </is>
      </c>
      <c r="P1791" s="3" t="n">
        <v>2</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세종특별자치시 나성동 829</t>
        </is>
      </c>
      <c r="B1792" s="3" t="inlineStr">
        <is>
          <t>중심상업지역</t>
        </is>
      </c>
      <c r="C1792" s="3" t="inlineStr">
        <is>
          <t>대</t>
        </is>
      </c>
      <c r="D1792" s="3" t="inlineStr">
        <is>
          <t>대</t>
        </is>
      </c>
      <c r="E1792" s="3" t="inlineStr">
        <is>
          <t>매매</t>
        </is>
      </c>
      <c r="F1792" s="4" t="n">
        <v>70000</v>
      </c>
      <c r="G1792" s="4" t="n">
        <v>240</v>
      </c>
      <c r="H1792" s="4" t="n">
        <v>73</v>
      </c>
      <c r="I1792" s="5" t="n">
        <v>958.9</v>
      </c>
      <c r="J1792" s="4" t="n">
        <v>747.8</v>
      </c>
      <c r="K1792" s="3" t="inlineStr">
        <is>
          <t>nan</t>
        </is>
      </c>
      <c r="L1792" s="6">
        <f>HYPERLINK("https://fin.land.naver.com/articles/2649191858", "매물Link")</f>
        <v/>
      </c>
      <c r="M1792" s="6">
        <f>HYPERLINK("https://map.naver.com/p/search/세종특별자치시 나성동 829", "지도Link")</f>
        <v/>
      </c>
      <c r="N1792" s="6">
        <f>HYPERLINK("http://www.eum.go.kr/web/ar/lu/luLandDet.jsp?pnu=3611010700108290000&amp;isNoScr=script&amp;mode=search", "토지이음")</f>
        <v/>
      </c>
      <c r="O1792" s="3" t="inlineStr">
        <is>
          <t>양지푸르지오</t>
        </is>
      </c>
      <c r="P1792" s="3" t="n">
        <v>1</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세종특별자치시 나성동 829</t>
        </is>
      </c>
      <c r="B1793" s="3" t="inlineStr">
        <is>
          <t>중심상업지역</t>
        </is>
      </c>
      <c r="C1793" s="3" t="inlineStr">
        <is>
          <t>대</t>
        </is>
      </c>
      <c r="D1793" s="3" t="inlineStr">
        <is>
          <t>답</t>
        </is>
      </c>
      <c r="E1793" s="3" t="inlineStr">
        <is>
          <t>매매</t>
        </is>
      </c>
      <c r="F1793" s="4" t="n">
        <v>22000</v>
      </c>
      <c r="G1793" s="4" t="n">
        <v>3065</v>
      </c>
      <c r="H1793" s="4" t="n">
        <v>927</v>
      </c>
      <c r="I1793" s="5" t="n">
        <v>23.7</v>
      </c>
      <c r="J1793" s="4" t="n">
        <v>747.8</v>
      </c>
      <c r="K1793" s="3" t="inlineStr">
        <is>
          <t>nan</t>
        </is>
      </c>
      <c r="L1793" s="6">
        <f>HYPERLINK("https://fin.land.naver.com/articles/2646656379", "매물Link")</f>
        <v/>
      </c>
      <c r="M1793" s="6">
        <f>HYPERLINK("https://map.naver.com/p/search/세종특별자치시 나성동 829", "지도Link")</f>
        <v/>
      </c>
      <c r="N1793" s="6">
        <f>HYPERLINK("http://www.eum.go.kr/web/ar/lu/luLandDet.jsp?pnu=3611010700108290000&amp;isNoScr=script&amp;mode=search", "토지이음")</f>
        <v/>
      </c>
      <c r="O1793" s="3" t="inlineStr">
        <is>
          <t>덕성</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세종특별자치시 나성동 829</t>
        </is>
      </c>
      <c r="B1794" s="3" t="inlineStr">
        <is>
          <t>중심상업지역</t>
        </is>
      </c>
      <c r="C1794" s="3" t="inlineStr">
        <is>
          <t>대</t>
        </is>
      </c>
      <c r="D1794" s="3" t="inlineStr">
        <is>
          <t>답</t>
        </is>
      </c>
      <c r="E1794" s="3" t="inlineStr">
        <is>
          <t>매매</t>
        </is>
      </c>
      <c r="F1794" s="4" t="n">
        <v>123000</v>
      </c>
      <c r="G1794" s="4" t="n">
        <v>4770</v>
      </c>
      <c r="H1794" s="4" t="n">
        <v>1443</v>
      </c>
      <c r="I1794" s="5" t="n">
        <v>85.2</v>
      </c>
      <c r="J1794" s="4" t="n">
        <v>747.8</v>
      </c>
      <c r="K1794" s="3" t="inlineStr">
        <is>
          <t>자연녹지 창고, 공장용지 대토용 투자용</t>
        </is>
      </c>
      <c r="L1794" s="6">
        <f>HYPERLINK("https://fin.land.naver.com/articles/2646974063", "매물Link")</f>
        <v/>
      </c>
      <c r="M1794" s="6">
        <f>HYPERLINK("https://map.naver.com/p/search/세종특별자치시 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세종특별자치시 나성동 829</t>
        </is>
      </c>
      <c r="B1795" s="3" t="inlineStr">
        <is>
          <t>중심상업지역</t>
        </is>
      </c>
      <c r="C1795" s="3" t="inlineStr">
        <is>
          <t>대</t>
        </is>
      </c>
      <c r="D1795" s="3" t="inlineStr">
        <is>
          <t>전</t>
        </is>
      </c>
      <c r="E1795" s="3" t="inlineStr">
        <is>
          <t>매매</t>
        </is>
      </c>
      <c r="F1795" s="4" t="n">
        <v>98000</v>
      </c>
      <c r="G1795" s="4" t="n">
        <v>2694</v>
      </c>
      <c r="H1795" s="4" t="n">
        <v>815</v>
      </c>
      <c r="I1795" s="5" t="n">
        <v>120.2</v>
      </c>
      <c r="J1795" s="4" t="n">
        <v>747.8</v>
      </c>
      <c r="K1795" s="3" t="inlineStr">
        <is>
          <t>공장 창고 야적장 차고지</t>
        </is>
      </c>
      <c r="L1795" s="6">
        <f>HYPERLINK("https://fin.land.naver.com/articles/2646975060", "매물Link")</f>
        <v/>
      </c>
      <c r="M1795" s="6">
        <f>HYPERLINK("https://map.naver.com/p/search/세종특별자치시 나성동 829", "지도Link")</f>
        <v/>
      </c>
      <c r="N1795" s="6">
        <f>HYPERLINK("http://www.eum.go.kr/web/ar/lu/luLandDet.jsp?pnu=3611010700108290000&amp;isNoScr=script&amp;mode=search", "토지이음")</f>
        <v/>
      </c>
      <c r="O1795" s="3" t="inlineStr">
        <is>
          <t>명문</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세종특별자치시 나성동 829</t>
        </is>
      </c>
      <c r="B1796" s="3" t="inlineStr">
        <is>
          <t>중심상업지역</t>
        </is>
      </c>
      <c r="C1796" s="3" t="inlineStr">
        <is>
          <t>대</t>
        </is>
      </c>
      <c r="D1796" s="3" t="inlineStr">
        <is>
          <t>전</t>
        </is>
      </c>
      <c r="E1796" s="3" t="inlineStr">
        <is>
          <t>매매</t>
        </is>
      </c>
      <c r="F1796" s="4" t="n">
        <v>33000</v>
      </c>
      <c r="G1796" s="4" t="n">
        <v>1418</v>
      </c>
      <c r="H1796" s="4" t="n">
        <v>429</v>
      </c>
      <c r="I1796" s="5" t="n">
        <v>76.90000000000001</v>
      </c>
      <c r="J1796" s="4" t="n">
        <v>747.8</v>
      </c>
      <c r="K1796" s="3" t="inlineStr">
        <is>
          <t>nan</t>
        </is>
      </c>
      <c r="L1796" s="6">
        <f>HYPERLINK("https://fin.land.naver.com/articles/2647031023", "매물Link")</f>
        <v/>
      </c>
      <c r="M1796" s="6">
        <f>HYPERLINK("https://map.naver.com/p/search/세종특별자치시 나성동 829", "지도Link")</f>
        <v/>
      </c>
      <c r="N1796" s="6">
        <f>HYPERLINK("http://www.eum.go.kr/web/ar/lu/luLandDet.jsp?pnu=3611010700108290000&amp;isNoScr=script&amp;mode=search", "토지이음")</f>
        <v/>
      </c>
      <c r="O1796" s="3" t="inlineStr">
        <is>
          <t>강남</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세종특별자치시 나성동 829</t>
        </is>
      </c>
      <c r="B1797" s="3" t="inlineStr">
        <is>
          <t>중심상업지역</t>
        </is>
      </c>
      <c r="C1797" s="3" t="inlineStr">
        <is>
          <t>대</t>
        </is>
      </c>
      <c r="D1797" s="3" t="inlineStr">
        <is>
          <t>임야</t>
        </is>
      </c>
      <c r="E1797" s="3" t="inlineStr">
        <is>
          <t>매매</t>
        </is>
      </c>
      <c r="F1797" s="4" t="n">
        <v>4130</v>
      </c>
      <c r="G1797" s="4" t="n">
        <v>198</v>
      </c>
      <c r="H1797" s="4" t="n">
        <v>60</v>
      </c>
      <c r="I1797" s="5" t="n">
        <v>68.8</v>
      </c>
      <c r="J1797" s="4" t="n">
        <v>747.8</v>
      </c>
      <c r="K1797" s="3" t="inlineStr">
        <is>
          <t>외남동 3순환로 인근 토지 매매</t>
        </is>
      </c>
      <c r="L1797" s="6">
        <f>HYPERLINK("https://fin.land.naver.com/articles/2648640504", "매물Link")</f>
        <v/>
      </c>
      <c r="M1797" s="6">
        <f>HYPERLINK("https://map.naver.com/p/search/세종특별자치시 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세종특별자치시 나성동 829</t>
        </is>
      </c>
      <c r="B1798" s="3" t="inlineStr">
        <is>
          <t>중심상업지역</t>
        </is>
      </c>
      <c r="C1798" s="3" t="inlineStr">
        <is>
          <t>대</t>
        </is>
      </c>
      <c r="D1798" s="3" t="inlineStr">
        <is>
          <t>임야</t>
        </is>
      </c>
      <c r="E1798" s="3" t="inlineStr">
        <is>
          <t>매매</t>
        </is>
      </c>
      <c r="F1798" s="4" t="n">
        <v>31000</v>
      </c>
      <c r="G1798" s="4" t="n">
        <v>1488</v>
      </c>
      <c r="H1798" s="4" t="n">
        <v>450</v>
      </c>
      <c r="I1798" s="5" t="n">
        <v>68.90000000000001</v>
      </c>
      <c r="J1798" s="4" t="n">
        <v>747.8</v>
      </c>
      <c r="K1798" s="3" t="inlineStr">
        <is>
          <t>3순환로 인근 토지 급매</t>
        </is>
      </c>
      <c r="L1798" s="6">
        <f>HYPERLINK("https://fin.land.naver.com/articles/2648640677", "매물Link")</f>
        <v/>
      </c>
      <c r="M1798" s="6">
        <f>HYPERLINK("https://map.naver.com/p/search/세종특별자치시 나성동 829", "지도Link")</f>
        <v/>
      </c>
      <c r="N1798" s="6">
        <f>HYPERLINK("http://www.eum.go.kr/web/ar/lu/luLandDet.jsp?pnu=3611010700108290000&amp;isNoScr=script&amp;mode=search", "토지이음")</f>
        <v/>
      </c>
      <c r="O1798" s="3" t="inlineStr">
        <is>
          <t>두꺼비</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세종특별자치시 나성동 829</t>
        </is>
      </c>
      <c r="B1799" s="3" t="inlineStr">
        <is>
          <t>중심상업지역</t>
        </is>
      </c>
      <c r="C1799" s="3" t="inlineStr">
        <is>
          <t>대</t>
        </is>
      </c>
      <c r="D1799" s="3" t="inlineStr">
        <is>
          <t>전</t>
        </is>
      </c>
      <c r="E1799" s="3" t="inlineStr">
        <is>
          <t>매매</t>
        </is>
      </c>
      <c r="F1799" s="4" t="n">
        <v>110000</v>
      </c>
      <c r="G1799" s="4" t="n">
        <v>2385</v>
      </c>
      <c r="H1799" s="4" t="n">
        <v>721</v>
      </c>
      <c r="I1799" s="5" t="n">
        <v>152.6</v>
      </c>
      <c r="J1799" s="4" t="n">
        <v>747.8</v>
      </c>
      <c r="K1799" s="3" t="inlineStr">
        <is>
          <t>청원구 외남동 제3순환로 인접 토지 매매(진출입로 인접으로 접근성 좋음)</t>
        </is>
      </c>
      <c r="L1799" s="6">
        <f>HYPERLINK("https://fin.land.naver.com/articles/2649015008", "매물Link")</f>
        <v/>
      </c>
      <c r="M1799" s="6">
        <f>HYPERLINK("https://map.naver.com/p/search/세종특별자치시 나성동 829", "지도Link")</f>
        <v/>
      </c>
      <c r="N1799" s="6">
        <f>HYPERLINK("http://www.eum.go.kr/web/ar/lu/luLandDet.jsp?pnu=3611010700108290000&amp;isNoScr=script&amp;mode=search", "토지이음")</f>
        <v/>
      </c>
      <c r="O1799" s="3" t="inlineStr">
        <is>
          <t>오창대성</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세종특별자치시 나성동 829</t>
        </is>
      </c>
      <c r="B1800" s="3" t="inlineStr">
        <is>
          <t>중심상업지역</t>
        </is>
      </c>
      <c r="C1800" s="3" t="inlineStr">
        <is>
          <t>대</t>
        </is>
      </c>
      <c r="D1800" s="3" t="inlineStr">
        <is>
          <t>답</t>
        </is>
      </c>
      <c r="E1800" s="3" t="inlineStr">
        <is>
          <t>매매</t>
        </is>
      </c>
      <c r="F1800" s="4" t="n">
        <v>173000</v>
      </c>
      <c r="G1800" s="4" t="n">
        <v>3585</v>
      </c>
      <c r="H1800" s="4" t="n">
        <v>1084</v>
      </c>
      <c r="I1800" s="5" t="n">
        <v>159.6</v>
      </c>
      <c r="J1800" s="4" t="n">
        <v>747.8</v>
      </c>
      <c r="K1800" s="3" t="inlineStr">
        <is>
          <t>자연녹지 현재나대지 도로5m 건축허가득함 공장 창고 야적장 차고지 고물상</t>
        </is>
      </c>
      <c r="L1800" s="6">
        <f>HYPERLINK("https://fin.land.naver.com/articles/2644028476", "매물Link")</f>
        <v/>
      </c>
      <c r="M1800" s="6">
        <f>HYPERLINK("https://map.naver.com/p/search/세종특별자치시 나성동 829", "지도Link")</f>
        <v/>
      </c>
      <c r="N1800" s="6">
        <f>HYPERLINK("http://www.eum.go.kr/web/ar/lu/luLandDet.jsp?pnu=3611010700108290000&amp;isNoScr=script&amp;mode=search", "토지이음")</f>
        <v/>
      </c>
      <c r="O1800" s="3" t="inlineStr">
        <is>
          <t>명문</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세종특별자치시 나성동 829</t>
        </is>
      </c>
      <c r="B1801" s="3" t="inlineStr">
        <is>
          <t>중심상업지역</t>
        </is>
      </c>
      <c r="C1801" s="3" t="inlineStr">
        <is>
          <t>대</t>
        </is>
      </c>
      <c r="D1801" s="3" t="inlineStr">
        <is>
          <t>답</t>
        </is>
      </c>
      <c r="E1801" s="3" t="inlineStr">
        <is>
          <t>매매</t>
        </is>
      </c>
      <c r="F1801" s="4" t="n">
        <v>23500</v>
      </c>
      <c r="G1801" s="4" t="n">
        <v>2590</v>
      </c>
      <c r="H1801" s="4" t="n">
        <v>783</v>
      </c>
      <c r="I1801" s="5" t="n">
        <v>30</v>
      </c>
      <c r="J1801" s="4" t="n">
        <v>747.8</v>
      </c>
      <c r="K1801" s="3" t="inlineStr">
        <is>
          <t>경지정리, 주변시세보다 저렴</t>
        </is>
      </c>
      <c r="L1801" s="6">
        <f>HYPERLINK("https://fin.land.naver.com/articles/2647709998", "매물Link")</f>
        <v/>
      </c>
      <c r="M1801" s="6">
        <f>HYPERLINK("https://map.naver.com/p/search/세종특별자치시 나성동 829", "지도Link")</f>
        <v/>
      </c>
      <c r="N1801" s="6">
        <f>HYPERLINK("http://www.eum.go.kr/web/ar/lu/luLandDet.jsp?pnu=3611010700108290000&amp;isNoScr=script&amp;mode=search", "토지이음")</f>
        <v/>
      </c>
      <c r="O1801" s="3" t="inlineStr">
        <is>
          <t>한우리</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세종특별자치시 나성동 829</t>
        </is>
      </c>
      <c r="B1802" s="3" t="inlineStr">
        <is>
          <t>중심상업지역</t>
        </is>
      </c>
      <c r="C1802" s="3" t="inlineStr">
        <is>
          <t>대</t>
        </is>
      </c>
      <c r="D1802" s="3" t="inlineStr">
        <is>
          <t>대</t>
        </is>
      </c>
      <c r="E1802" s="3" t="inlineStr">
        <is>
          <t>매매</t>
        </is>
      </c>
      <c r="F1802" s="4" t="n">
        <v>22000</v>
      </c>
      <c r="G1802" s="4" t="n">
        <v>383</v>
      </c>
      <c r="H1802" s="4" t="n">
        <v>116</v>
      </c>
      <c r="I1802" s="5" t="n">
        <v>189.7</v>
      </c>
      <c r="J1802" s="4" t="n">
        <v>747.8</v>
      </c>
      <c r="K1802" s="3" t="inlineStr">
        <is>
          <t>나대지 예쁜전원주택지최적화.도시지역</t>
        </is>
      </c>
      <c r="L1802" s="6">
        <f>HYPERLINK("https://fin.land.naver.com/articles/2648792899", "매물Link")</f>
        <v/>
      </c>
      <c r="M1802" s="6">
        <f>HYPERLINK("https://map.naver.com/p/search/세종특별자치시 나성동 829", "지도Link")</f>
        <v/>
      </c>
      <c r="N1802" s="6">
        <f>HYPERLINK("http://www.eum.go.kr/web/ar/lu/luLandDet.jsp?pnu=3611010700108290000&amp;isNoScr=script&amp;mode=search", "토지이음")</f>
        <v/>
      </c>
      <c r="O1802" s="3" t="inlineStr">
        <is>
          <t>조은</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세종특별자치시 나성동 829</t>
        </is>
      </c>
      <c r="B1803" s="3" t="inlineStr">
        <is>
          <t>중심상업지역</t>
        </is>
      </c>
      <c r="C1803" s="3" t="inlineStr">
        <is>
          <t>대</t>
        </is>
      </c>
      <c r="D1803" s="3" t="inlineStr">
        <is>
          <t>임야</t>
        </is>
      </c>
      <c r="E1803" s="3" t="inlineStr">
        <is>
          <t>매매</t>
        </is>
      </c>
      <c r="F1803" s="4" t="n">
        <v>22000</v>
      </c>
      <c r="G1803" s="4" t="n">
        <v>675</v>
      </c>
      <c r="H1803" s="4" t="n">
        <v>204</v>
      </c>
      <c r="I1803" s="5" t="n">
        <v>107.8</v>
      </c>
      <c r="J1803" s="4" t="n">
        <v>747.8</v>
      </c>
      <c r="K1803" s="3" t="inlineStr">
        <is>
          <t>nan</t>
        </is>
      </c>
      <c r="L1803" s="6">
        <f>HYPERLINK("https://fin.land.naver.com/articles/2646409348", "매물Link")</f>
        <v/>
      </c>
      <c r="M1803" s="6">
        <f>HYPERLINK("https://map.naver.com/p/search/세종특별자치시 나성동 829", "지도Link")</f>
        <v/>
      </c>
      <c r="N1803" s="6">
        <f>HYPERLINK("http://www.eum.go.kr/web/ar/lu/luLandDet.jsp?pnu=3611010700108290000&amp;isNoScr=script&amp;mode=search", "토지이음")</f>
        <v/>
      </c>
      <c r="O1803" s="3" t="inlineStr">
        <is>
          <t>덕성</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세종특별자치시 나성동 829</t>
        </is>
      </c>
      <c r="B1804" s="3" t="inlineStr">
        <is>
          <t>중심상업지역</t>
        </is>
      </c>
      <c r="C1804" s="3" t="inlineStr">
        <is>
          <t>대</t>
        </is>
      </c>
      <c r="D1804" s="3" t="inlineStr">
        <is>
          <t>답</t>
        </is>
      </c>
      <c r="E1804" s="3" t="inlineStr">
        <is>
          <t>매매</t>
        </is>
      </c>
      <c r="F1804" s="4" t="n">
        <v>40000</v>
      </c>
      <c r="G1804" s="4" t="n">
        <v>1230</v>
      </c>
      <c r="H1804" s="4" t="n">
        <v>372</v>
      </c>
      <c r="I1804" s="5" t="n">
        <v>107.5</v>
      </c>
      <c r="J1804" s="4" t="n">
        <v>747.8</v>
      </c>
      <c r="K1804" s="3" t="inlineStr">
        <is>
          <t>투자용 매물</t>
        </is>
      </c>
      <c r="L1804" s="6">
        <f>HYPERLINK("https://fin.land.naver.com/articles/2647373844", "매물Link")</f>
        <v/>
      </c>
      <c r="M1804" s="6">
        <f>HYPERLINK("https://map.naver.com/p/search/세종특별자치시 나성동 829", "지도Link")</f>
        <v/>
      </c>
      <c r="N1804" s="6">
        <f>HYPERLINK("http://www.eum.go.kr/web/ar/lu/luLandDet.jsp?pnu=3611010700108290000&amp;isNoScr=script&amp;mode=search", "토지이음")</f>
        <v/>
      </c>
      <c r="O1804" s="3" t="inlineStr">
        <is>
          <t>제우스</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세종특별자치시 나성동 829</t>
        </is>
      </c>
      <c r="B1805" s="3" t="inlineStr">
        <is>
          <t>중심상업지역</t>
        </is>
      </c>
      <c r="C1805" s="3" t="inlineStr">
        <is>
          <t>대</t>
        </is>
      </c>
      <c r="D1805" s="3" t="inlineStr">
        <is>
          <t>답</t>
        </is>
      </c>
      <c r="E1805" s="3" t="inlineStr">
        <is>
          <t>매매</t>
        </is>
      </c>
      <c r="F1805" s="4" t="n">
        <v>59000</v>
      </c>
      <c r="G1805" s="4" t="n">
        <v>2151</v>
      </c>
      <c r="H1805" s="4" t="n">
        <v>651</v>
      </c>
      <c r="I1805" s="5" t="n">
        <v>90.59999999999999</v>
      </c>
      <c r="J1805" s="4" t="n">
        <v>747.8</v>
      </c>
      <c r="K1805" s="3" t="inlineStr">
        <is>
          <t>nan</t>
        </is>
      </c>
      <c r="L1805" s="6">
        <f>HYPERLINK("https://fin.land.naver.com/articles/2648467974", "매물Link")</f>
        <v/>
      </c>
      <c r="M1805" s="6">
        <f>HYPERLINK("https://map.naver.com/p/search/세종특별자치시 나성동 829", "지도Link")</f>
        <v/>
      </c>
      <c r="N1805" s="6">
        <f>HYPERLINK("http://www.eum.go.kr/web/ar/lu/luLandDet.jsp?pnu=3611010700108290000&amp;isNoScr=script&amp;mode=search", "토지이음")</f>
        <v/>
      </c>
      <c r="O1805" s="3" t="inlineStr">
        <is>
          <t>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세종특별자치시 나성동 829</t>
        </is>
      </c>
      <c r="B1806" s="3" t="inlineStr">
        <is>
          <t>중심상업지역</t>
        </is>
      </c>
      <c r="C1806" s="3" t="inlineStr">
        <is>
          <t>대</t>
        </is>
      </c>
      <c r="D1806" s="3" t="inlineStr">
        <is>
          <t>대</t>
        </is>
      </c>
      <c r="E1806" s="3" t="inlineStr">
        <is>
          <t>매매</t>
        </is>
      </c>
      <c r="F1806" s="4" t="n">
        <v>23200</v>
      </c>
      <c r="G1806" s="4" t="n">
        <v>592</v>
      </c>
      <c r="H1806" s="4" t="n">
        <v>179</v>
      </c>
      <c r="I1806" s="5" t="n">
        <v>129.6</v>
      </c>
      <c r="J1806" s="4" t="n">
        <v>747.8</v>
      </c>
      <c r="K1806" s="3" t="inlineStr">
        <is>
          <t>청주시내 저렴한 전원주택지</t>
        </is>
      </c>
      <c r="L1806" s="6">
        <f>HYPERLINK("https://fin.land.naver.com/articles/2648641704", "매물Link")</f>
        <v/>
      </c>
      <c r="M1806" s="6">
        <f>HYPERLINK("https://map.naver.com/p/search/세종특별자치시 나성동 829", "지도Link")</f>
        <v/>
      </c>
      <c r="N1806" s="6">
        <f>HYPERLINK("http://www.eum.go.kr/web/ar/lu/luLandDet.jsp?pnu=3611010700108290000&amp;isNoScr=script&amp;mode=search", "토지이음")</f>
        <v/>
      </c>
      <c r="O1806" s="3" t="inlineStr">
        <is>
          <t>두꺼비</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세종특별자치시 나성동 829</t>
        </is>
      </c>
      <c r="B1807" s="3" t="inlineStr">
        <is>
          <t>중심상업지역</t>
        </is>
      </c>
      <c r="C1807" s="3" t="inlineStr">
        <is>
          <t>대</t>
        </is>
      </c>
      <c r="D1807" s="3" t="inlineStr">
        <is>
          <t>대</t>
        </is>
      </c>
      <c r="E1807" s="3" t="inlineStr">
        <is>
          <t>매매</t>
        </is>
      </c>
      <c r="F1807" s="4" t="n">
        <v>770000</v>
      </c>
      <c r="G1807" s="4" t="n">
        <v>12085</v>
      </c>
      <c r="H1807" s="4" t="n">
        <v>3656</v>
      </c>
      <c r="I1807" s="5" t="n">
        <v>210.6</v>
      </c>
      <c r="J1807" s="4" t="n">
        <v>747.8</v>
      </c>
      <c r="K1807" s="3" t="inlineStr">
        <is>
          <t>충청북도 교육문화원 인근 사천동 사과나무 식당부근에 위치한 토지입니다</t>
        </is>
      </c>
      <c r="L1807" s="6">
        <f>HYPERLINK("https://fin.land.naver.com/articles/2647073044", "매물Link")</f>
        <v/>
      </c>
      <c r="M1807" s="6">
        <f>HYPERLINK("https://map.naver.com/p/search/세종특별자치시 나성동 829", "지도Link")</f>
        <v/>
      </c>
      <c r="N1807" s="6">
        <f>HYPERLINK("http://www.eum.go.kr/web/ar/lu/luLandDet.jsp?pnu=3611010700108290000&amp;isNoScr=script&amp;mode=search", "토지이음")</f>
        <v/>
      </c>
      <c r="O1807" s="3" t="inlineStr">
        <is>
          <t>지구촌무소</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세종특별자치시 나성동 829</t>
        </is>
      </c>
      <c r="B1808" s="3" t="inlineStr">
        <is>
          <t>중심상업지역</t>
        </is>
      </c>
      <c r="C1808" s="3" t="inlineStr">
        <is>
          <t>대</t>
        </is>
      </c>
      <c r="D1808" s="3" t="inlineStr">
        <is>
          <t>대</t>
        </is>
      </c>
      <c r="E1808" s="3" t="inlineStr">
        <is>
          <t>매매</t>
        </is>
      </c>
      <c r="F1808" s="4" t="n">
        <v>40000</v>
      </c>
      <c r="G1808" s="4" t="n">
        <v>334</v>
      </c>
      <c r="H1808" s="4" t="n">
        <v>101</v>
      </c>
      <c r="I1808" s="5" t="n">
        <v>396</v>
      </c>
      <c r="J1808" s="4" t="n">
        <v>747.8</v>
      </c>
      <c r="K1808" s="3" t="inlineStr">
        <is>
          <t>내덕초앞 주택밀집지역 주통행로 입구 도로변 단층학원 건물있음 투자강추</t>
        </is>
      </c>
      <c r="L1808" s="6">
        <f>HYPERLINK("https://fin.land.naver.com/articles/2645326410", "매물Link")</f>
        <v/>
      </c>
      <c r="M1808" s="6">
        <f>HYPERLINK("https://map.naver.com/p/search/세종특별자치시 나성동 829", "지도Link")</f>
        <v/>
      </c>
      <c r="N1808" s="6">
        <f>HYPERLINK("http://www.eum.go.kr/web/ar/lu/luLandDet.jsp?pnu=3611010700108290000&amp;isNoScr=script&amp;mode=search", "토지이음")</f>
        <v/>
      </c>
      <c r="O1808" s="3" t="inlineStr">
        <is>
          <t>세종</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세종특별자치시 나성동 829</t>
        </is>
      </c>
      <c r="B1809" s="3" t="inlineStr">
        <is>
          <t>중심상업지역</t>
        </is>
      </c>
      <c r="C1809" s="3" t="inlineStr">
        <is>
          <t>대</t>
        </is>
      </c>
      <c r="D1809" s="3" t="inlineStr">
        <is>
          <t>대</t>
        </is>
      </c>
      <c r="E1809" s="3" t="inlineStr">
        <is>
          <t>매매</t>
        </is>
      </c>
      <c r="F1809" s="4" t="n">
        <v>12000</v>
      </c>
      <c r="G1809" s="4" t="n">
        <v>155</v>
      </c>
      <c r="H1809" s="4" t="n">
        <v>47</v>
      </c>
      <c r="I1809" s="5" t="n">
        <v>255.3</v>
      </c>
      <c r="J1809" s="4" t="n">
        <v>747.8</v>
      </c>
      <c r="K1809" s="3" t="inlineStr">
        <is>
          <t>중로2류(폭 15m~20m)(접함)빈터.철거하고 창고로 쓰고있슴.</t>
        </is>
      </c>
      <c r="L1809" s="6">
        <f>HYPERLINK("https://fin.land.naver.com/articles/2645791697", "매물Link")</f>
        <v/>
      </c>
      <c r="M1809" s="6">
        <f>HYPERLINK("https://map.naver.com/p/search/세종특별자치시 나성동 829", "지도Link")</f>
        <v/>
      </c>
      <c r="N1809" s="6">
        <f>HYPERLINK("http://www.eum.go.kr/web/ar/lu/luLandDet.jsp?pnu=3611010700108290000&amp;isNoScr=script&amp;mode=search", "토지이음")</f>
        <v/>
      </c>
      <c r="O1809" s="3" t="inlineStr">
        <is>
          <t>정은경</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세종특별자치시 나성동 829</t>
        </is>
      </c>
      <c r="B1810" s="3" t="inlineStr">
        <is>
          <t>중심상업지역</t>
        </is>
      </c>
      <c r="C1810" s="3" t="inlineStr">
        <is>
          <t>대</t>
        </is>
      </c>
      <c r="D1810" s="3" t="inlineStr">
        <is>
          <t>대</t>
        </is>
      </c>
      <c r="E1810" s="3" t="inlineStr">
        <is>
          <t>매매</t>
        </is>
      </c>
      <c r="F1810" s="4" t="n">
        <v>55000</v>
      </c>
      <c r="G1810" s="4" t="n">
        <v>912</v>
      </c>
      <c r="H1810" s="4" t="n">
        <v>276</v>
      </c>
      <c r="I1810" s="5" t="n">
        <v>199.3</v>
      </c>
      <c r="J1810" s="4" t="n">
        <v>747.8</v>
      </c>
      <c r="K1810" s="3" t="inlineStr">
        <is>
          <t>상춘고택 인근, 현 전원주택 사용중,요지에 넓은 대지로 다양한 용도 가능</t>
        </is>
      </c>
      <c r="L1810" s="6">
        <f>HYPERLINK("https://fin.land.naver.com/articles/2644815937", "매물Link")</f>
        <v/>
      </c>
      <c r="M1810" s="6">
        <f>HYPERLINK("https://map.naver.com/p/search/세종특별자치시 나성동 829", "지도Link")</f>
        <v/>
      </c>
      <c r="N1810" s="6">
        <f>HYPERLINK("http://www.eum.go.kr/web/ar/lu/luLandDet.jsp?pnu=3611010700108290000&amp;isNoScr=script&amp;mode=search", "토지이음")</f>
        <v/>
      </c>
      <c r="O1810" s="3" t="inlineStr">
        <is>
          <t>코아루수지</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세종특별자치시 나성동 829</t>
        </is>
      </c>
      <c r="B1811" s="3" t="inlineStr">
        <is>
          <t>중심상업지역</t>
        </is>
      </c>
      <c r="C1811" s="3" t="inlineStr">
        <is>
          <t>대</t>
        </is>
      </c>
      <c r="D1811" s="3" t="inlineStr">
        <is>
          <t>전</t>
        </is>
      </c>
      <c r="E1811" s="3" t="inlineStr">
        <is>
          <t>매매</t>
        </is>
      </c>
      <c r="F1811" s="4" t="n">
        <v>250000</v>
      </c>
      <c r="G1811" s="4" t="n">
        <v>3110</v>
      </c>
      <c r="H1811" s="4" t="n">
        <v>941</v>
      </c>
      <c r="I1811" s="5" t="n">
        <v>265.7</v>
      </c>
      <c r="J1811" s="4" t="n">
        <v>747.8</v>
      </c>
      <c r="K1811" s="3" t="inlineStr">
        <is>
          <t>오산네거리 농수산물시장 대로변의 특급 매물입니다</t>
        </is>
      </c>
      <c r="L1811" s="6">
        <f>HYPERLINK("https://fin.land.naver.com/articles/2645198751", "매물Link")</f>
        <v/>
      </c>
      <c r="M1811" s="6">
        <f>HYPERLINK("https://map.naver.com/p/search/세종특별자치시 나성동 829", "지도Link")</f>
        <v/>
      </c>
      <c r="N1811" s="6">
        <f>HYPERLINK("http://www.eum.go.kr/web/ar/lu/luLandDet.jsp?pnu=3611010700108290000&amp;isNoScr=script&amp;mode=search", "토지이음")</f>
        <v/>
      </c>
      <c r="O1811" s="3" t="inlineStr">
        <is>
          <t>KSK</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세종특별자치시 나성동 829</t>
        </is>
      </c>
      <c r="B1812" s="3" t="inlineStr">
        <is>
          <t>중심상업지역</t>
        </is>
      </c>
      <c r="C1812" s="3" t="inlineStr">
        <is>
          <t>대</t>
        </is>
      </c>
      <c r="D1812" s="3" t="inlineStr">
        <is>
          <t>답</t>
        </is>
      </c>
      <c r="E1812" s="3" t="inlineStr">
        <is>
          <t>매매</t>
        </is>
      </c>
      <c r="F1812" s="4" t="n">
        <v>175000</v>
      </c>
      <c r="G1812" s="4" t="n">
        <v>3805</v>
      </c>
      <c r="H1812" s="4" t="n">
        <v>1151</v>
      </c>
      <c r="I1812" s="5" t="n">
        <v>152</v>
      </c>
      <c r="J1812" s="4" t="n">
        <v>747.8</v>
      </c>
      <c r="K1812" s="3" t="inlineStr">
        <is>
          <t>자연녹지지역으로 식당 공장 창고 전원주택지</t>
        </is>
      </c>
      <c r="L1812" s="6">
        <f>HYPERLINK("https://fin.land.naver.com/articles/2648252896", "매물Link")</f>
        <v/>
      </c>
      <c r="M1812" s="6">
        <f>HYPERLINK("https://map.naver.com/p/search/세종특별자치시 나성동 829", "지도Link")</f>
        <v/>
      </c>
      <c r="N1812" s="6">
        <f>HYPERLINK("http://www.eum.go.kr/web/ar/lu/luLandDet.jsp?pnu=3611010700108290000&amp;isNoScr=script&amp;mode=search", "토지이음")</f>
        <v/>
      </c>
      <c r="O1812" s="3" t="inlineStr">
        <is>
          <t>영재</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세종특별자치시 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HYPERLINK("https://map.naver.com/p/search/세종특별자치시 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세종특별자치시 나성동 829</t>
        </is>
      </c>
      <c r="B1814" s="3" t="inlineStr">
        <is>
          <t>중심상업지역</t>
        </is>
      </c>
      <c r="C1814" s="3" t="inlineStr">
        <is>
          <t>대</t>
        </is>
      </c>
      <c r="D1814" s="3" t="inlineStr">
        <is>
          <t>대</t>
        </is>
      </c>
      <c r="E1814" s="3" t="inlineStr">
        <is>
          <t>매매</t>
        </is>
      </c>
      <c r="F1814" s="4" t="n">
        <v>100000</v>
      </c>
      <c r="G1814" s="4" t="n">
        <v>767</v>
      </c>
      <c r="H1814" s="4" t="n">
        <v>232</v>
      </c>
      <c r="I1814" s="5" t="n">
        <v>431</v>
      </c>
      <c r="J1814" s="4" t="n">
        <v>747.8</v>
      </c>
      <c r="K1814" s="3" t="inlineStr">
        <is>
          <t>공원같은 전원주택지 이마트 코스트코 20분거리</t>
        </is>
      </c>
      <c r="L1814" s="6">
        <f>HYPERLINK("https://fin.land.naver.com/articles/2648259769", "매물Link")</f>
        <v/>
      </c>
      <c r="M1814" s="6">
        <f>HYPERLINK("https://map.naver.com/p/search/세종특별자치시 나성동 829", "지도Link")</f>
        <v/>
      </c>
      <c r="N1814" s="6">
        <f>HYPERLINK("http://www.eum.go.kr/web/ar/lu/luLandDet.jsp?pnu=3611010700108290000&amp;isNoScr=script&amp;mode=search", "토지이음")</f>
        <v/>
      </c>
      <c r="O1814" s="3" t="inlineStr">
        <is>
          <t>그래그</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세종특별자치시 나성동 829</t>
        </is>
      </c>
      <c r="B1815" s="3" t="inlineStr">
        <is>
          <t>중심상업지역</t>
        </is>
      </c>
      <c r="C1815" s="3" t="inlineStr">
        <is>
          <t>대</t>
        </is>
      </c>
      <c r="D1815" s="3" t="inlineStr">
        <is>
          <t>전</t>
        </is>
      </c>
      <c r="E1815" s="3" t="inlineStr">
        <is>
          <t>매매</t>
        </is>
      </c>
      <c r="F1815" s="4" t="n">
        <v>224800</v>
      </c>
      <c r="G1815" s="4" t="n">
        <v>7100</v>
      </c>
      <c r="H1815" s="4" t="n">
        <v>2148</v>
      </c>
      <c r="I1815" s="5" t="n">
        <v>104.7</v>
      </c>
      <c r="J1815" s="4" t="n">
        <v>747.8</v>
      </c>
      <c r="K1815" s="3" t="inlineStr">
        <is>
          <t>공장이나 창고 요양원시설 기타 사옥이나 연수원등 가능함</t>
        </is>
      </c>
      <c r="L1815" s="6">
        <f>HYPERLINK("https://fin.land.naver.com/articles/2647416396", "매물Link")</f>
        <v/>
      </c>
      <c r="M1815" s="6">
        <f>HYPERLINK("https://map.naver.com/p/search/세종특별자치시 나성동 829", "지도Link")</f>
        <v/>
      </c>
      <c r="N1815" s="6">
        <f>HYPERLINK("http://www.eum.go.kr/web/ar/lu/luLandDet.jsp?pnu=3611010700108290000&amp;isNoScr=script&amp;mode=search", "토지이음")</f>
        <v/>
      </c>
      <c r="O1815" s="3" t="inlineStr">
        <is>
          <t>새온누리</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세종특별자치시 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HYPERLINK("https://map.naver.com/p/search/세종특별자치시 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세종특별자치시 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HYPERLINK("https://map.naver.com/p/search/세종특별자치시 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세종특별자치시 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HYPERLINK("https://map.naver.com/p/search/세종특별자치시 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세종특별자치시 나성동 829</t>
        </is>
      </c>
      <c r="B1819" s="3" t="inlineStr">
        <is>
          <t>중심상업지역</t>
        </is>
      </c>
      <c r="C1819" s="3" t="inlineStr">
        <is>
          <t>대</t>
        </is>
      </c>
      <c r="D1819" s="3" t="inlineStr">
        <is>
          <t>주차장</t>
        </is>
      </c>
      <c r="E1819" s="3" t="inlineStr">
        <is>
          <t>매매</t>
        </is>
      </c>
      <c r="F1819" s="4" t="n">
        <v>33000</v>
      </c>
      <c r="G1819" s="4" t="n">
        <v>1686</v>
      </c>
      <c r="H1819" s="4" t="n">
        <v>510</v>
      </c>
      <c r="I1819" s="5" t="n">
        <v>64.7</v>
      </c>
      <c r="J1819" s="4" t="n">
        <v>747.8</v>
      </c>
      <c r="K1819" s="3" t="inlineStr">
        <is>
          <t>옥산산업단지내 주차장(차고지)엘지하우시스정문앞 위치 최상 현항좋은토지</t>
        </is>
      </c>
      <c r="L1819" s="6">
        <f>HYPERLINK("https://fin.land.naver.com/articles/2647103271", "매물Link")</f>
        <v/>
      </c>
      <c r="M1819" s="6">
        <f>HYPERLINK("https://map.naver.com/p/search/세종특별자치시 나성동 829", "지도Link")</f>
        <v/>
      </c>
      <c r="N1819" s="6">
        <f>HYPERLINK("http://www.eum.go.kr/web/ar/lu/luLandDet.jsp?pnu=3611010700108290000&amp;isNoScr=script&amp;mode=search", "토지이음")</f>
        <v/>
      </c>
      <c r="O1819" s="3" t="inlineStr">
        <is>
          <t>옥산리버자이</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세종특별자치시 나성동 829</t>
        </is>
      </c>
      <c r="B1820" s="3" t="inlineStr">
        <is>
          <t>중심상업지역</t>
        </is>
      </c>
      <c r="C1820" s="3" t="inlineStr">
        <is>
          <t>대</t>
        </is>
      </c>
      <c r="D1820" s="3" t="inlineStr">
        <is>
          <t>대</t>
        </is>
      </c>
      <c r="E1820" s="3" t="inlineStr">
        <is>
          <t>매매</t>
        </is>
      </c>
      <c r="F1820" s="4" t="n">
        <v>80000</v>
      </c>
      <c r="G1820" s="4" t="n">
        <v>317</v>
      </c>
      <c r="H1820" s="4" t="n">
        <v>96</v>
      </c>
      <c r="I1820" s="5" t="n">
        <v>833.3</v>
      </c>
      <c r="J1820" s="4" t="n">
        <v>747.8</v>
      </c>
      <c r="K1820" s="3" t="inlineStr">
        <is>
          <t>코너 상가주택 건축하실분</t>
        </is>
      </c>
      <c r="L1820" s="6">
        <f>HYPERLINK("https://fin.land.naver.com/articles/2646010492", "매물Link")</f>
        <v/>
      </c>
      <c r="M1820" s="6">
        <f>HYPERLINK("https://map.naver.com/p/search/세종특별자치시 나성동 829", "지도Link")</f>
        <v/>
      </c>
      <c r="N1820" s="6">
        <f>HYPERLINK("http://www.eum.go.kr/web/ar/lu/luLandDet.jsp?pnu=3611010700108290000&amp;isNoScr=script&amp;mode=search", "토지이음")</f>
        <v/>
      </c>
      <c r="O1820" s="3" t="inlineStr">
        <is>
          <t>케이투(k2)</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세종특별자치시 나성동 829</t>
        </is>
      </c>
      <c r="B1821" s="3" t="inlineStr">
        <is>
          <t>중심상업지역</t>
        </is>
      </c>
      <c r="C1821" s="3" t="inlineStr">
        <is>
          <t>대</t>
        </is>
      </c>
      <c r="D1821" s="3" t="inlineStr">
        <is>
          <t>전</t>
        </is>
      </c>
      <c r="E1821" s="3" t="inlineStr">
        <is>
          <t>매매</t>
        </is>
      </c>
      <c r="F1821" s="4" t="n">
        <v>65200</v>
      </c>
      <c r="G1821" s="4" t="n">
        <v>1195</v>
      </c>
      <c r="H1821" s="4" t="n">
        <v>361</v>
      </c>
      <c r="I1821" s="5" t="n">
        <v>180.6</v>
      </c>
      <c r="J1821" s="4" t="n">
        <v>747.8</v>
      </c>
      <c r="K1821" s="3" t="inlineStr">
        <is>
          <t>율량동 상리교차로 인근에 위치,6미터도로접</t>
        </is>
      </c>
      <c r="L1821" s="6">
        <f>HYPERLINK("https://fin.land.naver.com/articles/2648573231", "매물Link")</f>
        <v/>
      </c>
      <c r="M1821" s="6">
        <f>HYPERLINK("https://map.naver.com/p/search/세종특별자치시 나성동 829", "지도Link")</f>
        <v/>
      </c>
      <c r="N1821" s="6">
        <f>HYPERLINK("http://www.eum.go.kr/web/ar/lu/luLandDet.jsp?pnu=3611010700108290000&amp;isNoScr=script&amp;mode=search", "토지이음")</f>
        <v/>
      </c>
      <c r="O1821" s="3" t="inlineStr">
        <is>
          <t>일조</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세종특별자치시 나성동 829</t>
        </is>
      </c>
      <c r="B1822" s="3" t="inlineStr">
        <is>
          <t>중심상업지역</t>
        </is>
      </c>
      <c r="C1822" s="3" t="inlineStr">
        <is>
          <t>대</t>
        </is>
      </c>
      <c r="D1822" s="3" t="inlineStr">
        <is>
          <t>대</t>
        </is>
      </c>
      <c r="E1822" s="3" t="inlineStr">
        <is>
          <t>매매</t>
        </is>
      </c>
      <c r="F1822" s="4" t="n">
        <v>91300</v>
      </c>
      <c r="G1822" s="4" t="n">
        <v>1079</v>
      </c>
      <c r="H1822" s="4" t="n">
        <v>326</v>
      </c>
      <c r="I1822" s="5" t="n">
        <v>280.1</v>
      </c>
      <c r="J1822" s="4" t="n">
        <v>747.8</v>
      </c>
      <c r="K1822" s="3" t="inlineStr">
        <is>
          <t>도로접함 창고 사무실 주택 식당 커피숍등</t>
        </is>
      </c>
      <c r="L1822" s="6">
        <f>HYPERLINK("https://fin.land.naver.com/articles/2647918736", "매물Link")</f>
        <v/>
      </c>
      <c r="M1822" s="6">
        <f>HYPERLINK("https://map.naver.com/p/search/세종특별자치시 나성동 829", "지도Link")</f>
        <v/>
      </c>
      <c r="N1822" s="6">
        <f>HYPERLINK("http://www.eum.go.kr/web/ar/lu/luLandDet.jsp?pnu=3611010700108290000&amp;isNoScr=script&amp;mode=search", "토지이음")</f>
        <v/>
      </c>
      <c r="O1822" s="3" t="inlineStr">
        <is>
          <t>명문</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세종특별자치시 나성동 829</t>
        </is>
      </c>
      <c r="B1823" s="3" t="inlineStr">
        <is>
          <t>중심상업지역</t>
        </is>
      </c>
      <c r="C1823" s="3" t="inlineStr">
        <is>
          <t>대</t>
        </is>
      </c>
      <c r="D1823" s="3" t="inlineStr">
        <is>
          <t>전</t>
        </is>
      </c>
      <c r="E1823" s="3" t="inlineStr">
        <is>
          <t>매매</t>
        </is>
      </c>
      <c r="F1823" s="4" t="n">
        <v>500000</v>
      </c>
      <c r="G1823" s="4" t="n">
        <v>5619</v>
      </c>
      <c r="H1823" s="4" t="n">
        <v>1700</v>
      </c>
      <c r="I1823" s="5" t="n">
        <v>294.1</v>
      </c>
      <c r="J1823" s="4" t="n">
        <v>747.8</v>
      </c>
      <c r="K1823" s="3" t="inlineStr">
        <is>
          <t>밀레니엄타운 부근</t>
        </is>
      </c>
      <c r="L1823" s="6">
        <f>HYPERLINK("https://fin.land.naver.com/articles/2646011339", "매물Link")</f>
        <v/>
      </c>
      <c r="M1823" s="6">
        <f>HYPERLINK("https://map.naver.com/p/search/세종특별자치시 나성동 829", "지도Link")</f>
        <v/>
      </c>
      <c r="N1823" s="6">
        <f>HYPERLINK("http://www.eum.go.kr/web/ar/lu/luLandDet.jsp?pnu=3611010700108290000&amp;isNoScr=script&amp;mode=search", "토지이음")</f>
        <v/>
      </c>
      <c r="O1823" s="3" t="inlineStr">
        <is>
          <t>케이투(k2)</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세종특별자치시 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HYPERLINK("https://map.naver.com/p/search/세종특별자치시 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세종특별자치시 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HYPERLINK("https://map.naver.com/p/search/세종특별자치시 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세종특별자치시 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HYPERLINK("https://map.naver.com/p/search/세종특별자치시 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세종특별자치시 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HYPERLINK("https://map.naver.com/p/search/세종특별자치시 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세종특별자치시 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HYPERLINK("https://map.naver.com/p/search/세종특별자치시 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세종특별자치시 나성동 829</t>
        </is>
      </c>
      <c r="B1829" s="3" t="inlineStr">
        <is>
          <t>중심상업지역</t>
        </is>
      </c>
      <c r="C1829" s="3" t="inlineStr">
        <is>
          <t>대</t>
        </is>
      </c>
      <c r="D1829" s="3" t="inlineStr">
        <is>
          <t>답</t>
        </is>
      </c>
      <c r="E1829" s="3" t="inlineStr">
        <is>
          <t>매매</t>
        </is>
      </c>
      <c r="F1829" s="4" t="n">
        <v>23000</v>
      </c>
      <c r="G1829" s="4" t="n">
        <v>1696</v>
      </c>
      <c r="H1829" s="4" t="n">
        <v>513</v>
      </c>
      <c r="I1829" s="5" t="n">
        <v>44.8</v>
      </c>
      <c r="J1829" s="4" t="n">
        <v>747.8</v>
      </c>
      <c r="K1829" s="3" t="inlineStr">
        <is>
          <t>원통리 토지매매, 자경하시거나 대토하실분 추천.</t>
        </is>
      </c>
      <c r="L1829" s="6">
        <f>HYPERLINK("https://fin.land.naver.com/articles/2649237182", "매물Link")</f>
        <v/>
      </c>
      <c r="M1829" s="6">
        <f>HYPERLINK("https://map.naver.com/p/search/세종특별자치시 나성동 829", "지도Link")</f>
        <v/>
      </c>
      <c r="N1829" s="6">
        <f>HYPERLINK("http://www.eum.go.kr/web/ar/lu/luLandDet.jsp?pnu=3611010700108290000&amp;isNoScr=script&amp;mode=search", "토지이음")</f>
        <v/>
      </c>
      <c r="O1829" s="3" t="inlineStr">
        <is>
          <t>진</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세종특별자치시 나성동 829</t>
        </is>
      </c>
      <c r="B1830" s="3" t="inlineStr">
        <is>
          <t>중심상업지역</t>
        </is>
      </c>
      <c r="C1830" s="3" t="inlineStr">
        <is>
          <t>대</t>
        </is>
      </c>
      <c r="D1830" s="3" t="inlineStr">
        <is>
          <t>전</t>
        </is>
      </c>
      <c r="E1830" s="3" t="inlineStr">
        <is>
          <t>매매</t>
        </is>
      </c>
      <c r="F1830" s="4" t="n">
        <v>100000</v>
      </c>
      <c r="G1830" s="4" t="n">
        <v>1700</v>
      </c>
      <c r="H1830" s="4" t="n">
        <v>514</v>
      </c>
      <c r="I1830" s="5" t="n">
        <v>194.6</v>
      </c>
      <c r="J1830" s="4" t="n">
        <v>747.8</v>
      </c>
      <c r="K1830" s="3" t="inlineStr">
        <is>
          <t>nan</t>
        </is>
      </c>
      <c r="L1830" s="6">
        <f>HYPERLINK("https://fin.land.naver.com/articles/2649597728", "매물Link")</f>
        <v/>
      </c>
      <c r="M1830" s="6">
        <f>HYPERLINK("https://map.naver.com/p/search/세종특별자치시 나성동 829", "지도Link")</f>
        <v/>
      </c>
      <c r="N1830" s="6">
        <f>HYPERLINK("http://www.eum.go.kr/web/ar/lu/luLandDet.jsp?pnu=3611010700108290000&amp;isNoScr=script&amp;mode=search", "토지이음")</f>
        <v/>
      </c>
      <c r="O1830" s="3" t="inlineStr">
        <is>
          <t>하이</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세종특별자치시 나성동 829</t>
        </is>
      </c>
      <c r="B1831" s="3" t="inlineStr">
        <is>
          <t>중심상업지역</t>
        </is>
      </c>
      <c r="C1831" s="3" t="inlineStr">
        <is>
          <t>대</t>
        </is>
      </c>
      <c r="D1831" s="3" t="inlineStr">
        <is>
          <t>전</t>
        </is>
      </c>
      <c r="E1831" s="3" t="inlineStr">
        <is>
          <t>매매</t>
        </is>
      </c>
      <c r="F1831" s="4" t="n">
        <v>140000</v>
      </c>
      <c r="G1831" s="4" t="n">
        <v>6487</v>
      </c>
      <c r="H1831" s="4" t="n">
        <v>1962</v>
      </c>
      <c r="I1831" s="5" t="n">
        <v>71.40000000000001</v>
      </c>
      <c r="J1831" s="4" t="n">
        <v>747.8</v>
      </c>
      <c r="K1831" s="3" t="inlineStr">
        <is>
          <t>사천선 대로변에  있으며 도로에서 진입좋음 교통편리</t>
        </is>
      </c>
      <c r="L1831" s="6">
        <f>HYPERLINK("https://fin.land.naver.com/articles/2643988146", "매물Link")</f>
        <v/>
      </c>
      <c r="M1831" s="6">
        <f>HYPERLINK("https://map.naver.com/p/search/세종특별자치시 나성동 829", "지도Link")</f>
        <v/>
      </c>
      <c r="N1831" s="6">
        <f>HYPERLINK("http://www.eum.go.kr/web/ar/lu/luLandDet.jsp?pnu=3611010700108290000&amp;isNoScr=script&amp;mode=search", "토지이음")</f>
        <v/>
      </c>
      <c r="O1831" s="3" t="inlineStr">
        <is>
          <t>비타민</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세종특별자치시 나성동 829</t>
        </is>
      </c>
      <c r="B1832" s="3" t="inlineStr">
        <is>
          <t>중심상업지역</t>
        </is>
      </c>
      <c r="C1832" s="3" t="inlineStr">
        <is>
          <t>대</t>
        </is>
      </c>
      <c r="D1832" s="3" t="inlineStr">
        <is>
          <t>전</t>
        </is>
      </c>
      <c r="E1832" s="3" t="inlineStr">
        <is>
          <t>매매</t>
        </is>
      </c>
      <c r="F1832" s="4" t="n">
        <v>51600</v>
      </c>
      <c r="G1832" s="4" t="n">
        <v>1551</v>
      </c>
      <c r="H1832" s="4" t="n">
        <v>469</v>
      </c>
      <c r="I1832" s="5" t="n">
        <v>110</v>
      </c>
      <c r="J1832" s="4" t="n">
        <v>747.8</v>
      </c>
      <c r="K1832" s="3" t="inlineStr">
        <is>
          <t>8M 개설 예정도로와 접하게 됨.2종근생.전원주택지로 추천</t>
        </is>
      </c>
      <c r="L1832" s="6">
        <f>HYPERLINK("https://fin.land.naver.com/articles/2644629110", "매물Link")</f>
        <v/>
      </c>
      <c r="M1832" s="6">
        <f>HYPERLINK("https://map.naver.com/p/search/세종특별자치시 나성동 829", "지도Link")</f>
        <v/>
      </c>
      <c r="N1832" s="6">
        <f>HYPERLINK("http://www.eum.go.kr/web/ar/lu/luLandDet.jsp?pnu=3611010700108290000&amp;isNoScr=script&amp;mode=search", "토지이음")</f>
        <v/>
      </c>
      <c r="O1832" s="3" t="inlineStr">
        <is>
          <t>명당</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세종특별자치시 나성동 829</t>
        </is>
      </c>
      <c r="B1833" s="3" t="inlineStr">
        <is>
          <t>중심상업지역</t>
        </is>
      </c>
      <c r="C1833" s="3" t="inlineStr">
        <is>
          <t>대</t>
        </is>
      </c>
      <c r="D1833" s="3" t="inlineStr">
        <is>
          <t>답</t>
        </is>
      </c>
      <c r="E1833" s="3" t="inlineStr">
        <is>
          <t>매매</t>
        </is>
      </c>
      <c r="F1833" s="4" t="n">
        <v>68500</v>
      </c>
      <c r="G1833" s="4" t="n">
        <v>4529</v>
      </c>
      <c r="H1833" s="4" t="n">
        <v>1370</v>
      </c>
      <c r="I1833" s="5" t="n">
        <v>50</v>
      </c>
      <c r="J1833" s="4" t="n">
        <v>747.8</v>
      </c>
      <c r="K1833" s="3" t="inlineStr">
        <is>
          <t>학평리 예쁜땅 태양광설치 공장추천</t>
        </is>
      </c>
      <c r="L1833" s="6">
        <f>HYPERLINK("https://fin.land.naver.com/articles/2648790399", "매물Link")</f>
        <v/>
      </c>
      <c r="M1833" s="6">
        <f>HYPERLINK("https://map.naver.com/p/search/세종특별자치시 나성동 829", "지도Link")</f>
        <v/>
      </c>
      <c r="N1833" s="6">
        <f>HYPERLINK("http://www.eum.go.kr/web/ar/lu/luLandDet.jsp?pnu=3611010700108290000&amp;isNoScr=script&amp;mode=search", "토지이음")</f>
        <v/>
      </c>
      <c r="O1833" s="3" t="inlineStr">
        <is>
          <t>조은</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세종특별자치시 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HYPERLINK("https://map.naver.com/p/search/세종특별자치시 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세종특별자치시 나성동 829</t>
        </is>
      </c>
      <c r="B1835" s="3" t="inlineStr">
        <is>
          <t>중심상업지역</t>
        </is>
      </c>
      <c r="C1835" s="3" t="inlineStr">
        <is>
          <t>대</t>
        </is>
      </c>
      <c r="D1835" s="3" t="inlineStr">
        <is>
          <t>대</t>
        </is>
      </c>
      <c r="E1835" s="3" t="inlineStr">
        <is>
          <t>매매</t>
        </is>
      </c>
      <c r="F1835" s="4" t="n">
        <v>89500</v>
      </c>
      <c r="G1835" s="4" t="n">
        <v>2664</v>
      </c>
      <c r="H1835" s="4" t="n">
        <v>806</v>
      </c>
      <c r="I1835" s="5" t="n">
        <v>111</v>
      </c>
      <c r="J1835" s="4" t="n">
        <v>747.8</v>
      </c>
      <c r="K1835" s="3" t="inlineStr">
        <is>
          <t>묵방리 단독주택과 농지 일괄매매</t>
        </is>
      </c>
      <c r="L1835" s="6">
        <f>HYPERLINK("https://fin.land.naver.com/articles/2645747757", "매물Link")</f>
        <v/>
      </c>
      <c r="M1835" s="6">
        <f>HYPERLINK("https://map.naver.com/p/search/세종특별자치시 나성동 829", "지도Link")</f>
        <v/>
      </c>
      <c r="N1835" s="6">
        <f>HYPERLINK("http://www.eum.go.kr/web/ar/lu/luLandDet.jsp?pnu=3611010700108290000&amp;isNoScr=script&amp;mode=search", "토지이음")</f>
        <v/>
      </c>
      <c r="O1835" s="3" t="inlineStr">
        <is>
          <t>우주</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세종특별자치시 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HYPERLINK("https://map.naver.com/p/search/세종특별자치시 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세종특별자치시 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HYPERLINK("https://map.naver.com/p/search/세종특별자치시 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세종특별자치시 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HYPERLINK("https://map.naver.com/p/search/세종특별자치시 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세종특별자치시 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HYPERLINK("https://map.naver.com/p/search/세종특별자치시 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세종특별자치시 나성동 829</t>
        </is>
      </c>
      <c r="B1840" s="3" t="inlineStr">
        <is>
          <t>중심상업지역</t>
        </is>
      </c>
      <c r="C1840" s="3" t="inlineStr">
        <is>
          <t>대</t>
        </is>
      </c>
      <c r="D1840" s="3" t="inlineStr">
        <is>
          <t>전</t>
        </is>
      </c>
      <c r="E1840" s="3" t="inlineStr">
        <is>
          <t>매매</t>
        </is>
      </c>
      <c r="F1840" s="4" t="n">
        <v>44600</v>
      </c>
      <c r="G1840" s="4" t="n">
        <v>4219</v>
      </c>
      <c r="H1840" s="4" t="n">
        <v>1276</v>
      </c>
      <c r="I1840" s="5" t="n">
        <v>35</v>
      </c>
      <c r="J1840" s="4" t="n">
        <v>747.8</v>
      </c>
      <c r="K1840" s="3" t="inlineStr">
        <is>
          <t>농업용전기,지하수 ,하우스 농사짖고있음.</t>
        </is>
      </c>
      <c r="L1840" s="6">
        <f>HYPERLINK("https://fin.land.naver.com/articles/2645258136", "매물Link")</f>
        <v/>
      </c>
      <c r="M1840" s="6">
        <f>HYPERLINK("https://map.naver.com/p/search/세종특별자치시 나성동 829", "지도Link")</f>
        <v/>
      </c>
      <c r="N1840" s="6">
        <f>HYPERLINK("http://www.eum.go.kr/web/ar/lu/luLandDet.jsp?pnu=3611010700108290000&amp;isNoScr=script&amp;mode=search", "토지이음")</f>
        <v/>
      </c>
      <c r="O1840" s="3" t="inlineStr">
        <is>
          <t>토지</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세종특별자치시 나성동 829</t>
        </is>
      </c>
      <c r="B1841" s="3" t="inlineStr">
        <is>
          <t>중심상업지역</t>
        </is>
      </c>
      <c r="C1841" s="3" t="inlineStr">
        <is>
          <t>대</t>
        </is>
      </c>
      <c r="D1841" s="3" t="inlineStr">
        <is>
          <t>답</t>
        </is>
      </c>
      <c r="E1841" s="3" t="inlineStr">
        <is>
          <t>매매</t>
        </is>
      </c>
      <c r="F1841" s="4" t="n">
        <v>37500</v>
      </c>
      <c r="G1841" s="4" t="n">
        <v>2689</v>
      </c>
      <c r="H1841" s="4" t="n">
        <v>813</v>
      </c>
      <c r="I1841" s="5" t="n">
        <v>46.1</v>
      </c>
      <c r="J1841" s="4" t="n">
        <v>747.8</v>
      </c>
      <c r="K1841" s="3" t="inlineStr">
        <is>
          <t>저렴한 토지입니다~</t>
        </is>
      </c>
      <c r="L1841" s="6">
        <f>HYPERLINK("https://fin.land.naver.com/articles/2648701926", "매물Link")</f>
        <v/>
      </c>
      <c r="M1841" s="6">
        <f>HYPERLINK("https://map.naver.com/p/search/세종특별자치시 나성동 829", "지도Link")</f>
        <v/>
      </c>
      <c r="N1841" s="6">
        <f>HYPERLINK("http://www.eum.go.kr/web/ar/lu/luLandDet.jsp?pnu=3611010700108290000&amp;isNoScr=script&amp;mode=search", "토지이음")</f>
        <v/>
      </c>
      <c r="O1841" s="3" t="inlineStr">
        <is>
          <t>해뜨는  사무소</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세종특별자치시 나성동 829</t>
        </is>
      </c>
      <c r="B1842" s="3" t="inlineStr">
        <is>
          <t>중심상업지역</t>
        </is>
      </c>
      <c r="C1842" s="3" t="inlineStr">
        <is>
          <t>대</t>
        </is>
      </c>
      <c r="D1842" s="3" t="inlineStr">
        <is>
          <t>답</t>
        </is>
      </c>
      <c r="E1842" s="3" t="inlineStr">
        <is>
          <t>매매</t>
        </is>
      </c>
      <c r="F1842" s="4" t="n">
        <v>22640</v>
      </c>
      <c r="G1842" s="4" t="n">
        <v>4990</v>
      </c>
      <c r="H1842" s="4" t="n">
        <v>1509</v>
      </c>
      <c r="I1842" s="5" t="n">
        <v>15</v>
      </c>
      <c r="J1842" s="4" t="n">
        <v>747.8</v>
      </c>
      <c r="K1842" s="3" t="inlineStr">
        <is>
          <t>대토투자용</t>
        </is>
      </c>
      <c r="L1842" s="6">
        <f>HYPERLINK("https://fin.land.naver.com/articles/2648311277", "매물Link")</f>
        <v/>
      </c>
      <c r="M1842" s="6">
        <f>HYPERLINK("https://map.naver.com/p/search/세종특별자치시 나성동 829", "지도Link")</f>
        <v/>
      </c>
      <c r="N1842" s="6">
        <f>HYPERLINK("http://www.eum.go.kr/web/ar/lu/luLandDet.jsp?pnu=3611010700108290000&amp;isNoScr=script&amp;mode=search", "토지이음")</f>
        <v/>
      </c>
      <c r="O1842" s="3" t="inlineStr">
        <is>
          <t>내수정보</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세종특별자치시 나성동 829</t>
        </is>
      </c>
      <c r="B1843" s="3" t="inlineStr">
        <is>
          <t>중심상업지역</t>
        </is>
      </c>
      <c r="C1843" s="3" t="inlineStr">
        <is>
          <t>대</t>
        </is>
      </c>
      <c r="D1843" s="3" t="inlineStr">
        <is>
          <t>전</t>
        </is>
      </c>
      <c r="E1843" s="3" t="inlineStr">
        <is>
          <t>매매</t>
        </is>
      </c>
      <c r="F1843" s="4" t="n">
        <v>60000</v>
      </c>
      <c r="G1843" s="4" t="n">
        <v>2065</v>
      </c>
      <c r="H1843" s="4" t="n">
        <v>625</v>
      </c>
      <c r="I1843" s="5" t="n">
        <v>96</v>
      </c>
      <c r="J1843" s="4" t="n">
        <v>747.8</v>
      </c>
      <c r="K1843" s="3" t="inlineStr">
        <is>
          <t>개발 계획선과 호재와 관광지로 충분한 가치 상승</t>
        </is>
      </c>
      <c r="L1843" s="6">
        <f>HYPERLINK("https://fin.land.naver.com/articles/2648273052", "매물Link")</f>
        <v/>
      </c>
      <c r="M1843" s="6">
        <f>HYPERLINK("https://map.naver.com/p/search/세종특별자치시 나성동 829", "지도Link")</f>
        <v/>
      </c>
      <c r="N1843" s="6">
        <f>HYPERLINK("http://www.eum.go.kr/web/ar/lu/luLandDet.jsp?pnu=3611010700108290000&amp;isNoScr=script&amp;mode=search", "토지이음")</f>
        <v/>
      </c>
      <c r="O1843" s="3" t="inlineStr">
        <is>
          <t>신영</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세종특별자치시 나성동 829</t>
        </is>
      </c>
      <c r="B1844" s="3" t="inlineStr">
        <is>
          <t>중심상업지역</t>
        </is>
      </c>
      <c r="C1844" s="3" t="inlineStr">
        <is>
          <t>대</t>
        </is>
      </c>
      <c r="D1844" s="3" t="inlineStr">
        <is>
          <t>대</t>
        </is>
      </c>
      <c r="E1844" s="3" t="inlineStr">
        <is>
          <t>매매</t>
        </is>
      </c>
      <c r="F1844" s="4" t="n">
        <v>12000</v>
      </c>
      <c r="G1844" s="4" t="n">
        <v>332</v>
      </c>
      <c r="H1844" s="4" t="n">
        <v>100</v>
      </c>
      <c r="I1844" s="5" t="n">
        <v>120</v>
      </c>
      <c r="J1844" s="4" t="n">
        <v>747.8</v>
      </c>
      <c r="K1844" s="3" t="inlineStr">
        <is>
          <t>내수읍 은곡무지개아파트 인근에 위치,2층단독주택</t>
        </is>
      </c>
      <c r="L1844" s="6">
        <f>HYPERLINK("https://fin.land.naver.com/articles/2646867669", "매물Link")</f>
        <v/>
      </c>
      <c r="M1844" s="6">
        <f>HYPERLINK("https://map.naver.com/p/search/세종특별자치시 나성동 829", "지도Link")</f>
        <v/>
      </c>
      <c r="N1844" s="6">
        <f>HYPERLINK("http://www.eum.go.kr/web/ar/lu/luLandDet.jsp?pnu=3611010700108290000&amp;isNoScr=script&amp;mode=search", "토지이음")</f>
        <v/>
      </c>
      <c r="O1844" s="3" t="inlineStr">
        <is>
          <t>일조</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세종특별자치시 나성동 829</t>
        </is>
      </c>
      <c r="B1845" s="3" t="inlineStr">
        <is>
          <t>중심상업지역</t>
        </is>
      </c>
      <c r="C1845" s="3" t="inlineStr">
        <is>
          <t>대</t>
        </is>
      </c>
      <c r="D1845" s="3" t="inlineStr">
        <is>
          <t>전</t>
        </is>
      </c>
      <c r="E1845" s="3" t="inlineStr">
        <is>
          <t>매매</t>
        </is>
      </c>
      <c r="F1845" s="4" t="n">
        <v>67000</v>
      </c>
      <c r="G1845" s="4" t="n">
        <v>1775</v>
      </c>
      <c r="H1845" s="4" t="n">
        <v>537</v>
      </c>
      <c r="I1845" s="5" t="n">
        <v>124.8</v>
      </c>
      <c r="J1845" s="4" t="n">
        <v>747.8</v>
      </c>
      <c r="K1845" s="3" t="inlineStr">
        <is>
          <t>공장 창고 차고지 야적장</t>
        </is>
      </c>
      <c r="L1845" s="6">
        <f>HYPERLINK("https://fin.land.naver.com/articles/2646974972", "매물Link")</f>
        <v/>
      </c>
      <c r="M1845" s="6">
        <f>HYPERLINK("https://map.naver.com/p/search/세종특별자치시 나성동 829", "지도Link")</f>
        <v/>
      </c>
      <c r="N1845" s="6">
        <f>HYPERLINK("http://www.eum.go.kr/web/ar/lu/luLandDet.jsp?pnu=3611010700108290000&amp;isNoScr=script&amp;mode=search", "토지이음")</f>
        <v/>
      </c>
      <c r="O1845" s="3" t="inlineStr">
        <is>
          <t>명문</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세종특별자치시 나성동 829</t>
        </is>
      </c>
      <c r="B1846" s="3" t="inlineStr">
        <is>
          <t>중심상업지역</t>
        </is>
      </c>
      <c r="C1846" s="3" t="inlineStr">
        <is>
          <t>대</t>
        </is>
      </c>
      <c r="D1846" s="3" t="inlineStr">
        <is>
          <t>창고용지</t>
        </is>
      </c>
      <c r="E1846" s="3" t="inlineStr">
        <is>
          <t>매매</t>
        </is>
      </c>
      <c r="F1846" s="4" t="n">
        <v>210000</v>
      </c>
      <c r="G1846" s="4" t="n">
        <v>4762</v>
      </c>
      <c r="H1846" s="4" t="n">
        <v>1441</v>
      </c>
      <c r="I1846" s="5" t="n">
        <v>145.7</v>
      </c>
      <c r="J1846" s="4" t="n">
        <v>747.8</v>
      </c>
      <c r="K1846" s="3" t="inlineStr">
        <is>
          <t>청주 수름재에서 증평방향약 3Km 3차우회도로 구성초분기점인근</t>
        </is>
      </c>
      <c r="L1846" s="6">
        <f>HYPERLINK("https://fin.land.naver.com/articles/2647079057", "매물Link")</f>
        <v/>
      </c>
      <c r="M1846" s="6">
        <f>HYPERLINK("https://map.naver.com/p/search/세종특별자치시 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세종특별자치시 나성동 829</t>
        </is>
      </c>
      <c r="B1847" s="3" t="inlineStr">
        <is>
          <t>중심상업지역</t>
        </is>
      </c>
      <c r="C1847" s="3" t="inlineStr">
        <is>
          <t>대</t>
        </is>
      </c>
      <c r="D1847" s="3" t="inlineStr">
        <is>
          <t>전</t>
        </is>
      </c>
      <c r="E1847" s="3" t="inlineStr">
        <is>
          <t>매매</t>
        </is>
      </c>
      <c r="F1847" s="4" t="n">
        <v>92820</v>
      </c>
      <c r="G1847" s="4" t="n">
        <v>2644</v>
      </c>
      <c r="H1847" s="4" t="n">
        <v>800</v>
      </c>
      <c r="I1847" s="5" t="n">
        <v>116</v>
      </c>
      <c r="J1847" s="4" t="n">
        <v>747.8</v>
      </c>
      <c r="K1847" s="3" t="inlineStr">
        <is>
          <t>구성리 대영자동차 운전학원 안쪽마을 어귀에 자리한 토지입니다</t>
        </is>
      </c>
      <c r="L1847" s="6">
        <f>HYPERLINK("https://fin.land.naver.com/articles/2647133651", "매물Link")</f>
        <v/>
      </c>
      <c r="M1847" s="6">
        <f>HYPERLINK("https://map.naver.com/p/search/세종특별자치시 나성동 829", "지도Link")</f>
        <v/>
      </c>
      <c r="N1847" s="6">
        <f>HYPERLINK("http://www.eum.go.kr/web/ar/lu/luLandDet.jsp?pnu=3611010700108290000&amp;isNoScr=script&amp;mode=search", "토지이음")</f>
        <v/>
      </c>
      <c r="O1847" s="3" t="inlineStr">
        <is>
          <t>지구촌무소</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세종특별자치시 나성동 829</t>
        </is>
      </c>
      <c r="B1848" s="3" t="inlineStr">
        <is>
          <t>중심상업지역</t>
        </is>
      </c>
      <c r="C1848" s="3" t="inlineStr">
        <is>
          <t>대</t>
        </is>
      </c>
      <c r="D1848" s="3" t="inlineStr">
        <is>
          <t>전</t>
        </is>
      </c>
      <c r="E1848" s="3" t="inlineStr">
        <is>
          <t>매매</t>
        </is>
      </c>
      <c r="F1848" s="4" t="n">
        <v>28300</v>
      </c>
      <c r="G1848" s="4" t="n">
        <v>1765</v>
      </c>
      <c r="H1848" s="4" t="n">
        <v>534</v>
      </c>
      <c r="I1848" s="5" t="n">
        <v>53</v>
      </c>
      <c r="J1848" s="4" t="n">
        <v>747.8</v>
      </c>
      <c r="K1848" s="3" t="inlineStr">
        <is>
          <t>nan</t>
        </is>
      </c>
      <c r="L1848" s="6">
        <f>HYPERLINK("https://fin.land.naver.com/articles/2647192025", "매물Link")</f>
        <v/>
      </c>
      <c r="M1848" s="6">
        <f>HYPERLINK("https://map.naver.com/p/search/세종특별자치시 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세종특별자치시 나성동 829</t>
        </is>
      </c>
      <c r="B1849" s="3" t="inlineStr">
        <is>
          <t>중심상업지역</t>
        </is>
      </c>
      <c r="C1849" s="3" t="inlineStr">
        <is>
          <t>대</t>
        </is>
      </c>
      <c r="D1849" s="3" t="inlineStr">
        <is>
          <t>대</t>
        </is>
      </c>
      <c r="E1849" s="3" t="inlineStr">
        <is>
          <t>매매</t>
        </is>
      </c>
      <c r="F1849" s="4" t="n">
        <v>9800</v>
      </c>
      <c r="G1849" s="4" t="n">
        <v>313</v>
      </c>
      <c r="H1849" s="4" t="n">
        <v>95</v>
      </c>
      <c r="I1849" s="5" t="n">
        <v>103.2</v>
      </c>
      <c r="J1849" s="4" t="n">
        <v>747.8</v>
      </c>
      <c r="K1849" s="3" t="inlineStr">
        <is>
          <t>nan</t>
        </is>
      </c>
      <c r="L1849" s="6">
        <f>HYPERLINK("https://fin.land.naver.com/articles/2647192517", "매물Link")</f>
        <v/>
      </c>
      <c r="M1849" s="6">
        <f>HYPERLINK("https://map.naver.com/p/search/세종특별자치시 나성동 829", "지도Link")</f>
        <v/>
      </c>
      <c r="N1849" s="6">
        <f>HYPERLINK("http://www.eum.go.kr/web/ar/lu/luLandDet.jsp?pnu=3611010700108290000&amp;isNoScr=script&amp;mode=search", "토지이음")</f>
        <v/>
      </c>
      <c r="O1849" s="3" t="inlineStr">
        <is>
          <t>덕성</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세종특별자치시 나성동 829</t>
        </is>
      </c>
      <c r="B1850" s="3" t="inlineStr">
        <is>
          <t>중심상업지역</t>
        </is>
      </c>
      <c r="C1850" s="3" t="inlineStr">
        <is>
          <t>대</t>
        </is>
      </c>
      <c r="D1850" s="3" t="inlineStr">
        <is>
          <t>전</t>
        </is>
      </c>
      <c r="E1850" s="3" t="inlineStr">
        <is>
          <t>매매</t>
        </is>
      </c>
      <c r="F1850" s="4" t="n">
        <v>42000</v>
      </c>
      <c r="G1850" s="4" t="n">
        <v>1008</v>
      </c>
      <c r="H1850" s="4" t="n">
        <v>305</v>
      </c>
      <c r="I1850" s="5" t="n">
        <v>137.7</v>
      </c>
      <c r="J1850" s="4" t="n">
        <v>747.8</v>
      </c>
      <c r="K1850" s="3" t="inlineStr">
        <is>
          <t>nan</t>
        </is>
      </c>
      <c r="L1850" s="6">
        <f>HYPERLINK("https://fin.land.naver.com/articles/2647309421", "매물Link")</f>
        <v/>
      </c>
      <c r="M1850" s="6">
        <f>HYPERLINK("https://map.naver.com/p/search/세종특별자치시 나성동 829", "지도Link")</f>
        <v/>
      </c>
      <c r="N1850" s="6">
        <f>HYPERLINK("http://www.eum.go.kr/web/ar/lu/luLandDet.jsp?pnu=3611010700108290000&amp;isNoScr=script&amp;mode=search", "토지이음")</f>
        <v/>
      </c>
      <c r="O1850" s="3" t="inlineStr">
        <is>
          <t>황금</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세종특별자치시 나성동 829</t>
        </is>
      </c>
      <c r="B1851" s="3" t="inlineStr">
        <is>
          <t>중심상업지역</t>
        </is>
      </c>
      <c r="C1851" s="3" t="inlineStr">
        <is>
          <t>대</t>
        </is>
      </c>
      <c r="D1851" s="3" t="inlineStr">
        <is>
          <t>전</t>
        </is>
      </c>
      <c r="E1851" s="3" t="inlineStr">
        <is>
          <t>매매</t>
        </is>
      </c>
      <c r="F1851" s="4" t="n">
        <v>90900</v>
      </c>
      <c r="G1851" s="4" t="n">
        <v>5008</v>
      </c>
      <c r="H1851" s="4" t="n">
        <v>1515</v>
      </c>
      <c r="I1851" s="5" t="n">
        <v>60</v>
      </c>
      <c r="J1851" s="4" t="n">
        <v>747.8</v>
      </c>
      <c r="K1851" s="3" t="inlineStr">
        <is>
          <t>급매, 창고용지나 대토용 토지</t>
        </is>
      </c>
      <c r="L1851" s="6">
        <f>HYPERLINK("https://fin.land.naver.com/articles/2648052186", "매물Link")</f>
        <v/>
      </c>
      <c r="M1851" s="6">
        <f>HYPERLINK("https://map.naver.com/p/search/세종특별자치시 나성동 829", "지도Link")</f>
        <v/>
      </c>
      <c r="N1851" s="6">
        <f>HYPERLINK("http://www.eum.go.kr/web/ar/lu/luLandDet.jsp?pnu=3611010700108290000&amp;isNoScr=script&amp;mode=search", "토지이음")</f>
        <v/>
      </c>
      <c r="O1851" s="3" t="inlineStr">
        <is>
          <t>용암</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세종특별자치시 나성동 829</t>
        </is>
      </c>
      <c r="B1852" s="3" t="inlineStr">
        <is>
          <t>중심상업지역</t>
        </is>
      </c>
      <c r="C1852" s="3" t="inlineStr">
        <is>
          <t>대</t>
        </is>
      </c>
      <c r="D1852" s="3" t="inlineStr">
        <is>
          <t>답</t>
        </is>
      </c>
      <c r="E1852" s="3" t="inlineStr">
        <is>
          <t>매매</t>
        </is>
      </c>
      <c r="F1852" s="4" t="n">
        <v>20000</v>
      </c>
      <c r="G1852" s="4" t="n">
        <v>2401</v>
      </c>
      <c r="H1852" s="4" t="n">
        <v>726</v>
      </c>
      <c r="I1852" s="5" t="n">
        <v>27.5</v>
      </c>
      <c r="J1852" s="4" t="n">
        <v>747.8</v>
      </c>
      <c r="K1852" s="3" t="inlineStr">
        <is>
          <t>농진구역,직사각형 양쪽면이 도로,6차로,2차로 접</t>
        </is>
      </c>
      <c r="L1852" s="6">
        <f>HYPERLINK("https://fin.land.naver.com/articles/2648232814", "매물Link")</f>
        <v/>
      </c>
      <c r="M1852" s="6">
        <f>HYPERLINK("https://map.naver.com/p/search/세종특별자치시 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세종특별자치시 나성동 829</t>
        </is>
      </c>
      <c r="B1853" s="3" t="inlineStr">
        <is>
          <t>중심상업지역</t>
        </is>
      </c>
      <c r="C1853" s="3" t="inlineStr">
        <is>
          <t>대</t>
        </is>
      </c>
      <c r="D1853" s="3" t="inlineStr">
        <is>
          <t>전</t>
        </is>
      </c>
      <c r="E1853" s="3" t="inlineStr">
        <is>
          <t>매매</t>
        </is>
      </c>
      <c r="F1853" s="4" t="n">
        <v>47000</v>
      </c>
      <c r="G1853" s="4" t="n">
        <v>2876</v>
      </c>
      <c r="H1853" s="4" t="n">
        <v>870</v>
      </c>
      <c r="I1853" s="5" t="n">
        <v>54</v>
      </c>
      <c r="J1853" s="4" t="n">
        <v>747.8</v>
      </c>
      <c r="K1853" s="3" t="inlineStr">
        <is>
          <t>계획관리,마을도로(4m) 접함.</t>
        </is>
      </c>
      <c r="L1853" s="6">
        <f>HYPERLINK("https://fin.land.naver.com/articles/2648233382", "매물Link")</f>
        <v/>
      </c>
      <c r="M1853" s="6">
        <f>HYPERLINK("https://map.naver.com/p/search/세종특별자치시 나성동 829", "지도Link")</f>
        <v/>
      </c>
      <c r="N1853" s="6">
        <f>HYPERLINK("http://www.eum.go.kr/web/ar/lu/luLandDet.jsp?pnu=3611010700108290000&amp;isNoScr=script&amp;mode=search", "토지이음")</f>
        <v/>
      </c>
      <c r="O1853" s="3" t="inlineStr">
        <is>
          <t>청와대합동사무소</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세종특별자치시 나성동 829</t>
        </is>
      </c>
      <c r="B1854" s="3" t="inlineStr">
        <is>
          <t>중심상업지역</t>
        </is>
      </c>
      <c r="C1854" s="3" t="inlineStr">
        <is>
          <t>대</t>
        </is>
      </c>
      <c r="D1854" s="3" t="inlineStr">
        <is>
          <t>전</t>
        </is>
      </c>
      <c r="E1854" s="3" t="inlineStr">
        <is>
          <t>매매</t>
        </is>
      </c>
      <c r="F1854" s="4" t="n">
        <v>18000</v>
      </c>
      <c r="G1854" s="4" t="n">
        <v>1507</v>
      </c>
      <c r="H1854" s="4" t="n">
        <v>456</v>
      </c>
      <c r="I1854" s="5" t="n">
        <v>39.5</v>
      </c>
      <c r="J1854" s="4" t="n">
        <v>747.8</v>
      </c>
      <c r="K1854" s="3" t="inlineStr">
        <is>
          <t>nan</t>
        </is>
      </c>
      <c r="L1854" s="6">
        <f>HYPERLINK("https://fin.land.naver.com/articles/2648271274", "매물Link")</f>
        <v/>
      </c>
      <c r="M1854" s="6">
        <f>HYPERLINK("https://map.naver.com/p/search/세종특별자치시 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세종특별자치시 나성동 829</t>
        </is>
      </c>
      <c r="B1855" s="3" t="inlineStr">
        <is>
          <t>중심상업지역</t>
        </is>
      </c>
      <c r="C1855" s="3" t="inlineStr">
        <is>
          <t>대</t>
        </is>
      </c>
      <c r="D1855" s="3" t="inlineStr">
        <is>
          <t>전</t>
        </is>
      </c>
      <c r="E1855" s="3" t="inlineStr">
        <is>
          <t>매매</t>
        </is>
      </c>
      <c r="F1855" s="4" t="n">
        <v>16000</v>
      </c>
      <c r="G1855" s="4" t="n">
        <v>1507</v>
      </c>
      <c r="H1855" s="4" t="n">
        <v>456</v>
      </c>
      <c r="I1855" s="5" t="n">
        <v>35.1</v>
      </c>
      <c r="J1855" s="4" t="n">
        <v>747.8</v>
      </c>
      <c r="K1855" s="3" t="inlineStr">
        <is>
          <t>진입 도로 확보 및 우수한 접근성</t>
        </is>
      </c>
      <c r="L1855" s="6">
        <f>HYPERLINK("https://fin.land.naver.com/articles/2648272805", "매물Link")</f>
        <v/>
      </c>
      <c r="M1855" s="6">
        <f>HYPERLINK("https://map.naver.com/p/search/세종특별자치시 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세종특별자치시 나성동 829</t>
        </is>
      </c>
      <c r="B1856" s="3" t="inlineStr">
        <is>
          <t>중심상업지역</t>
        </is>
      </c>
      <c r="C1856" s="3" t="inlineStr">
        <is>
          <t>대</t>
        </is>
      </c>
      <c r="D1856" s="3" t="inlineStr">
        <is>
          <t>전</t>
        </is>
      </c>
      <c r="E1856" s="3" t="inlineStr">
        <is>
          <t>매매</t>
        </is>
      </c>
      <c r="F1856" s="4" t="n">
        <v>78000</v>
      </c>
      <c r="G1856" s="4" t="n">
        <v>1701</v>
      </c>
      <c r="H1856" s="4" t="n">
        <v>515</v>
      </c>
      <c r="I1856" s="5" t="n">
        <v>151.5</v>
      </c>
      <c r="J1856" s="4" t="n">
        <v>747.8</v>
      </c>
      <c r="K1856" s="3" t="inlineStr">
        <is>
          <t>청주 3순환로 인근 도로접한 토지</t>
        </is>
      </c>
      <c r="L1856" s="6">
        <f>HYPERLINK("https://fin.land.naver.com/articles/2649018089", "매물Link")</f>
        <v/>
      </c>
      <c r="M1856" s="6">
        <f>HYPERLINK("https://map.naver.com/p/search/세종특별자치시 나성동 829", "지도Link")</f>
        <v/>
      </c>
      <c r="N1856" s="6">
        <f>HYPERLINK("http://www.eum.go.kr/web/ar/lu/luLandDet.jsp?pnu=3611010700108290000&amp;isNoScr=script&amp;mode=search", "토지이음")</f>
        <v/>
      </c>
      <c r="O1856" s="3" t="inlineStr">
        <is>
          <t>신나라</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세종특별자치시 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HYPERLINK("https://map.naver.com/p/search/세종특별자치시 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세종특별자치시 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HYPERLINK("https://map.naver.com/p/search/세종특별자치시 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세종특별자치시 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HYPERLINK("https://map.naver.com/p/search/세종특별자치시 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세종특별자치시 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HYPERLINK("https://map.naver.com/p/search/세종특별자치시 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세종특별자치시 나성동 829</t>
        </is>
      </c>
      <c r="B1861" s="3" t="inlineStr">
        <is>
          <t>중심상업지역</t>
        </is>
      </c>
      <c r="C1861" s="3" t="inlineStr">
        <is>
          <t>대</t>
        </is>
      </c>
      <c r="D1861" s="3" t="inlineStr">
        <is>
          <t>대</t>
        </is>
      </c>
      <c r="E1861" s="3" t="inlineStr">
        <is>
          <t>매매</t>
        </is>
      </c>
      <c r="F1861" s="4" t="n">
        <v>24500</v>
      </c>
      <c r="G1861" s="4" t="n">
        <v>774</v>
      </c>
      <c r="H1861" s="4" t="n">
        <v>234</v>
      </c>
      <c r="I1861" s="5" t="n">
        <v>104.7</v>
      </c>
      <c r="J1861" s="4" t="n">
        <v>747.8</v>
      </c>
      <c r="K1861" s="3" t="inlineStr">
        <is>
          <t>나대지 10분거리내 청주,오창,오송인접</t>
        </is>
      </c>
      <c r="L1861" s="6">
        <f>HYPERLINK("https://fin.land.naver.com/articles/2649822161", "매물Link")</f>
        <v/>
      </c>
      <c r="M1861" s="6">
        <f>HYPERLINK("https://map.naver.com/p/search/세종특별자치시 나성동 829", "지도Link")</f>
        <v/>
      </c>
      <c r="N1861" s="6">
        <f>HYPERLINK("http://www.eum.go.kr/web/ar/lu/luLandDet.jsp?pnu=3611010700108290000&amp;isNoScr=script&amp;mode=search", "토지이음")</f>
        <v/>
      </c>
      <c r="O1861" s="3" t="inlineStr">
        <is>
          <t>갑부</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세종특별자치시 나성동 829</t>
        </is>
      </c>
      <c r="B1862" s="3" t="inlineStr">
        <is>
          <t>중심상업지역</t>
        </is>
      </c>
      <c r="C1862" s="3" t="inlineStr">
        <is>
          <t>대</t>
        </is>
      </c>
      <c r="D1862" s="3" t="inlineStr">
        <is>
          <t>대</t>
        </is>
      </c>
      <c r="E1862" s="3" t="inlineStr">
        <is>
          <t>매매</t>
        </is>
      </c>
      <c r="F1862" s="4" t="n">
        <v>12600</v>
      </c>
      <c r="G1862" s="4" t="n">
        <v>431</v>
      </c>
      <c r="H1862" s="4" t="n">
        <v>130</v>
      </c>
      <c r="I1862" s="5" t="n">
        <v>96.90000000000001</v>
      </c>
      <c r="J1862" s="4" t="n">
        <v>747.8</v>
      </c>
      <c r="K1862" s="3" t="inlineStr">
        <is>
          <t>3차우회도로 500미터,토목,인,허가 완료된 부지</t>
        </is>
      </c>
      <c r="L1862" s="6">
        <f>HYPERLINK("https://fin.land.naver.com/articles/2646748878", "매물Link")</f>
        <v/>
      </c>
      <c r="M1862" s="6">
        <f>HYPERLINK("https://map.naver.com/p/search/세종특별자치시 나성동 829", "지도Link")</f>
        <v/>
      </c>
      <c r="N1862" s="6">
        <f>HYPERLINK("http://www.eum.go.kr/web/ar/lu/luLandDet.jsp?pnu=3611010700108290000&amp;isNoScr=script&amp;mode=search", "토지이음")</f>
        <v/>
      </c>
      <c r="O1862" s="3" t="inlineStr">
        <is>
          <t>공장365</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세종특별자치시 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HYPERLINK("https://map.naver.com/p/search/세종특별자치시 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세종특별자치시 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HYPERLINK("https://map.naver.com/p/search/세종특별자치시 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세종특별자치시 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HYPERLINK("https://map.naver.com/p/search/세종특별자치시 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세종특별자치시 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HYPERLINK("https://map.naver.com/p/search/세종특별자치시 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세종특별자치시 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HYPERLINK("https://map.naver.com/p/search/세종특별자치시 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세종특별자치시 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HYPERLINK("https://map.naver.com/p/search/세종특별자치시 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세종특별자치시 나성동 829</t>
        </is>
      </c>
      <c r="B1869" s="3" t="inlineStr">
        <is>
          <t>중심상업지역</t>
        </is>
      </c>
      <c r="C1869" s="3" t="inlineStr">
        <is>
          <t>대</t>
        </is>
      </c>
      <c r="D1869" s="3" t="inlineStr">
        <is>
          <t>답</t>
        </is>
      </c>
      <c r="E1869" s="3" t="inlineStr">
        <is>
          <t>매매</t>
        </is>
      </c>
      <c r="F1869" s="4" t="n">
        <v>45800</v>
      </c>
      <c r="G1869" s="4" t="n">
        <v>3784</v>
      </c>
      <c r="H1869" s="4" t="n">
        <v>1145</v>
      </c>
      <c r="I1869" s="5" t="n">
        <v>40</v>
      </c>
      <c r="J1869" s="4" t="n">
        <v>747.8</v>
      </c>
      <c r="K1869" s="3" t="inlineStr">
        <is>
          <t>내수읍 묵방리 토지매매</t>
        </is>
      </c>
      <c r="L1869" s="6">
        <f>HYPERLINK("https://fin.land.naver.com/articles/2648224866", "매물Link")</f>
        <v/>
      </c>
      <c r="M1869" s="6">
        <f>HYPERLINK("https://map.naver.com/p/search/세종특별자치시 나성동 829", "지도Link")</f>
        <v/>
      </c>
      <c r="N1869" s="6">
        <f>HYPERLINK("http://www.eum.go.kr/web/ar/lu/luLandDet.jsp?pnu=3611010700108290000&amp;isNoScr=script&amp;mode=search", "토지이음")</f>
        <v/>
      </c>
      <c r="O1869" s="3" t="inlineStr">
        <is>
          <t>세원</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세종특별자치시 나성동 829</t>
        </is>
      </c>
      <c r="B1870" s="3" t="inlineStr">
        <is>
          <t>중심상업지역</t>
        </is>
      </c>
      <c r="C1870" s="3" t="inlineStr">
        <is>
          <t>대</t>
        </is>
      </c>
      <c r="D1870" s="3" t="inlineStr">
        <is>
          <t>임야</t>
        </is>
      </c>
      <c r="E1870" s="3" t="inlineStr">
        <is>
          <t>매매</t>
        </is>
      </c>
      <c r="F1870" s="4" t="n">
        <v>250000</v>
      </c>
      <c r="G1870" s="4" t="n">
        <v>21377</v>
      </c>
      <c r="H1870" s="4" t="n">
        <v>6467</v>
      </c>
      <c r="I1870" s="5" t="n">
        <v>38.7</v>
      </c>
      <c r="J1870" s="4" t="n">
        <v>747.8</v>
      </c>
      <c r="K1870" s="3" t="inlineStr">
        <is>
          <t>공장인허가토목완료.허가조건계약가능</t>
        </is>
      </c>
      <c r="L1870" s="6">
        <f>HYPERLINK("https://fin.land.naver.com/articles/2649901210", "매물Link")</f>
        <v/>
      </c>
      <c r="M1870" s="6">
        <f>HYPERLINK("https://map.naver.com/p/search/세종특별자치시 나성동 829", "지도Link")</f>
        <v/>
      </c>
      <c r="N1870" s="6">
        <f>HYPERLINK("http://www.eum.go.kr/web/ar/lu/luLandDet.jsp?pnu=3611010700108290000&amp;isNoScr=script&amp;mode=search", "토지이음")</f>
        <v/>
      </c>
      <c r="O1870" s="3" t="inlineStr">
        <is>
          <t>정세영</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세종특별자치시 나성동 829</t>
        </is>
      </c>
      <c r="B1871" s="3" t="inlineStr">
        <is>
          <t>중심상업지역</t>
        </is>
      </c>
      <c r="C1871" s="3" t="inlineStr">
        <is>
          <t>대</t>
        </is>
      </c>
      <c r="D1871" s="3" t="inlineStr">
        <is>
          <t>전</t>
        </is>
      </c>
      <c r="E1871" s="3" t="inlineStr">
        <is>
          <t>매매</t>
        </is>
      </c>
      <c r="F1871" s="4" t="n">
        <v>61000</v>
      </c>
      <c r="G1871" s="4" t="n">
        <v>1963</v>
      </c>
      <c r="H1871" s="4" t="n">
        <v>594</v>
      </c>
      <c r="I1871" s="5" t="n">
        <v>102.7</v>
      </c>
      <c r="J1871" s="4" t="n">
        <v>747.8</v>
      </c>
      <c r="K1871" s="3" t="inlineStr">
        <is>
          <t>계획관리지역</t>
        </is>
      </c>
      <c r="L1871" s="6">
        <f>HYPERLINK("https://fin.land.naver.com/articles/2644009658", "매물Link")</f>
        <v/>
      </c>
      <c r="M1871" s="6">
        <f>HYPERLINK("https://map.naver.com/p/search/세종특별자치시 나성동 829", "지도Link")</f>
        <v/>
      </c>
      <c r="N1871" s="6">
        <f>HYPERLINK("http://www.eum.go.kr/web/ar/lu/luLandDet.jsp?pnu=3611010700108290000&amp;isNoScr=script&amp;mode=search", "토지이음")</f>
        <v/>
      </c>
      <c r="O1871" s="3" t="inlineStr">
        <is>
          <t>오송원</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세종특별자치시 나성동 829</t>
        </is>
      </c>
      <c r="B1872" s="3" t="inlineStr">
        <is>
          <t>중심상업지역</t>
        </is>
      </c>
      <c r="C1872" s="3" t="inlineStr">
        <is>
          <t>대</t>
        </is>
      </c>
      <c r="D1872" s="3" t="inlineStr">
        <is>
          <t>대</t>
        </is>
      </c>
      <c r="E1872" s="3" t="inlineStr">
        <is>
          <t>매매</t>
        </is>
      </c>
      <c r="F1872" s="4" t="n">
        <v>94000</v>
      </c>
      <c r="G1872" s="4" t="n">
        <v>412</v>
      </c>
      <c r="H1872" s="4" t="n">
        <v>125</v>
      </c>
      <c r="I1872" s="5" t="n">
        <v>752</v>
      </c>
      <c r="J1872" s="4" t="n">
        <v>747.8</v>
      </c>
      <c r="K1872" s="3" t="inlineStr">
        <is>
          <t>월곡리 대로변 광고효과 좋은 토지</t>
        </is>
      </c>
      <c r="L1872" s="6">
        <f>HYPERLINK("https://fin.land.naver.com/articles/2645443477", "매물Link")</f>
        <v/>
      </c>
      <c r="M1872" s="6">
        <f>HYPERLINK("https://map.naver.com/p/search/세종특별자치시 나성동 829", "지도Link")</f>
        <v/>
      </c>
      <c r="N1872" s="6">
        <f>HYPERLINK("http://www.eum.go.kr/web/ar/lu/luLandDet.jsp?pnu=3611010700108290000&amp;isNoScr=script&amp;mode=search", "토지이음")</f>
        <v/>
      </c>
      <c r="O1872" s="3" t="inlineStr">
        <is>
          <t>노블</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세종특별자치시 나성동 829</t>
        </is>
      </c>
      <c r="B1873" s="3" t="inlineStr">
        <is>
          <t>중심상업지역</t>
        </is>
      </c>
      <c r="C1873" s="3" t="inlineStr">
        <is>
          <t>대</t>
        </is>
      </c>
      <c r="D1873" s="3" t="inlineStr">
        <is>
          <t>잡종지</t>
        </is>
      </c>
      <c r="E1873" s="3" t="inlineStr">
        <is>
          <t>매매</t>
        </is>
      </c>
      <c r="F1873" s="4" t="n">
        <v>140000</v>
      </c>
      <c r="G1873" s="4" t="n">
        <v>3094</v>
      </c>
      <c r="H1873" s="4" t="n">
        <v>936</v>
      </c>
      <c r="I1873" s="5" t="n">
        <v>149.6</v>
      </c>
      <c r="J1873" s="4" t="n">
        <v>747.8</v>
      </c>
      <c r="K1873" s="3" t="inlineStr">
        <is>
          <t>태양광설치 사업 토지,수익률 좋음</t>
        </is>
      </c>
      <c r="L1873" s="6">
        <f>HYPERLINK("https://fin.land.naver.com/articles/2645456555", "매물Link")</f>
        <v/>
      </c>
      <c r="M1873" s="6">
        <f>HYPERLINK("https://map.naver.com/p/search/세종특별자치시 나성동 829", "지도Link")</f>
        <v/>
      </c>
      <c r="N1873" s="6">
        <f>HYPERLINK("http://www.eum.go.kr/web/ar/lu/luLandDet.jsp?pnu=3611010700108290000&amp;isNoScr=script&amp;mode=search", "토지이음")</f>
        <v/>
      </c>
      <c r="O1873" s="3" t="inlineStr">
        <is>
          <t>금빛힐스</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세종특별자치시 나성동 829</t>
        </is>
      </c>
      <c r="B1874" s="3" t="inlineStr">
        <is>
          <t>중심상업지역</t>
        </is>
      </c>
      <c r="C1874" s="3" t="inlineStr">
        <is>
          <t>대</t>
        </is>
      </c>
      <c r="D1874" s="3" t="inlineStr">
        <is>
          <t>답</t>
        </is>
      </c>
      <c r="E1874" s="3" t="inlineStr">
        <is>
          <t>매매</t>
        </is>
      </c>
      <c r="F1874" s="4" t="n">
        <v>150000</v>
      </c>
      <c r="G1874" s="4" t="n">
        <v>3434</v>
      </c>
      <c r="H1874" s="4" t="n">
        <v>1039</v>
      </c>
      <c r="I1874" s="5" t="n">
        <v>144.4</v>
      </c>
      <c r="J1874" s="4" t="n">
        <v>747.8</v>
      </c>
      <c r="K1874" s="3" t="inlineStr">
        <is>
          <t>공장.창고부지</t>
        </is>
      </c>
      <c r="L1874" s="6">
        <f>HYPERLINK("https://fin.land.naver.com/articles/2646011332", "매물Link")</f>
        <v/>
      </c>
      <c r="M1874" s="6">
        <f>HYPERLINK("https://map.naver.com/p/search/세종특별자치시 나성동 829", "지도Link")</f>
        <v/>
      </c>
      <c r="N1874" s="6">
        <f>HYPERLINK("http://www.eum.go.kr/web/ar/lu/luLandDet.jsp?pnu=3611010700108290000&amp;isNoScr=script&amp;mode=search", "토지이음")</f>
        <v/>
      </c>
      <c r="O1874" s="3" t="inlineStr">
        <is>
          <t>케이투(k2)</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세종특별자치시 나성동 829</t>
        </is>
      </c>
      <c r="B1875" s="3" t="inlineStr">
        <is>
          <t>중심상업지역</t>
        </is>
      </c>
      <c r="C1875" s="3" t="inlineStr">
        <is>
          <t>대</t>
        </is>
      </c>
      <c r="D1875" s="3" t="inlineStr">
        <is>
          <t>전</t>
        </is>
      </c>
      <c r="E1875" s="3" t="inlineStr">
        <is>
          <t>매매</t>
        </is>
      </c>
      <c r="F1875" s="4" t="n">
        <v>73000</v>
      </c>
      <c r="G1875" s="4" t="n">
        <v>1334</v>
      </c>
      <c r="H1875" s="4" t="n">
        <v>404</v>
      </c>
      <c r="I1875" s="5" t="n">
        <v>180.7</v>
      </c>
      <c r="J1875" s="4" t="n">
        <v>747.8</v>
      </c>
      <c r="K1875" s="3" t="inlineStr">
        <is>
          <t>도로변 계획관리지역</t>
        </is>
      </c>
      <c r="L1875" s="6">
        <f>HYPERLINK("https://fin.land.naver.com/articles/2646287974", "매물Link")</f>
        <v/>
      </c>
      <c r="M1875" s="6">
        <f>HYPERLINK("https://map.naver.com/p/search/세종특별자치시 나성동 829", "지도Link")</f>
        <v/>
      </c>
      <c r="N1875" s="6">
        <f>HYPERLINK("http://www.eum.go.kr/web/ar/lu/luLandDet.jsp?pnu=3611010700108290000&amp;isNoScr=script&amp;mode=search", "토지이음")</f>
        <v/>
      </c>
      <c r="O1875" s="3" t="inlineStr">
        <is>
          <t>수풀림</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세종특별자치시 나성동 829</t>
        </is>
      </c>
      <c r="B1876" s="3" t="inlineStr">
        <is>
          <t>중심상업지역</t>
        </is>
      </c>
      <c r="C1876" s="3" t="inlineStr">
        <is>
          <t>대</t>
        </is>
      </c>
      <c r="D1876" s="3" t="inlineStr">
        <is>
          <t>공장용지</t>
        </is>
      </c>
      <c r="E1876" s="3" t="inlineStr">
        <is>
          <t>월세</t>
        </is>
      </c>
      <c r="F1876" s="4" t="n">
        <v>30000</v>
      </c>
      <c r="G1876" s="4" t="n">
        <v>20968</v>
      </c>
      <c r="H1876" s="4" t="n">
        <v>6343</v>
      </c>
      <c r="I1876" s="5" t="n">
        <v>0</v>
      </c>
      <c r="J1876" s="4" t="n">
        <v>747.8</v>
      </c>
      <c r="K1876" s="3" t="inlineStr">
        <is>
          <t>대형 토지  야적장등으로 임대합니다</t>
        </is>
      </c>
      <c r="L1876" s="6">
        <f>HYPERLINK("https://fin.land.naver.com/articles/2646356953", "매물Link")</f>
        <v/>
      </c>
      <c r="M1876" s="6">
        <f>HYPERLINK("https://map.naver.com/p/search/세종특별자치시 나성동 829", "지도Link")</f>
        <v/>
      </c>
      <c r="N1876" s="6">
        <f>HYPERLINK("http://www.eum.go.kr/web/ar/lu/luLandDet.jsp?pnu=3611010700108290000&amp;isNoScr=script&amp;mode=search", "토지이음")</f>
        <v/>
      </c>
      <c r="O1876" s="3" t="inlineStr">
        <is>
          <t>더행복</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세종특별자치시 나성동 829</t>
        </is>
      </c>
      <c r="B1877" s="3" t="inlineStr">
        <is>
          <t>중심상업지역</t>
        </is>
      </c>
      <c r="C1877" s="3" t="inlineStr">
        <is>
          <t>대</t>
        </is>
      </c>
      <c r="D1877" s="3" t="inlineStr">
        <is>
          <t>전</t>
        </is>
      </c>
      <c r="E1877" s="3" t="inlineStr">
        <is>
          <t>매매</t>
        </is>
      </c>
      <c r="F1877" s="4" t="n">
        <v>92800</v>
      </c>
      <c r="G1877" s="4" t="n">
        <v>2191</v>
      </c>
      <c r="H1877" s="4" t="n">
        <v>663</v>
      </c>
      <c r="I1877" s="5" t="n">
        <v>140</v>
      </c>
      <c r="J1877" s="4" t="n">
        <v>747.8</v>
      </c>
      <c r="K1877" s="3" t="inlineStr">
        <is>
          <t>충북 청주시 흥덕구 토지 매매</t>
        </is>
      </c>
      <c r="L1877" s="6">
        <f>HYPERLINK("https://fin.land.naver.com/articles/2644347903", "매물Link")</f>
        <v/>
      </c>
      <c r="M1877" s="6">
        <f>HYPERLINK("https://map.naver.com/p/search/세종특별자치시 나성동 829", "지도Link")</f>
        <v/>
      </c>
      <c r="N1877" s="6">
        <f>HYPERLINK("http://www.eum.go.kr/web/ar/lu/luLandDet.jsp?pnu=3611010700108290000&amp;isNoScr=script&amp;mode=search", "토지이음")</f>
        <v/>
      </c>
      <c r="O1877" s="3" t="inlineStr">
        <is>
          <t>연성</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세종특별자치시 나성동 829</t>
        </is>
      </c>
      <c r="B1878" s="3" t="inlineStr">
        <is>
          <t>중심상업지역</t>
        </is>
      </c>
      <c r="C1878" s="3" t="inlineStr">
        <is>
          <t>대</t>
        </is>
      </c>
      <c r="D1878" s="3" t="inlineStr">
        <is>
          <t>전</t>
        </is>
      </c>
      <c r="E1878" s="3" t="inlineStr">
        <is>
          <t>매매</t>
        </is>
      </c>
      <c r="F1878" s="4" t="n">
        <v>85000</v>
      </c>
      <c r="G1878" s="4" t="n">
        <v>1409</v>
      </c>
      <c r="H1878" s="4" t="n">
        <v>426</v>
      </c>
      <c r="I1878" s="5" t="n">
        <v>199.5</v>
      </c>
      <c r="J1878" s="4" t="n">
        <v>747.8</v>
      </c>
      <c r="K1878" s="3" t="inlineStr">
        <is>
          <t>도시지역 자연녹지지역</t>
        </is>
      </c>
      <c r="L1878" s="6">
        <f>HYPERLINK("https://fin.land.naver.com/articles/2644716568", "매물Link")</f>
        <v/>
      </c>
      <c r="M1878" s="6">
        <f>HYPERLINK("https://map.naver.com/p/search/세종특별자치시 나성동 829", "지도Link")</f>
        <v/>
      </c>
      <c r="N1878" s="6">
        <f>HYPERLINK("http://www.eum.go.kr/web/ar/lu/luLandDet.jsp?pnu=3611010700108290000&amp;isNoScr=script&amp;mode=search", "토지이음")</f>
        <v/>
      </c>
      <c r="O1878" s="3" t="inlineStr">
        <is>
          <t>오송퍼스트영웅</t>
        </is>
      </c>
      <c r="P1878" s="3" t="n">
        <v>1</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세종특별자치시 나성동 829</t>
        </is>
      </c>
      <c r="B1879" s="3" t="inlineStr">
        <is>
          <t>중심상업지역</t>
        </is>
      </c>
      <c r="C1879" s="3" t="inlineStr">
        <is>
          <t>대</t>
        </is>
      </c>
      <c r="D1879" s="3" t="inlineStr">
        <is>
          <t>전</t>
        </is>
      </c>
      <c r="E1879" s="3" t="inlineStr">
        <is>
          <t>매매</t>
        </is>
      </c>
      <c r="F1879" s="4" t="n">
        <v>86000</v>
      </c>
      <c r="G1879" s="4" t="n">
        <v>2368</v>
      </c>
      <c r="H1879" s="4" t="n">
        <v>716</v>
      </c>
      <c r="I1879" s="5" t="n">
        <v>120.1</v>
      </c>
      <c r="J1879" s="4" t="n">
        <v>747.8</v>
      </c>
      <c r="K1879" s="3" t="inlineStr">
        <is>
          <t>궁현리 토지 매매</t>
        </is>
      </c>
      <c r="L1879" s="6">
        <f>HYPERLINK("https://fin.land.naver.com/articles/2645097669", "매물Link")</f>
        <v/>
      </c>
      <c r="M1879" s="6">
        <f>HYPERLINK("https://map.naver.com/p/search/세종특별자치시 나성동 829", "지도Link")</f>
        <v/>
      </c>
      <c r="N1879" s="6">
        <f>HYPERLINK("http://www.eum.go.kr/web/ar/lu/luLandDet.jsp?pnu=3611010700108290000&amp;isNoScr=script&amp;mode=search", "토지이음")</f>
        <v/>
      </c>
      <c r="O1879" s="3" t="inlineStr">
        <is>
          <t>사거리</t>
        </is>
      </c>
      <c r="P1879" s="3" t="n">
        <v>2</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세종특별자치시 나성동 829</t>
        </is>
      </c>
      <c r="B1880" s="3" t="inlineStr">
        <is>
          <t>중심상업지역</t>
        </is>
      </c>
      <c r="C1880" s="3" t="inlineStr">
        <is>
          <t>대</t>
        </is>
      </c>
      <c r="D1880" s="3" t="inlineStr">
        <is>
          <t>임야</t>
        </is>
      </c>
      <c r="E1880" s="3" t="inlineStr">
        <is>
          <t>매매</t>
        </is>
      </c>
      <c r="F1880" s="4" t="n">
        <v>23000</v>
      </c>
      <c r="G1880" s="4" t="n">
        <v>513</v>
      </c>
      <c r="H1880" s="4" t="n">
        <v>155</v>
      </c>
      <c r="I1880" s="5" t="n">
        <v>148.4</v>
      </c>
      <c r="J1880" s="4" t="n">
        <v>747.8</v>
      </c>
      <c r="K1880" s="3" t="inlineStr">
        <is>
          <t>저산리 단독 주택 지 매매</t>
        </is>
      </c>
      <c r="L1880" s="6">
        <f>HYPERLINK("https://fin.land.naver.com/articles/2645095762", "매물Link")</f>
        <v/>
      </c>
      <c r="M1880" s="6">
        <f>HYPERLINK("https://map.naver.com/p/search/세종특별자치시 나성동 829", "지도Link")</f>
        <v/>
      </c>
      <c r="N1880" s="6">
        <f>HYPERLINK("http://www.eum.go.kr/web/ar/lu/luLandDet.jsp?pnu=3611010700108290000&amp;isNoScr=script&amp;mode=search", "토지이음")</f>
        <v/>
      </c>
      <c r="O1880" s="3" t="inlineStr">
        <is>
          <t>사거리</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세종특별자치시 나성동 829</t>
        </is>
      </c>
      <c r="B1881" s="3" t="inlineStr">
        <is>
          <t>중심상업지역</t>
        </is>
      </c>
      <c r="C1881" s="3" t="inlineStr">
        <is>
          <t>대</t>
        </is>
      </c>
      <c r="D1881" s="3" t="inlineStr">
        <is>
          <t>임야</t>
        </is>
      </c>
      <c r="E1881" s="3" t="inlineStr">
        <is>
          <t>매매</t>
        </is>
      </c>
      <c r="F1881" s="4" t="n">
        <v>60000</v>
      </c>
      <c r="G1881" s="4" t="n">
        <v>886</v>
      </c>
      <c r="H1881" s="4" t="n">
        <v>268</v>
      </c>
      <c r="I1881" s="5" t="n">
        <v>223.9</v>
      </c>
      <c r="J1881" s="4" t="n">
        <v>747.8</v>
      </c>
      <c r="K1881" s="3" t="inlineStr">
        <is>
          <t>nan</t>
        </is>
      </c>
      <c r="L1881" s="6">
        <f>HYPERLINK("https://fin.land.naver.com/articles/2644876790", "매물Link")</f>
        <v/>
      </c>
      <c r="M1881" s="6">
        <f>HYPERLINK("https://map.naver.com/p/search/세종특별자치시 나성동 829", "지도Link")</f>
        <v/>
      </c>
      <c r="N1881" s="6">
        <f>HYPERLINK("http://www.eum.go.kr/web/ar/lu/luLandDet.jsp?pnu=3611010700108290000&amp;isNoScr=script&amp;mode=search", "토지이음")</f>
        <v/>
      </c>
      <c r="O1881" s="3" t="inlineStr">
        <is>
          <t>동원탑</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세종특별자치시 나성동 829</t>
        </is>
      </c>
      <c r="B1882" s="3" t="inlineStr">
        <is>
          <t>중심상업지역</t>
        </is>
      </c>
      <c r="C1882" s="3" t="inlineStr">
        <is>
          <t>대</t>
        </is>
      </c>
      <c r="D1882" s="3" t="inlineStr">
        <is>
          <t>답</t>
        </is>
      </c>
      <c r="E1882" s="3" t="inlineStr">
        <is>
          <t>매매</t>
        </is>
      </c>
      <c r="F1882" s="4" t="n">
        <v>10000</v>
      </c>
      <c r="G1882" s="4" t="n">
        <v>394</v>
      </c>
      <c r="H1882" s="4" t="n">
        <v>119</v>
      </c>
      <c r="I1882" s="5" t="n">
        <v>84</v>
      </c>
      <c r="J1882" s="4" t="n">
        <v>747.8</v>
      </c>
      <c r="K1882" s="3" t="inlineStr">
        <is>
          <t>복토해서 전으로 사용중,세컨하우스로 활용하기 좋은 위치</t>
        </is>
      </c>
      <c r="L1882" s="6">
        <f>HYPERLINK("https://fin.land.naver.com/articles/2648664177", "매물Link")</f>
        <v/>
      </c>
      <c r="M1882" s="6">
        <f>HYPERLINK("https://map.naver.com/p/search/세종특별자치시 나성동 829", "지도Link")</f>
        <v/>
      </c>
      <c r="N1882" s="6">
        <f>HYPERLINK("http://www.eum.go.kr/web/ar/lu/luLandDet.jsp?pnu=3611010700108290000&amp;isNoScr=script&amp;mode=search", "토지이음")</f>
        <v/>
      </c>
      <c r="O1882" s="3" t="inlineStr">
        <is>
          <t>필 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세종특별자치시 나성동 829</t>
        </is>
      </c>
      <c r="B1883" s="3" t="inlineStr">
        <is>
          <t>중심상업지역</t>
        </is>
      </c>
      <c r="C1883" s="3" t="inlineStr">
        <is>
          <t>대</t>
        </is>
      </c>
      <c r="D1883" s="3" t="inlineStr">
        <is>
          <t>전</t>
        </is>
      </c>
      <c r="E1883" s="3" t="inlineStr">
        <is>
          <t>매매</t>
        </is>
      </c>
      <c r="F1883" s="4" t="n">
        <v>86000</v>
      </c>
      <c r="G1883" s="4" t="n">
        <v>2368</v>
      </c>
      <c r="H1883" s="4" t="n">
        <v>716</v>
      </c>
      <c r="I1883" s="5" t="n">
        <v>120.1</v>
      </c>
      <c r="J1883" s="4" t="n">
        <v>747.8</v>
      </c>
      <c r="K1883" s="3" t="inlineStr">
        <is>
          <t>은적산 자락애 위치한 직사각형 형태의 토지임</t>
        </is>
      </c>
      <c r="L1883" s="6">
        <f>HYPERLINK("https://fin.land.naver.com/articles/2648670435", "매물Link")</f>
        <v/>
      </c>
      <c r="M1883" s="6">
        <f>HYPERLINK("https://map.naver.com/p/search/세종특별자치시 나성동 829", "지도Link")</f>
        <v/>
      </c>
      <c r="N1883" s="6">
        <f>HYPERLINK("http://www.eum.go.kr/web/ar/lu/luLandDet.jsp?pnu=3611010700108290000&amp;isNoScr=script&amp;mode=search", "토지이음")</f>
        <v/>
      </c>
      <c r="O1883" s="3" t="inlineStr">
        <is>
          <t>교차로</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세종특별자치시 나성동 829</t>
        </is>
      </c>
      <c r="B1884" s="3" t="inlineStr">
        <is>
          <t>중심상업지역</t>
        </is>
      </c>
      <c r="C1884" s="3" t="inlineStr">
        <is>
          <t>대</t>
        </is>
      </c>
      <c r="D1884" s="3" t="inlineStr">
        <is>
          <t>답</t>
        </is>
      </c>
      <c r="E1884" s="3" t="inlineStr">
        <is>
          <t>매매</t>
        </is>
      </c>
      <c r="F1884" s="4" t="n">
        <v>183500</v>
      </c>
      <c r="G1884" s="4" t="n">
        <v>2430</v>
      </c>
      <c r="H1884" s="4" t="n">
        <v>735</v>
      </c>
      <c r="I1884" s="5" t="n">
        <v>249.7</v>
      </c>
      <c r="J1884" s="4" t="n">
        <v>747.8</v>
      </c>
      <c r="K1884" s="3" t="inlineStr">
        <is>
          <t>nan</t>
        </is>
      </c>
      <c r="L1884" s="6">
        <f>HYPERLINK("https://fin.land.naver.com/articles/2649554409", "매물Link")</f>
        <v/>
      </c>
      <c r="M1884" s="6">
        <f>HYPERLINK("https://map.naver.com/p/search/세종특별자치시 나성동 829", "지도Link")</f>
        <v/>
      </c>
      <c r="N1884" s="6">
        <f>HYPERLINK("http://www.eum.go.kr/web/ar/lu/luLandDet.jsp?pnu=3611010700108290000&amp;isNoScr=script&amp;mode=search", "토지이음")</f>
        <v/>
      </c>
      <c r="O1884" s="3" t="inlineStr">
        <is>
          <t>좋은터</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세종특별자치시 나성동 829</t>
        </is>
      </c>
      <c r="B1885" s="3" t="inlineStr">
        <is>
          <t>중심상업지역</t>
        </is>
      </c>
      <c r="C1885" s="3" t="inlineStr">
        <is>
          <t>대</t>
        </is>
      </c>
      <c r="D1885" s="3" t="inlineStr">
        <is>
          <t>공장용지</t>
        </is>
      </c>
      <c r="E1885" s="3" t="inlineStr">
        <is>
          <t>매매</t>
        </is>
      </c>
      <c r="F1885" s="4" t="n">
        <v>225540</v>
      </c>
      <c r="G1885" s="4" t="n">
        <v>4142</v>
      </c>
      <c r="H1885" s="4" t="n">
        <v>1253</v>
      </c>
      <c r="I1885" s="5" t="n">
        <v>180</v>
      </c>
      <c r="J1885" s="4" t="n">
        <v>747.8</v>
      </c>
      <c r="K1885" s="3" t="inlineStr">
        <is>
          <t>2차선에 접해있는 나대지 상태의 공장용지입니다</t>
        </is>
      </c>
      <c r="L1885" s="6">
        <f>HYPERLINK("https://fin.land.naver.com/articles/2649905501", "매물Link")</f>
        <v/>
      </c>
      <c r="M1885" s="6">
        <f>HYPERLINK("https://map.naver.com/p/search/세종특별자치시 나성동 829", "지도Link")</f>
        <v/>
      </c>
      <c r="N1885" s="6">
        <f>HYPERLINK("http://www.eum.go.kr/web/ar/lu/luLandDet.jsp?pnu=3611010700108290000&amp;isNoScr=script&amp;mode=search", "토지이음")</f>
        <v/>
      </c>
      <c r="O1885" s="3" t="inlineStr">
        <is>
          <t>복댕이무소</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세종특별자치시 나성동 829</t>
        </is>
      </c>
      <c r="B1886" s="3" t="inlineStr">
        <is>
          <t>중심상업지역</t>
        </is>
      </c>
      <c r="C1886" s="3" t="inlineStr">
        <is>
          <t>대</t>
        </is>
      </c>
      <c r="D1886" s="3" t="inlineStr">
        <is>
          <t>임야</t>
        </is>
      </c>
      <c r="E1886" s="3" t="inlineStr">
        <is>
          <t>매매</t>
        </is>
      </c>
      <c r="F1886" s="4" t="n">
        <v>1031900</v>
      </c>
      <c r="G1886" s="4" t="n">
        <v>40136</v>
      </c>
      <c r="H1886" s="4" t="n">
        <v>12141</v>
      </c>
      <c r="I1886" s="5" t="n">
        <v>85</v>
      </c>
      <c r="J1886" s="4" t="n">
        <v>747.8</v>
      </c>
      <c r="K1886" s="3" t="inlineStr">
        <is>
          <t>접근성좋은 매물입니다</t>
        </is>
      </c>
      <c r="L1886" s="6">
        <f>HYPERLINK("https://fin.land.naver.com/articles/2649907687", "매물Link")</f>
        <v/>
      </c>
      <c r="M1886" s="6">
        <f>HYPERLINK("https://map.naver.com/p/search/세종특별자치시 나성동 829", "지도Link")</f>
        <v/>
      </c>
      <c r="N1886" s="6">
        <f>HYPERLINK("http://www.eum.go.kr/web/ar/lu/luLandDet.jsp?pnu=3611010700108290000&amp;isNoScr=script&amp;mode=search", "토지이음")</f>
        <v/>
      </c>
      <c r="O1886" s="3" t="inlineStr">
        <is>
          <t>복댕이무소</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세종특별자치시 나성동 829</t>
        </is>
      </c>
      <c r="B1887" s="3" t="inlineStr">
        <is>
          <t>중심상업지역</t>
        </is>
      </c>
      <c r="C1887" s="3" t="inlineStr">
        <is>
          <t>대</t>
        </is>
      </c>
      <c r="D1887" s="3" t="inlineStr">
        <is>
          <t>임야</t>
        </is>
      </c>
      <c r="E1887" s="3" t="inlineStr">
        <is>
          <t>매매</t>
        </is>
      </c>
      <c r="F1887" s="4" t="n">
        <v>230000</v>
      </c>
      <c r="G1887" s="4" t="n">
        <v>24711</v>
      </c>
      <c r="H1887" s="4" t="n">
        <v>7475</v>
      </c>
      <c r="I1887" s="5" t="n">
        <v>30.8</v>
      </c>
      <c r="J1887" s="4" t="n">
        <v>747.8</v>
      </c>
      <c r="K1887" s="3" t="inlineStr">
        <is>
          <t>강내면 토지매매</t>
        </is>
      </c>
      <c r="L1887" s="6">
        <f>HYPERLINK("https://fin.land.naver.com/articles/2644401739", "매물Link")</f>
        <v/>
      </c>
      <c r="M1887" s="6">
        <f>HYPERLINK("https://map.naver.com/p/search/세종특별자치시 나성동 829", "지도Link")</f>
        <v/>
      </c>
      <c r="N1887" s="6">
        <f>HYPERLINK("http://www.eum.go.kr/web/ar/lu/luLandDet.jsp?pnu=3611010700108290000&amp;isNoScr=script&amp;mode=search", "토지이음")</f>
        <v/>
      </c>
      <c r="O1887" s="3" t="inlineStr">
        <is>
          <t>민들레</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세종특별자치시 나성동 829</t>
        </is>
      </c>
      <c r="B1888" s="3" t="inlineStr">
        <is>
          <t>중심상업지역</t>
        </is>
      </c>
      <c r="C1888" s="3" t="inlineStr">
        <is>
          <t>대</t>
        </is>
      </c>
      <c r="D1888" s="3" t="inlineStr">
        <is>
          <t>임야</t>
        </is>
      </c>
      <c r="E1888" s="3" t="inlineStr">
        <is>
          <t>매매</t>
        </is>
      </c>
      <c r="F1888" s="4" t="n">
        <v>36600</v>
      </c>
      <c r="G1888" s="4" t="n">
        <v>338</v>
      </c>
      <c r="H1888" s="4" t="n">
        <v>102</v>
      </c>
      <c r="I1888" s="5" t="n">
        <v>358.8</v>
      </c>
      <c r="J1888" s="4" t="n">
        <v>747.8</v>
      </c>
      <c r="K1888" s="3" t="inlineStr">
        <is>
          <t>진입도로 10미터   2차선접</t>
        </is>
      </c>
      <c r="L1888" s="6">
        <f>HYPERLINK("https://fin.land.naver.com/articles/2644678287", "매물Link")</f>
        <v/>
      </c>
      <c r="M1888" s="6">
        <f>HYPERLINK("https://map.naver.com/p/search/세종특별자치시 나성동 829", "지도Link")</f>
        <v/>
      </c>
      <c r="N1888" s="6">
        <f>HYPERLINK("http://www.eum.go.kr/web/ar/lu/luLandDet.jsp?pnu=3611010700108290000&amp;isNoScr=script&amp;mode=search", "토지이음")</f>
        <v/>
      </c>
      <c r="O1888" s="3" t="inlineStr">
        <is>
          <t>하니</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세종특별자치시 나성동 829</t>
        </is>
      </c>
      <c r="B1889" s="3" t="inlineStr">
        <is>
          <t>중심상업지역</t>
        </is>
      </c>
      <c r="C1889" s="3" t="inlineStr">
        <is>
          <t>대</t>
        </is>
      </c>
      <c r="D1889" s="3" t="inlineStr">
        <is>
          <t>임야</t>
        </is>
      </c>
      <c r="E1889" s="3" t="inlineStr">
        <is>
          <t>매매</t>
        </is>
      </c>
      <c r="F1889" s="4" t="n">
        <v>926000</v>
      </c>
      <c r="G1889" s="4" t="n">
        <v>27838</v>
      </c>
      <c r="H1889" s="4" t="n">
        <v>8421</v>
      </c>
      <c r="I1889" s="5" t="n">
        <v>110</v>
      </c>
      <c r="J1889" s="4" t="n">
        <v>747.8</v>
      </c>
      <c r="K1889" s="3" t="inlineStr">
        <is>
          <t>강내 하이테크밸리산업단지 인접한 위치의 토목공사 완료된 대형부지</t>
        </is>
      </c>
      <c r="L1889" s="6">
        <f>HYPERLINK("https://fin.land.naver.com/articles/2646668323", "매물Link")</f>
        <v/>
      </c>
      <c r="M1889" s="6">
        <f>HYPERLINK("https://map.naver.com/p/search/세종특별자치시 나성동 829", "지도Link")</f>
        <v/>
      </c>
      <c r="N1889" s="6">
        <f>HYPERLINK("http://www.eum.go.kr/web/ar/lu/luLandDet.jsp?pnu=3611010700108290000&amp;isNoScr=script&amp;mode=search", "토지이음")</f>
        <v/>
      </c>
      <c r="O1889" s="3" t="inlineStr">
        <is>
          <t>더원</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세종특별자치시 나성동 829</t>
        </is>
      </c>
      <c r="B1890" s="3" t="inlineStr">
        <is>
          <t>중심상업지역</t>
        </is>
      </c>
      <c r="C1890" s="3" t="inlineStr">
        <is>
          <t>대</t>
        </is>
      </c>
      <c r="D1890" s="3" t="inlineStr">
        <is>
          <t>전</t>
        </is>
      </c>
      <c r="E1890" s="3" t="inlineStr">
        <is>
          <t>매매</t>
        </is>
      </c>
      <c r="F1890" s="4" t="n">
        <v>114800</v>
      </c>
      <c r="G1890" s="4" t="n">
        <v>2815</v>
      </c>
      <c r="H1890" s="4" t="n">
        <v>852</v>
      </c>
      <c r="I1890" s="5" t="n">
        <v>134.7</v>
      </c>
      <c r="J1890" s="4" t="n">
        <v>747.8</v>
      </c>
      <c r="K1890" s="3" t="inlineStr">
        <is>
          <t>연정리 도로 접 토지 매매</t>
        </is>
      </c>
      <c r="L1890" s="6">
        <f>HYPERLINK("https://fin.land.naver.com/articles/2648218241", "매물Link")</f>
        <v/>
      </c>
      <c r="M1890" s="6">
        <f>HYPERLINK("https://map.naver.com/p/search/세종특별자치시 나성동 829", "지도Link")</f>
        <v/>
      </c>
      <c r="N1890" s="6">
        <f>HYPERLINK("http://www.eum.go.kr/web/ar/lu/luLandDet.jsp?pnu=3611010700108290000&amp;isNoScr=script&amp;mode=search", "토지이음")</f>
        <v/>
      </c>
      <c r="O1890" s="3" t="inlineStr">
        <is>
          <t>사거리</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세종특별자치시 나성동 829</t>
        </is>
      </c>
      <c r="B1891" s="3" t="inlineStr">
        <is>
          <t>중심상업지역</t>
        </is>
      </c>
      <c r="C1891" s="3" t="inlineStr">
        <is>
          <t>대</t>
        </is>
      </c>
      <c r="D1891" s="3" t="inlineStr">
        <is>
          <t>전</t>
        </is>
      </c>
      <c r="E1891" s="3" t="inlineStr">
        <is>
          <t>매매</t>
        </is>
      </c>
      <c r="F1891" s="4" t="n">
        <v>99000</v>
      </c>
      <c r="G1891" s="4" t="n">
        <v>2162</v>
      </c>
      <c r="H1891" s="4" t="n">
        <v>654</v>
      </c>
      <c r="I1891" s="5" t="n">
        <v>151.4</v>
      </c>
      <c r="J1891" s="4" t="n">
        <v>747.8</v>
      </c>
      <c r="K1891" s="3" t="inlineStr">
        <is>
          <t>절충가능 성토완료 도로접</t>
        </is>
      </c>
      <c r="L1891" s="6">
        <f>HYPERLINK("https://fin.land.naver.com/articles/2646287784", "매물Link")</f>
        <v/>
      </c>
      <c r="M1891" s="6">
        <f>HYPERLINK("https://map.naver.com/p/search/세종특별자치시 나성동 829", "지도Link")</f>
        <v/>
      </c>
      <c r="N1891" s="6">
        <f>HYPERLINK("http://www.eum.go.kr/web/ar/lu/luLandDet.jsp?pnu=3611010700108290000&amp;isNoScr=script&amp;mode=search", "토지이음")</f>
        <v/>
      </c>
      <c r="O1891" s="3" t="inlineStr">
        <is>
          <t>수풀림</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세종특별자치시 나성동 829</t>
        </is>
      </c>
      <c r="B1892" s="3" t="inlineStr">
        <is>
          <t>중심상업지역</t>
        </is>
      </c>
      <c r="C1892" s="3" t="inlineStr">
        <is>
          <t>대</t>
        </is>
      </c>
      <c r="D1892" s="3" t="inlineStr">
        <is>
          <t>답</t>
        </is>
      </c>
      <c r="E1892" s="3" t="inlineStr">
        <is>
          <t>매매</t>
        </is>
      </c>
      <c r="F1892" s="4" t="n">
        <v>63000</v>
      </c>
      <c r="G1892" s="4" t="n">
        <v>1301</v>
      </c>
      <c r="H1892" s="4" t="n">
        <v>394</v>
      </c>
      <c r="I1892" s="5" t="n">
        <v>159.9</v>
      </c>
      <c r="J1892" s="4" t="n">
        <v>747.8</v>
      </c>
      <c r="K1892" s="3" t="inlineStr">
        <is>
          <t>청주세종로 진출입로 강내IC 예정지 바로옆 계획관리</t>
        </is>
      </c>
      <c r="L1892" s="6">
        <f>HYPERLINK("https://fin.land.naver.com/articles/2648844475", "매물Link")</f>
        <v/>
      </c>
      <c r="M1892" s="6">
        <f>HYPERLINK("https://map.naver.com/p/search/세종특별자치시 나성동 829", "지도Link")</f>
        <v/>
      </c>
      <c r="N1892" s="6">
        <f>HYPERLINK("http://www.eum.go.kr/web/ar/lu/luLandDet.jsp?pnu=3611010700108290000&amp;isNoScr=script&amp;mode=search", "토지이음")</f>
        <v/>
      </c>
      <c r="O1892" s="3" t="inlineStr">
        <is>
          <t>좋은터</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세종특별자치시 나성동 829</t>
        </is>
      </c>
      <c r="B1893" s="3" t="inlineStr">
        <is>
          <t>중심상업지역</t>
        </is>
      </c>
      <c r="C1893" s="3" t="inlineStr">
        <is>
          <t>대</t>
        </is>
      </c>
      <c r="D1893" s="3" t="inlineStr">
        <is>
          <t>대</t>
        </is>
      </c>
      <c r="E1893" s="3" t="inlineStr">
        <is>
          <t>매매</t>
        </is>
      </c>
      <c r="F1893" s="4" t="n">
        <v>50000</v>
      </c>
      <c r="G1893" s="4" t="n">
        <v>522</v>
      </c>
      <c r="H1893" s="4" t="n">
        <v>158</v>
      </c>
      <c r="I1893" s="5" t="n">
        <v>316.5</v>
      </c>
      <c r="J1893" s="4" t="n">
        <v>747.8</v>
      </c>
      <c r="K1893" s="3" t="inlineStr">
        <is>
          <t>8미터도로접, 개인주택용지로 추천  충청대사거리인근</t>
        </is>
      </c>
      <c r="L1893" s="6">
        <f>HYPERLINK("https://fin.land.naver.com/articles/2648907831", "매물Link")</f>
        <v/>
      </c>
      <c r="M1893" s="6">
        <f>HYPERLINK("https://map.naver.com/p/search/세종특별자치시 나성동 829", "지도Link")</f>
        <v/>
      </c>
      <c r="N1893" s="6">
        <f>HYPERLINK("http://www.eum.go.kr/web/ar/lu/luLandDet.jsp?pnu=3611010700108290000&amp;isNoScr=script&amp;mode=search", "토지이음")</f>
        <v/>
      </c>
      <c r="O1893" s="3" t="inlineStr">
        <is>
          <t>금빛힐스</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세종특별자치시 나성동 829</t>
        </is>
      </c>
      <c r="B1894" s="3" t="inlineStr">
        <is>
          <t>중심상업지역</t>
        </is>
      </c>
      <c r="C1894" s="3" t="inlineStr">
        <is>
          <t>대</t>
        </is>
      </c>
      <c r="D1894" s="3" t="inlineStr">
        <is>
          <t>대</t>
        </is>
      </c>
      <c r="E1894" s="3" t="inlineStr">
        <is>
          <t>매매</t>
        </is>
      </c>
      <c r="F1894" s="4" t="n">
        <v>150000</v>
      </c>
      <c r="G1894" s="4" t="n">
        <v>1653</v>
      </c>
      <c r="H1894" s="4" t="n">
        <v>500</v>
      </c>
      <c r="I1894" s="5" t="n">
        <v>300</v>
      </c>
      <c r="J1894" s="4" t="n">
        <v>747.8</v>
      </c>
      <c r="K1894" s="3" t="inlineStr">
        <is>
          <t>nan</t>
        </is>
      </c>
      <c r="L1894" s="6">
        <f>HYPERLINK("https://fin.land.naver.com/articles/2649158229", "매물Link")</f>
        <v/>
      </c>
      <c r="M1894" s="6">
        <f>HYPERLINK("https://map.naver.com/p/search/세종특별자치시 나성동 829", "지도Link")</f>
        <v/>
      </c>
      <c r="N1894" s="6">
        <f>HYPERLINK("http://www.eum.go.kr/web/ar/lu/luLandDet.jsp?pnu=3611010700108290000&amp;isNoScr=script&amp;mode=search", "토지이음")</f>
        <v/>
      </c>
      <c r="O1894" s="3" t="inlineStr">
        <is>
          <t>동남명품</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세종특별자치시 나성동 829</t>
        </is>
      </c>
      <c r="B1895" s="3" t="inlineStr">
        <is>
          <t>중심상업지역</t>
        </is>
      </c>
      <c r="C1895" s="3" t="inlineStr">
        <is>
          <t>대</t>
        </is>
      </c>
      <c r="D1895" s="3" t="inlineStr">
        <is>
          <t>전</t>
        </is>
      </c>
      <c r="E1895" s="3" t="inlineStr">
        <is>
          <t>매매</t>
        </is>
      </c>
      <c r="F1895" s="4" t="n">
        <v>57200</v>
      </c>
      <c r="G1895" s="4" t="n">
        <v>1575</v>
      </c>
      <c r="H1895" s="4" t="n">
        <v>476</v>
      </c>
      <c r="I1895" s="5" t="n">
        <v>120.2</v>
      </c>
      <c r="J1895" s="4" t="n">
        <v>747.8</v>
      </c>
      <c r="K1895" s="3" t="inlineStr">
        <is>
          <t>한국교원대인근 단독 다가구주택용으로 최적 분할매매가능</t>
        </is>
      </c>
      <c r="L1895" s="6">
        <f>HYPERLINK("https://fin.land.naver.com/articles/2646992620", "매물Link")</f>
        <v/>
      </c>
      <c r="M1895" s="6">
        <f>HYPERLINK("https://map.naver.com/p/search/세종특별자치시 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세종특별자치시 나성동 829</t>
        </is>
      </c>
      <c r="B1896" s="3" t="inlineStr">
        <is>
          <t>중심상업지역</t>
        </is>
      </c>
      <c r="C1896" s="3" t="inlineStr">
        <is>
          <t>대</t>
        </is>
      </c>
      <c r="D1896" s="3" t="inlineStr">
        <is>
          <t>전</t>
        </is>
      </c>
      <c r="E1896" s="3" t="inlineStr">
        <is>
          <t>매매</t>
        </is>
      </c>
      <c r="F1896" s="4" t="n">
        <v>139000</v>
      </c>
      <c r="G1896" s="4" t="n">
        <v>5114</v>
      </c>
      <c r="H1896" s="4" t="n">
        <v>1547</v>
      </c>
      <c r="I1896" s="5" t="n">
        <v>89.90000000000001</v>
      </c>
      <c r="J1896" s="4" t="n">
        <v>747.8</v>
      </c>
      <c r="K1896" s="3" t="inlineStr">
        <is>
          <t>강내 하이테크밸리산업단지 인접 땅모양 좋음</t>
        </is>
      </c>
      <c r="L1896" s="6">
        <f>HYPERLINK("https://fin.land.naver.com/articles/2646993556", "매물Link")</f>
        <v/>
      </c>
      <c r="M1896" s="6">
        <f>HYPERLINK("https://map.naver.com/p/search/세종특별자치시 나성동 829", "지도Link")</f>
        <v/>
      </c>
      <c r="N1896" s="6">
        <f>HYPERLINK("http://www.eum.go.kr/web/ar/lu/luLandDet.jsp?pnu=3611010700108290000&amp;isNoScr=script&amp;mode=search", "토지이음")</f>
        <v/>
      </c>
      <c r="O1896" s="3" t="inlineStr">
        <is>
          <t>더원</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세종특별자치시 나성동 829</t>
        </is>
      </c>
      <c r="B1897" s="3" t="inlineStr">
        <is>
          <t>중심상업지역</t>
        </is>
      </c>
      <c r="C1897" s="3" t="inlineStr">
        <is>
          <t>대</t>
        </is>
      </c>
      <c r="D1897" s="3" t="inlineStr">
        <is>
          <t>전</t>
        </is>
      </c>
      <c r="E1897" s="3" t="inlineStr">
        <is>
          <t>매매</t>
        </is>
      </c>
      <c r="F1897" s="4" t="n">
        <v>99000</v>
      </c>
      <c r="G1897" s="4" t="n">
        <v>4095</v>
      </c>
      <c r="H1897" s="4" t="n">
        <v>1239</v>
      </c>
      <c r="I1897" s="5" t="n">
        <v>79.90000000000001</v>
      </c>
      <c r="J1897" s="4" t="n">
        <v>747.8</v>
      </c>
      <c r="K1897" s="3" t="inlineStr">
        <is>
          <t>강내하이테크밸리 접근성 좋고 청주시내권10분거리</t>
        </is>
      </c>
      <c r="L1897" s="6">
        <f>HYPERLINK("https://fin.land.naver.com/articles/2646994204", "매물Link")</f>
        <v/>
      </c>
      <c r="M1897" s="6">
        <f>HYPERLINK("https://map.naver.com/p/search/세종특별자치시 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세종특별자치시 나성동 829</t>
        </is>
      </c>
      <c r="B1898" s="3" t="inlineStr">
        <is>
          <t>중심상업지역</t>
        </is>
      </c>
      <c r="C1898" s="3" t="inlineStr">
        <is>
          <t>대</t>
        </is>
      </c>
      <c r="D1898" s="3" t="inlineStr">
        <is>
          <t>전</t>
        </is>
      </c>
      <c r="E1898" s="3" t="inlineStr">
        <is>
          <t>매매</t>
        </is>
      </c>
      <c r="F1898" s="4" t="n">
        <v>10000</v>
      </c>
      <c r="G1898" s="4" t="n">
        <v>440</v>
      </c>
      <c r="H1898" s="4" t="n">
        <v>133</v>
      </c>
      <c r="I1898" s="5" t="n">
        <v>75.2</v>
      </c>
      <c r="J1898" s="4" t="n">
        <v>747.8</v>
      </c>
      <c r="K1898" s="3" t="inlineStr">
        <is>
          <t>당곡리 소형 토지</t>
        </is>
      </c>
      <c r="L1898" s="6">
        <f>HYPERLINK("https://fin.land.naver.com/articles/2649559797", "매물Link")</f>
        <v/>
      </c>
      <c r="M1898" s="6">
        <f>HYPERLINK("https://map.naver.com/p/search/세종특별자치시 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세종특별자치시 나성동 829</t>
        </is>
      </c>
      <c r="B1899" s="3" t="inlineStr">
        <is>
          <t>중심상업지역</t>
        </is>
      </c>
      <c r="C1899" s="3" t="inlineStr">
        <is>
          <t>대</t>
        </is>
      </c>
      <c r="D1899" s="3" t="inlineStr">
        <is>
          <t>임야</t>
        </is>
      </c>
      <c r="E1899" s="3" t="inlineStr">
        <is>
          <t>매매</t>
        </is>
      </c>
      <c r="F1899" s="4" t="n">
        <v>385000</v>
      </c>
      <c r="G1899" s="4" t="n">
        <v>11570</v>
      </c>
      <c r="H1899" s="4" t="n">
        <v>3500</v>
      </c>
      <c r="I1899" s="5" t="n">
        <v>110</v>
      </c>
      <c r="J1899" s="4" t="n">
        <v>747.8</v>
      </c>
      <c r="K1899" s="3" t="inlineStr">
        <is>
          <t>강내 산업단지 인근 급매 토목공사 공장허가득 즉시 건축가능</t>
        </is>
      </c>
      <c r="L1899" s="6">
        <f>HYPERLINK("https://fin.land.naver.com/articles/2649684509", "매물Link")</f>
        <v/>
      </c>
      <c r="M1899" s="6">
        <f>HYPERLINK("https://map.naver.com/p/search/세종특별자치시 나성동 829", "지도Link")</f>
        <v/>
      </c>
      <c r="N1899" s="6">
        <f>HYPERLINK("http://www.eum.go.kr/web/ar/lu/luLandDet.jsp?pnu=3611010700108290000&amp;isNoScr=script&amp;mode=search", "토지이음")</f>
        <v/>
      </c>
      <c r="O1899" s="3" t="inlineStr">
        <is>
          <t>더원</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세종특별자치시 나성동 829</t>
        </is>
      </c>
      <c r="B1900" s="3" t="inlineStr">
        <is>
          <t>중심상업지역</t>
        </is>
      </c>
      <c r="C1900" s="3" t="inlineStr">
        <is>
          <t>대</t>
        </is>
      </c>
      <c r="D1900" s="3" t="inlineStr">
        <is>
          <t>답</t>
        </is>
      </c>
      <c r="E1900" s="3" t="inlineStr">
        <is>
          <t>매매</t>
        </is>
      </c>
      <c r="F1900" s="4" t="n">
        <v>110000</v>
      </c>
      <c r="G1900" s="4" t="n">
        <v>3500</v>
      </c>
      <c r="H1900" s="4" t="n">
        <v>1059</v>
      </c>
      <c r="I1900" s="5" t="n">
        <v>103.9</v>
      </c>
      <c r="J1900" s="4" t="n">
        <v>747.8</v>
      </c>
      <c r="K1900" s="3" t="inlineStr">
        <is>
          <t>nan</t>
        </is>
      </c>
      <c r="L1900" s="6">
        <f>HYPERLINK("https://fin.land.naver.com/articles/2648572452", "매물Link")</f>
        <v/>
      </c>
      <c r="M1900" s="6">
        <f>HYPERLINK("https://map.naver.com/p/search/세종특별자치시 나성동 829", "지도Link")</f>
        <v/>
      </c>
      <c r="N1900" s="6">
        <f>HYPERLINK("http://www.eum.go.kr/web/ar/lu/luLandDet.jsp?pnu=3611010700108290000&amp;isNoScr=script&amp;mode=search", "토지이음")</f>
        <v/>
      </c>
      <c r="O1900" s="3" t="inlineStr">
        <is>
          <t>청주더존</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세종특별자치시 나성동 829</t>
        </is>
      </c>
      <c r="B1901" s="3" t="inlineStr">
        <is>
          <t>중심상업지역</t>
        </is>
      </c>
      <c r="C1901" s="3" t="inlineStr">
        <is>
          <t>대</t>
        </is>
      </c>
      <c r="D1901" s="3" t="inlineStr">
        <is>
          <t>공장용지</t>
        </is>
      </c>
      <c r="E1901" s="3" t="inlineStr">
        <is>
          <t>매매</t>
        </is>
      </c>
      <c r="F1901" s="4" t="n">
        <v>73000</v>
      </c>
      <c r="G1901" s="4" t="n">
        <v>2182</v>
      </c>
      <c r="H1901" s="4" t="n">
        <v>660</v>
      </c>
      <c r="I1901" s="5" t="n">
        <v>110.6</v>
      </c>
      <c r="J1901" s="4" t="n">
        <v>747.8</v>
      </c>
      <c r="K1901" s="3" t="inlineStr">
        <is>
          <t>강내면 공장용지 도로지분포함  바로 건축가능</t>
        </is>
      </c>
      <c r="L1901" s="6">
        <f>HYPERLINK("https://fin.land.naver.com/articles/2646669448", "매물Link")</f>
        <v/>
      </c>
      <c r="M1901" s="6">
        <f>HYPERLINK("https://map.naver.com/p/search/세종특별자치시 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세종특별자치시 나성동 829</t>
        </is>
      </c>
      <c r="B1902" s="3" t="inlineStr">
        <is>
          <t>중심상업지역</t>
        </is>
      </c>
      <c r="C1902" s="3" t="inlineStr">
        <is>
          <t>대</t>
        </is>
      </c>
      <c r="D1902" s="3" t="inlineStr">
        <is>
          <t>임야</t>
        </is>
      </c>
      <c r="E1902" s="3" t="inlineStr">
        <is>
          <t>매매</t>
        </is>
      </c>
      <c r="F1902" s="4" t="n">
        <v>350000</v>
      </c>
      <c r="G1902" s="4" t="n">
        <v>11570</v>
      </c>
      <c r="H1902" s="4" t="n">
        <v>3500</v>
      </c>
      <c r="I1902" s="5" t="n">
        <v>100</v>
      </c>
      <c r="J1902" s="4" t="n">
        <v>747.8</v>
      </c>
      <c r="K1902" s="3" t="inlineStr">
        <is>
          <t>세종청주로 인접  석곡사거리 10분 공장허가득  토목공사완료조건</t>
        </is>
      </c>
      <c r="L1902" s="6">
        <f>HYPERLINK("https://fin.land.naver.com/articles/2646669556", "매물Link")</f>
        <v/>
      </c>
      <c r="M1902" s="6">
        <f>HYPERLINK("https://map.naver.com/p/search/세종특별자치시 나성동 829", "지도Link")</f>
        <v/>
      </c>
      <c r="N1902" s="6">
        <f>HYPERLINK("http://www.eum.go.kr/web/ar/lu/luLandDet.jsp?pnu=3611010700108290000&amp;isNoScr=script&amp;mode=search", "토지이음")</f>
        <v/>
      </c>
      <c r="O1902" s="3" t="inlineStr">
        <is>
          <t>더원</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세종특별자치시 나성동 829</t>
        </is>
      </c>
      <c r="B1903" s="3" t="inlineStr">
        <is>
          <t>중심상업지역</t>
        </is>
      </c>
      <c r="C1903" s="3" t="inlineStr">
        <is>
          <t>대</t>
        </is>
      </c>
      <c r="D1903" s="3" t="inlineStr">
        <is>
          <t>임야</t>
        </is>
      </c>
      <c r="E1903" s="3" t="inlineStr">
        <is>
          <t>매매</t>
        </is>
      </c>
      <c r="F1903" s="4" t="n">
        <v>250000</v>
      </c>
      <c r="G1903" s="4" t="n">
        <v>8264</v>
      </c>
      <c r="H1903" s="4" t="n">
        <v>2500</v>
      </c>
      <c r="I1903" s="5" t="n">
        <v>100</v>
      </c>
      <c r="J1903" s="4" t="n">
        <v>747.8</v>
      </c>
      <c r="K1903" s="3" t="inlineStr">
        <is>
          <t>세종청주로 인접 석곡사거리 10분  토목공사 완료조건</t>
        </is>
      </c>
      <c r="L1903" s="6">
        <f>HYPERLINK("https://fin.land.naver.com/articles/2646669569", "매물Link")</f>
        <v/>
      </c>
      <c r="M1903" s="6">
        <f>HYPERLINK("https://map.naver.com/p/search/세종특별자치시 나성동 829", "지도Link")</f>
        <v/>
      </c>
      <c r="N1903" s="6">
        <f>HYPERLINK("http://www.eum.go.kr/web/ar/lu/luLandDet.jsp?pnu=3611010700108290000&amp;isNoScr=script&amp;mode=search", "토지이음")</f>
        <v/>
      </c>
      <c r="O1903" s="3" t="inlineStr">
        <is>
          <t>더원</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세종특별자치시 나성동 829</t>
        </is>
      </c>
      <c r="B1904" s="3" t="inlineStr">
        <is>
          <t>중심상업지역</t>
        </is>
      </c>
      <c r="C1904" s="3" t="inlineStr">
        <is>
          <t>대</t>
        </is>
      </c>
      <c r="D1904" s="3" t="inlineStr">
        <is>
          <t>답</t>
        </is>
      </c>
      <c r="E1904" s="3" t="inlineStr">
        <is>
          <t>매매</t>
        </is>
      </c>
      <c r="F1904" s="4" t="n">
        <v>29000</v>
      </c>
      <c r="G1904" s="4" t="n">
        <v>2542</v>
      </c>
      <c r="H1904" s="4" t="n">
        <v>769</v>
      </c>
      <c r="I1904" s="5" t="n">
        <v>37.7</v>
      </c>
      <c r="J1904" s="4" t="n">
        <v>747.8</v>
      </c>
      <c r="K1904" s="3" t="inlineStr">
        <is>
          <t>사두면 무조건 오르는땅</t>
        </is>
      </c>
      <c r="L1904" s="6">
        <f>HYPERLINK("https://fin.land.naver.com/articles/2646918220", "매물Link")</f>
        <v/>
      </c>
      <c r="M1904" s="6">
        <f>HYPERLINK("https://map.naver.com/p/search/세종특별자치시 나성동 829", "지도Link")</f>
        <v/>
      </c>
      <c r="N1904" s="6">
        <f>HYPERLINK("http://www.eum.go.kr/web/ar/lu/luLandDet.jsp?pnu=3611010700108290000&amp;isNoScr=script&amp;mode=search", "토지이음")</f>
        <v/>
      </c>
      <c r="O1904" s="3" t="inlineStr">
        <is>
          <t>부엉이</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세종특별자치시 나성동 829</t>
        </is>
      </c>
      <c r="B1905" s="3" t="inlineStr">
        <is>
          <t>중심상업지역</t>
        </is>
      </c>
      <c r="C1905" s="3" t="inlineStr">
        <is>
          <t>대</t>
        </is>
      </c>
      <c r="D1905" s="3" t="inlineStr">
        <is>
          <t>전</t>
        </is>
      </c>
      <c r="E1905" s="3" t="inlineStr">
        <is>
          <t>매매</t>
        </is>
      </c>
      <c r="F1905" s="4" t="n">
        <v>121800</v>
      </c>
      <c r="G1905" s="4" t="n">
        <v>2876</v>
      </c>
      <c r="H1905" s="4" t="n">
        <v>870</v>
      </c>
      <c r="I1905" s="5" t="n">
        <v>140</v>
      </c>
      <c r="J1905" s="4" t="n">
        <v>747.8</v>
      </c>
      <c r="K1905" s="3" t="inlineStr">
        <is>
          <t>태성리 토지 매매</t>
        </is>
      </c>
      <c r="L1905" s="6">
        <f>HYPERLINK("https://fin.land.naver.com/articles/2647332149", "매물Link")</f>
        <v/>
      </c>
      <c r="M1905" s="6">
        <f>HYPERLINK("https://map.naver.com/p/search/세종특별자치시 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세종특별자치시 나성동 829</t>
        </is>
      </c>
      <c r="B1906" s="3" t="inlineStr">
        <is>
          <t>중심상업지역</t>
        </is>
      </c>
      <c r="C1906" s="3" t="inlineStr">
        <is>
          <t>대</t>
        </is>
      </c>
      <c r="D1906" s="3" t="inlineStr">
        <is>
          <t>답</t>
        </is>
      </c>
      <c r="E1906" s="3" t="inlineStr">
        <is>
          <t>매매</t>
        </is>
      </c>
      <c r="F1906" s="4" t="n">
        <v>574650</v>
      </c>
      <c r="G1906" s="4" t="n">
        <v>12664</v>
      </c>
      <c r="H1906" s="4" t="n">
        <v>3831</v>
      </c>
      <c r="I1906" s="5" t="n">
        <v>150</v>
      </c>
      <c r="J1906" s="4" t="n">
        <v>747.8</v>
      </c>
      <c r="K1906" s="3" t="inlineStr">
        <is>
          <t>토지 매매</t>
        </is>
      </c>
      <c r="L1906" s="6">
        <f>HYPERLINK("https://fin.land.naver.com/articles/2647338184", "매물Link")</f>
        <v/>
      </c>
      <c r="M1906" s="6">
        <f>HYPERLINK("https://map.naver.com/p/search/세종특별자치시 나성동 829", "지도Link")</f>
        <v/>
      </c>
      <c r="N1906" s="6">
        <f>HYPERLINK("http://www.eum.go.kr/web/ar/lu/luLandDet.jsp?pnu=3611010700108290000&amp;isNoScr=script&amp;mode=search", "토지이음")</f>
        <v/>
      </c>
      <c r="O1906" s="3" t="inlineStr">
        <is>
          <t>사거리</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세종특별자치시 나성동 829</t>
        </is>
      </c>
      <c r="B1907" s="3" t="inlineStr">
        <is>
          <t>중심상업지역</t>
        </is>
      </c>
      <c r="C1907" s="3" t="inlineStr">
        <is>
          <t>대</t>
        </is>
      </c>
      <c r="D1907" s="3" t="inlineStr">
        <is>
          <t>전</t>
        </is>
      </c>
      <c r="E1907" s="3" t="inlineStr">
        <is>
          <t>매매</t>
        </is>
      </c>
      <c r="F1907" s="4" t="n">
        <v>49800</v>
      </c>
      <c r="G1907" s="4" t="n">
        <v>1498</v>
      </c>
      <c r="H1907" s="4" t="n">
        <v>453</v>
      </c>
      <c r="I1907" s="5" t="n">
        <v>109.9</v>
      </c>
      <c r="J1907" s="4" t="n">
        <v>747.8</v>
      </c>
      <c r="K1907" s="3" t="inlineStr">
        <is>
          <t>태성리 공장용 토지 매매</t>
        </is>
      </c>
      <c r="L1907" s="6">
        <f>HYPERLINK("https://fin.land.naver.com/articles/2647339860", "매물Link")</f>
        <v/>
      </c>
      <c r="M1907" s="6">
        <f>HYPERLINK("https://map.naver.com/p/search/세종특별자치시 나성동 829", "지도Link")</f>
        <v/>
      </c>
      <c r="N1907" s="6">
        <f>HYPERLINK("http://www.eum.go.kr/web/ar/lu/luLandDet.jsp?pnu=3611010700108290000&amp;isNoScr=script&amp;mode=search", "토지이음")</f>
        <v/>
      </c>
      <c r="O1907" s="3" t="inlineStr">
        <is>
          <t>사거리</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세종특별자치시 나성동 829</t>
        </is>
      </c>
      <c r="B1908" s="3" t="inlineStr">
        <is>
          <t>중심상업지역</t>
        </is>
      </c>
      <c r="C1908" s="3" t="inlineStr">
        <is>
          <t>대</t>
        </is>
      </c>
      <c r="D1908" s="3" t="inlineStr">
        <is>
          <t>답</t>
        </is>
      </c>
      <c r="E1908" s="3" t="inlineStr">
        <is>
          <t>매매</t>
        </is>
      </c>
      <c r="F1908" s="4" t="n">
        <v>65000</v>
      </c>
      <c r="G1908" s="4" t="n">
        <v>4462</v>
      </c>
      <c r="H1908" s="4" t="n">
        <v>1350</v>
      </c>
      <c r="I1908" s="5" t="n">
        <v>48.1</v>
      </c>
      <c r="J1908" s="4" t="n">
        <v>747.8</v>
      </c>
      <c r="K1908" s="3" t="inlineStr">
        <is>
          <t>신축 흥덕구청인근 2차선확포장도로 접</t>
        </is>
      </c>
      <c r="L1908" s="6">
        <f>HYPERLINK("https://fin.land.naver.com/articles/2647758808", "매물Link")</f>
        <v/>
      </c>
      <c r="M1908" s="6">
        <f>HYPERLINK("https://map.naver.com/p/search/세종특별자치시 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세종특별자치시 나성동 829</t>
        </is>
      </c>
      <c r="B1909" s="3" t="inlineStr">
        <is>
          <t>중심상업지역</t>
        </is>
      </c>
      <c r="C1909" s="3" t="inlineStr">
        <is>
          <t>대</t>
        </is>
      </c>
      <c r="D1909" s="3" t="inlineStr">
        <is>
          <t>전</t>
        </is>
      </c>
      <c r="E1909" s="3" t="inlineStr">
        <is>
          <t>매매</t>
        </is>
      </c>
      <c r="F1909" s="4" t="n">
        <v>600000</v>
      </c>
      <c r="G1909" s="4" t="n">
        <v>13411</v>
      </c>
      <c r="H1909" s="4" t="n">
        <v>4057</v>
      </c>
      <c r="I1909" s="5" t="n">
        <v>147.9</v>
      </c>
      <c r="J1909" s="4" t="n">
        <v>747.8</v>
      </c>
      <c r="K1909" s="3" t="inlineStr">
        <is>
          <t>청주하이테크밸리 산업단지 인근 공장창고등 적지</t>
        </is>
      </c>
      <c r="L1909" s="6">
        <f>HYPERLINK("https://fin.land.naver.com/articles/2647770752", "매물Link")</f>
        <v/>
      </c>
      <c r="M1909" s="6">
        <f>HYPERLINK("https://map.naver.com/p/search/세종특별자치시 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세종특별자치시 나성동 829</t>
        </is>
      </c>
      <c r="B1910" s="3" t="inlineStr">
        <is>
          <t>중심상업지역</t>
        </is>
      </c>
      <c r="C1910" s="3" t="inlineStr">
        <is>
          <t>대</t>
        </is>
      </c>
      <c r="D1910" s="3" t="inlineStr">
        <is>
          <t>답</t>
        </is>
      </c>
      <c r="E1910" s="3" t="inlineStr">
        <is>
          <t>매매</t>
        </is>
      </c>
      <c r="F1910" s="4" t="n">
        <v>180000</v>
      </c>
      <c r="G1910" s="4" t="n">
        <v>3831</v>
      </c>
      <c r="H1910" s="4" t="n">
        <v>1159</v>
      </c>
      <c r="I1910" s="5" t="n">
        <v>155.3</v>
      </c>
      <c r="J1910" s="4" t="n">
        <v>747.8</v>
      </c>
      <c r="K1910" s="3" t="inlineStr">
        <is>
          <t>세종시 및 오송단지 인접지역 공장인허가득한 토지</t>
        </is>
      </c>
      <c r="L1910" s="6">
        <f>HYPERLINK("https://fin.land.naver.com/articles/2647776406", "매물Link")</f>
        <v/>
      </c>
      <c r="M1910" s="6">
        <f>HYPERLINK("https://map.naver.com/p/search/세종특별자치시 나성동 829", "지도Link")</f>
        <v/>
      </c>
      <c r="N1910" s="6">
        <f>HYPERLINK("http://www.eum.go.kr/web/ar/lu/luLandDet.jsp?pnu=3611010700108290000&amp;isNoScr=script&amp;mode=search", "토지이음")</f>
        <v/>
      </c>
      <c r="O1910" s="3" t="inlineStr">
        <is>
          <t>좋은</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세종특별자치시 나성동 829</t>
        </is>
      </c>
      <c r="B1911" s="3" t="inlineStr">
        <is>
          <t>중심상업지역</t>
        </is>
      </c>
      <c r="C1911" s="3" t="inlineStr">
        <is>
          <t>대</t>
        </is>
      </c>
      <c r="D1911" s="3" t="inlineStr">
        <is>
          <t>잡종지</t>
        </is>
      </c>
      <c r="E1911" s="3" t="inlineStr">
        <is>
          <t>매매</t>
        </is>
      </c>
      <c r="F1911" s="4" t="n">
        <v>1500000</v>
      </c>
      <c r="G1911" s="4" t="n">
        <v>14138</v>
      </c>
      <c r="H1911" s="4" t="n">
        <v>4277</v>
      </c>
      <c r="I1911" s="5" t="n">
        <v>350.7</v>
      </c>
      <c r="J1911" s="4" t="n">
        <v>747.8</v>
      </c>
      <c r="K1911" s="3" t="inlineStr">
        <is>
          <t>인접 아파트단지 등 토지이용도 최고</t>
        </is>
      </c>
      <c r="L1911" s="6">
        <f>HYPERLINK("https://fin.land.naver.com/articles/2647777694", "매물Link")</f>
        <v/>
      </c>
      <c r="M1911" s="6">
        <f>HYPERLINK("https://map.naver.com/p/search/세종특별자치시 나성동 829", "지도Link")</f>
        <v/>
      </c>
      <c r="N1911" s="6">
        <f>HYPERLINK("http://www.eum.go.kr/web/ar/lu/luLandDet.jsp?pnu=3611010700108290000&amp;isNoScr=script&amp;mode=search", "토지이음")</f>
        <v/>
      </c>
      <c r="O1911" s="3" t="inlineStr">
        <is>
          <t>좋은</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세종특별자치시 나성동 829</t>
        </is>
      </c>
      <c r="B1912" s="3" t="inlineStr">
        <is>
          <t>중심상업지역</t>
        </is>
      </c>
      <c r="C1912" s="3" t="inlineStr">
        <is>
          <t>대</t>
        </is>
      </c>
      <c r="D1912" s="3" t="inlineStr">
        <is>
          <t>대</t>
        </is>
      </c>
      <c r="E1912" s="3" t="inlineStr">
        <is>
          <t>매매</t>
        </is>
      </c>
      <c r="F1912" s="4" t="n">
        <v>11300</v>
      </c>
      <c r="G1912" s="4" t="n">
        <v>314</v>
      </c>
      <c r="H1912" s="4" t="n">
        <v>95</v>
      </c>
      <c r="I1912" s="5" t="n">
        <v>118.9</v>
      </c>
      <c r="J1912" s="4" t="n">
        <v>747.8</v>
      </c>
      <c r="K1912" s="3" t="inlineStr">
        <is>
          <t>내수읍 은곡리 크라운빌 인근에 위치</t>
        </is>
      </c>
      <c r="L1912" s="6">
        <f>HYPERLINK("https://fin.land.naver.com/articles/2646867549", "매물Link")</f>
        <v/>
      </c>
      <c r="M1912" s="6">
        <f>HYPERLINK("https://map.naver.com/p/search/세종특별자치시 나성동 829", "지도Link")</f>
        <v/>
      </c>
      <c r="N1912" s="6">
        <f>HYPERLINK("http://www.eum.go.kr/web/ar/lu/luLandDet.jsp?pnu=3611010700108290000&amp;isNoScr=script&amp;mode=search", "토지이음")</f>
        <v/>
      </c>
      <c r="O1912" s="3" t="inlineStr">
        <is>
          <t>일조</t>
        </is>
      </c>
      <c r="P1912" s="3" t="n">
        <v>1</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세종특별자치시 나성동 829</t>
        </is>
      </c>
      <c r="B1913" s="3" t="inlineStr">
        <is>
          <t>중심상업지역</t>
        </is>
      </c>
      <c r="C1913" s="3" t="inlineStr">
        <is>
          <t>대</t>
        </is>
      </c>
      <c r="D1913" s="3" t="inlineStr">
        <is>
          <t>답</t>
        </is>
      </c>
      <c r="E1913" s="3" t="inlineStr">
        <is>
          <t>매매</t>
        </is>
      </c>
      <c r="F1913" s="4" t="n">
        <v>20000</v>
      </c>
      <c r="G1913" s="4" t="n">
        <v>473</v>
      </c>
      <c r="H1913" s="4" t="n">
        <v>143</v>
      </c>
      <c r="I1913" s="5" t="n">
        <v>139.9</v>
      </c>
      <c r="J1913" s="4" t="n">
        <v>747.8</v>
      </c>
      <c r="K1913" s="3" t="inlineStr">
        <is>
          <t>nan</t>
        </is>
      </c>
      <c r="L1913" s="6">
        <f>HYPERLINK("https://fin.land.naver.com/articles/2648148713", "매물Link")</f>
        <v/>
      </c>
      <c r="M1913" s="6">
        <f>HYPERLINK("https://map.naver.com/p/search/세종특별자치시 나성동 829", "지도Link")</f>
        <v/>
      </c>
      <c r="N1913" s="6">
        <f>HYPERLINK("http://www.eum.go.kr/web/ar/lu/luLandDet.jsp?pnu=3611010700108290000&amp;isNoScr=script&amp;mode=search", "토지이음")</f>
        <v/>
      </c>
      <c r="O1913" s="3" t="inlineStr">
        <is>
          <t>G세계로무소</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세종특별자치시 나성동 829</t>
        </is>
      </c>
      <c r="B1914" s="3" t="inlineStr">
        <is>
          <t>중심상업지역</t>
        </is>
      </c>
      <c r="C1914" s="3" t="inlineStr">
        <is>
          <t>대</t>
        </is>
      </c>
      <c r="D1914" s="3" t="inlineStr">
        <is>
          <t>공장용지</t>
        </is>
      </c>
      <c r="E1914" s="3" t="inlineStr">
        <is>
          <t>매매</t>
        </is>
      </c>
      <c r="F1914" s="4" t="n">
        <v>150000</v>
      </c>
      <c r="G1914" s="4" t="n">
        <v>3644</v>
      </c>
      <c r="H1914" s="4" t="n">
        <v>1102</v>
      </c>
      <c r="I1914" s="5" t="n">
        <v>136.1</v>
      </c>
      <c r="J1914" s="4" t="n">
        <v>747.8</v>
      </c>
      <c r="K1914" s="3" t="inlineStr">
        <is>
          <t>현 구축 공장 있음 옥산면 공장용지 매매</t>
        </is>
      </c>
      <c r="L1914" s="6">
        <f>HYPERLINK("https://fin.land.naver.com/articles/2646418032", "매물Link")</f>
        <v/>
      </c>
      <c r="M1914" s="6">
        <f>HYPERLINK("https://map.naver.com/p/search/세종특별자치시 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세종특별자치시 나성동 829</t>
        </is>
      </c>
      <c r="B1915" s="3" t="inlineStr">
        <is>
          <t>중심상업지역</t>
        </is>
      </c>
      <c r="C1915" s="3" t="inlineStr">
        <is>
          <t>대</t>
        </is>
      </c>
      <c r="D1915" s="3" t="inlineStr">
        <is>
          <t>잡종지</t>
        </is>
      </c>
      <c r="E1915" s="3" t="inlineStr">
        <is>
          <t>매매</t>
        </is>
      </c>
      <c r="F1915" s="4" t="n">
        <v>22500</v>
      </c>
      <c r="G1915" s="4" t="n">
        <v>1488</v>
      </c>
      <c r="H1915" s="4" t="n">
        <v>450</v>
      </c>
      <c r="I1915" s="5" t="n">
        <v>50</v>
      </c>
      <c r="J1915" s="4" t="n">
        <v>747.8</v>
      </c>
      <c r="K1915" s="3" t="inlineStr">
        <is>
          <t>동림리 잡종지 매매</t>
        </is>
      </c>
      <c r="L1915" s="6">
        <f>HYPERLINK("https://fin.land.naver.com/articles/2646423608", "매물Link")</f>
        <v/>
      </c>
      <c r="M1915" s="6">
        <f>HYPERLINK("https://map.naver.com/p/search/세종특별자치시 나성동 829", "지도Link")</f>
        <v/>
      </c>
      <c r="N1915" s="6">
        <f>HYPERLINK("http://www.eum.go.kr/web/ar/lu/luLandDet.jsp?pnu=3611010700108290000&amp;isNoScr=script&amp;mode=search", "토지이음")</f>
        <v/>
      </c>
      <c r="O1915" s="3" t="inlineStr">
        <is>
          <t>옥산금정</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세종특별자치시 나성동 829</t>
        </is>
      </c>
      <c r="B1916" s="3" t="inlineStr">
        <is>
          <t>중심상업지역</t>
        </is>
      </c>
      <c r="C1916" s="3" t="inlineStr">
        <is>
          <t>대</t>
        </is>
      </c>
      <c r="D1916" s="3" t="inlineStr">
        <is>
          <t>답</t>
        </is>
      </c>
      <c r="E1916" s="3" t="inlineStr">
        <is>
          <t>매매</t>
        </is>
      </c>
      <c r="F1916" s="4" t="n">
        <v>145000</v>
      </c>
      <c r="G1916" s="4" t="n">
        <v>1586</v>
      </c>
      <c r="H1916" s="4" t="n">
        <v>480</v>
      </c>
      <c r="I1916" s="5" t="n">
        <v>302.1</v>
      </c>
      <c r="J1916" s="4" t="n">
        <v>747.8</v>
      </c>
      <c r="K1916" s="3" t="inlineStr">
        <is>
          <t>농수산물시장 바로 앞 투자용</t>
        </is>
      </c>
      <c r="L1916" s="6">
        <f>HYPERLINK("https://fin.land.naver.com/articles/2646664370", "매물Link")</f>
        <v/>
      </c>
      <c r="M1916" s="6">
        <f>HYPERLINK("https://map.naver.com/p/search/세종특별자치시 나성동 829", "지도Link")</f>
        <v/>
      </c>
      <c r="N1916" s="6">
        <f>HYPERLINK("http://www.eum.go.kr/web/ar/lu/luLandDet.jsp?pnu=3611010700108290000&amp;isNoScr=script&amp;mode=search", "토지이음")</f>
        <v/>
      </c>
      <c r="O1916" s="3" t="inlineStr">
        <is>
          <t>좋은터</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세종특별자치시 나성동 829</t>
        </is>
      </c>
      <c r="B1917" s="3" t="inlineStr">
        <is>
          <t>중심상업지역</t>
        </is>
      </c>
      <c r="C1917" s="3" t="inlineStr">
        <is>
          <t>대</t>
        </is>
      </c>
      <c r="D1917" s="3" t="inlineStr">
        <is>
          <t>답</t>
        </is>
      </c>
      <c r="E1917" s="3" t="inlineStr">
        <is>
          <t>매매</t>
        </is>
      </c>
      <c r="F1917" s="4" t="n">
        <v>11200</v>
      </c>
      <c r="G1917" s="4" t="n">
        <v>1886</v>
      </c>
      <c r="H1917" s="4" t="n">
        <v>571</v>
      </c>
      <c r="I1917" s="5" t="n">
        <v>19.6</v>
      </c>
      <c r="J1917" s="4" t="n">
        <v>747.8</v>
      </c>
      <c r="K1917" s="3" t="inlineStr">
        <is>
          <t>저렴한 농지 매매</t>
        </is>
      </c>
      <c r="L1917" s="6">
        <f>HYPERLINK("https://fin.land.naver.com/articles/2646703656", "매물Link")</f>
        <v/>
      </c>
      <c r="M1917" s="6">
        <f>HYPERLINK("https://map.naver.com/p/search/세종특별자치시 나성동 829", "지도Link")</f>
        <v/>
      </c>
      <c r="N1917" s="6">
        <f>HYPERLINK("http://www.eum.go.kr/web/ar/lu/luLandDet.jsp?pnu=3611010700108290000&amp;isNoScr=script&amp;mode=search", "토지이음")</f>
        <v/>
      </c>
      <c r="O1917" s="3" t="inlineStr">
        <is>
          <t>옥산금정</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세종특별자치시 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HYPERLINK("https://map.naver.com/p/search/세종특별자치시 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세종특별자치시 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도로접,공장이나 창고,주택 추천합니다.</t>
        </is>
      </c>
      <c r="L1919" s="6">
        <f>HYPERLINK("https://fin.land.naver.com/articles/2645366875", "매물Link")</f>
        <v/>
      </c>
      <c r="M1919" s="6">
        <f>HYPERLINK("https://map.naver.com/p/search/세종특별자치시 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세종특별자치시 나성동 829</t>
        </is>
      </c>
      <c r="B1920" s="3" t="inlineStr">
        <is>
          <t>중심상업지역</t>
        </is>
      </c>
      <c r="C1920" s="3" t="inlineStr">
        <is>
          <t>대</t>
        </is>
      </c>
      <c r="D1920" s="3" t="inlineStr">
        <is>
          <t>답</t>
        </is>
      </c>
      <c r="E1920" s="3" t="inlineStr">
        <is>
          <t>매매</t>
        </is>
      </c>
      <c r="F1920" s="4" t="n">
        <v>88000</v>
      </c>
      <c r="G1920" s="4" t="n">
        <v>2641</v>
      </c>
      <c r="H1920" s="4" t="n">
        <v>799</v>
      </c>
      <c r="I1920" s="5" t="n">
        <v>110.1</v>
      </c>
      <c r="J1920" s="4" t="n">
        <v>747.8</v>
      </c>
      <c r="K1920" s="3" t="inlineStr">
        <is>
          <t>공장이나 창고,주택 건축 가능 합니다.</t>
        </is>
      </c>
      <c r="L1920" s="6">
        <f>HYPERLINK("https://fin.land.naver.com/articles/2644693197", "매물Link")</f>
        <v/>
      </c>
      <c r="M1920" s="6">
        <f>HYPERLINK("https://map.naver.com/p/search/세종특별자치시 나성동 829", "지도Link")</f>
        <v/>
      </c>
      <c r="N1920" s="6">
        <f>HYPERLINK("http://www.eum.go.kr/web/ar/lu/luLandDet.jsp?pnu=3611010700108290000&amp;isNoScr=script&amp;mode=search", "토지이음")</f>
        <v/>
      </c>
      <c r="O1920" s="3" t="inlineStr">
        <is>
          <t>코오롱하늘채</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세종특별자치시 나성동 829</t>
        </is>
      </c>
      <c r="B1921" s="3" t="inlineStr">
        <is>
          <t>중심상업지역</t>
        </is>
      </c>
      <c r="C1921" s="3" t="inlineStr">
        <is>
          <t>대</t>
        </is>
      </c>
      <c r="D1921" s="3" t="inlineStr">
        <is>
          <t>전</t>
        </is>
      </c>
      <c r="E1921" s="3" t="inlineStr">
        <is>
          <t>매매</t>
        </is>
      </c>
      <c r="F1921" s="4" t="n">
        <v>38000</v>
      </c>
      <c r="G1921" s="4" t="n">
        <v>2304</v>
      </c>
      <c r="H1921" s="4" t="n">
        <v>697</v>
      </c>
      <c r="I1921" s="5" t="n">
        <v>54.5</v>
      </c>
      <c r="J1921" s="4" t="n">
        <v>747.8</v>
      </c>
      <c r="K1921" s="3" t="inlineStr">
        <is>
          <t>옥산면 호죽리전 매매 2차선접한  사정상 매매 창고등 목적 용이한 토지</t>
        </is>
      </c>
      <c r="L1921" s="6">
        <f>HYPERLINK("https://fin.land.naver.com/articles/2644695541", "매물Link")</f>
        <v/>
      </c>
      <c r="M1921" s="6">
        <f>HYPERLINK("https://map.naver.com/p/search/세종특별자치시 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세종특별자치시 나성동 829</t>
        </is>
      </c>
      <c r="B1922" s="3" t="inlineStr">
        <is>
          <t>중심상업지역</t>
        </is>
      </c>
      <c r="C1922" s="3" t="inlineStr">
        <is>
          <t>대</t>
        </is>
      </c>
      <c r="D1922" s="3" t="inlineStr">
        <is>
          <t>답</t>
        </is>
      </c>
      <c r="E1922" s="3" t="inlineStr">
        <is>
          <t>매매</t>
        </is>
      </c>
      <c r="F1922" s="4" t="n">
        <v>25700</v>
      </c>
      <c r="G1922" s="4" t="n">
        <v>1894</v>
      </c>
      <c r="H1922" s="4" t="n">
        <v>573</v>
      </c>
      <c r="I1922" s="5" t="n">
        <v>44.9</v>
      </c>
      <c r="J1922" s="4" t="n">
        <v>747.8</v>
      </c>
      <c r="K1922" s="3" t="inlineStr">
        <is>
          <t>큰하우스두동설치된 논매매 호박농사등 특수작물가능한 옥산논 매매</t>
        </is>
      </c>
      <c r="L1922" s="6">
        <f>HYPERLINK("https://fin.land.naver.com/articles/2644696273", "매물Link")</f>
        <v/>
      </c>
      <c r="M1922" s="6">
        <f>HYPERLINK("https://map.naver.com/p/search/세종특별자치시 나성동 829", "지도Link")</f>
        <v/>
      </c>
      <c r="N1922" s="6">
        <f>HYPERLINK("http://www.eum.go.kr/web/ar/lu/luLandDet.jsp?pnu=3611010700108290000&amp;isNoScr=script&amp;mode=search", "토지이음")</f>
        <v/>
      </c>
      <c r="O1922" s="3" t="inlineStr">
        <is>
          <t>옥산리버자이</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세종특별자치시 나성동 829</t>
        </is>
      </c>
      <c r="B1923" s="3" t="inlineStr">
        <is>
          <t>중심상업지역</t>
        </is>
      </c>
      <c r="C1923" s="3" t="inlineStr">
        <is>
          <t>대</t>
        </is>
      </c>
      <c r="D1923" s="3" t="inlineStr">
        <is>
          <t>전</t>
        </is>
      </c>
      <c r="E1923" s="3" t="inlineStr">
        <is>
          <t>매매</t>
        </is>
      </c>
      <c r="F1923" s="4" t="n">
        <v>113000</v>
      </c>
      <c r="G1923" s="4" t="n">
        <v>3837</v>
      </c>
      <c r="H1923" s="4" t="n">
        <v>1161</v>
      </c>
      <c r="I1923" s="5" t="n">
        <v>97.3</v>
      </c>
      <c r="J1923" s="4" t="n">
        <v>747.8</v>
      </c>
      <c r="K1923" s="3" t="inlineStr">
        <is>
          <t>옥산산업단지 앞의 대형차 진출입 원활하고 땅모양 좋은 토지</t>
        </is>
      </c>
      <c r="L1923" s="6">
        <f>HYPERLINK("https://fin.land.naver.com/articles/2644708259", "매물Link")</f>
        <v/>
      </c>
      <c r="M1923" s="6">
        <f>HYPERLINK("https://map.naver.com/p/search/세종특별자치시 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세종특별자치시 나성동 829</t>
        </is>
      </c>
      <c r="B1924" s="3" t="inlineStr">
        <is>
          <t>중심상업지역</t>
        </is>
      </c>
      <c r="C1924" s="3" t="inlineStr">
        <is>
          <t>대</t>
        </is>
      </c>
      <c r="D1924" s="3" t="inlineStr">
        <is>
          <t>공장용지</t>
        </is>
      </c>
      <c r="E1924" s="3" t="inlineStr">
        <is>
          <t>매매</t>
        </is>
      </c>
      <c r="F1924" s="4" t="n">
        <v>150000</v>
      </c>
      <c r="G1924" s="4" t="n">
        <v>3644</v>
      </c>
      <c r="H1924" s="4" t="n">
        <v>1102</v>
      </c>
      <c r="I1924" s="5" t="n">
        <v>136.1</v>
      </c>
      <c r="J1924" s="4" t="n">
        <v>747.8</v>
      </c>
      <c r="K1924" s="3" t="inlineStr">
        <is>
          <t>2차선도로변 현 공장있음  철거후 신축가능</t>
        </is>
      </c>
      <c r="L1924" s="6">
        <f>HYPERLINK("https://fin.land.naver.com/articles/2644712513", "매물Link")</f>
        <v/>
      </c>
      <c r="M1924" s="6">
        <f>HYPERLINK("https://map.naver.com/p/search/세종특별자치시 나성동 829", "지도Link")</f>
        <v/>
      </c>
      <c r="N1924" s="6">
        <f>HYPERLINK("http://www.eum.go.kr/web/ar/lu/luLandDet.jsp?pnu=3611010700108290000&amp;isNoScr=script&amp;mode=search", "토지이음")</f>
        <v/>
      </c>
      <c r="O1924" s="3" t="inlineStr">
        <is>
          <t>더원</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세종특별자치시 나성동 829</t>
        </is>
      </c>
      <c r="B1925" s="3" t="inlineStr">
        <is>
          <t>중심상업지역</t>
        </is>
      </c>
      <c r="C1925" s="3" t="inlineStr">
        <is>
          <t>대</t>
        </is>
      </c>
      <c r="D1925" s="3" t="inlineStr">
        <is>
          <t>답</t>
        </is>
      </c>
      <c r="E1925" s="3" t="inlineStr">
        <is>
          <t>매매</t>
        </is>
      </c>
      <c r="F1925" s="4" t="n">
        <v>36774</v>
      </c>
      <c r="G1925" s="4" t="n">
        <v>4502</v>
      </c>
      <c r="H1925" s="4" t="n">
        <v>1362</v>
      </c>
      <c r="I1925" s="5" t="n">
        <v>27</v>
      </c>
      <c r="J1925" s="4" t="n">
        <v>747.8</v>
      </c>
      <c r="K1925" s="3" t="inlineStr">
        <is>
          <t>옥산면 수락리 답 매매</t>
        </is>
      </c>
      <c r="L1925" s="6">
        <f>HYPERLINK("https://fin.land.naver.com/articles/2644755871", "매물Link")</f>
        <v/>
      </c>
      <c r="M1925" s="6">
        <f>HYPERLINK("https://map.naver.com/p/search/세종특별자치시 나성동 829", "지도Link")</f>
        <v/>
      </c>
      <c r="N1925" s="6">
        <f>HYPERLINK("http://www.eum.go.kr/web/ar/lu/luLandDet.jsp?pnu=3611010700108290000&amp;isNoScr=script&amp;mode=search", "토지이음")</f>
        <v/>
      </c>
      <c r="O1925" s="3" t="inlineStr">
        <is>
          <t>보배</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세종특별자치시 나성동 829</t>
        </is>
      </c>
      <c r="B1926" s="3" t="inlineStr">
        <is>
          <t>중심상업지역</t>
        </is>
      </c>
      <c r="C1926" s="3" t="inlineStr">
        <is>
          <t>대</t>
        </is>
      </c>
      <c r="D1926" s="3" t="inlineStr">
        <is>
          <t>답</t>
        </is>
      </c>
      <c r="E1926" s="3" t="inlineStr">
        <is>
          <t>매매</t>
        </is>
      </c>
      <c r="F1926" s="4" t="n">
        <v>57000</v>
      </c>
      <c r="G1926" s="4" t="n">
        <v>2350</v>
      </c>
      <c r="H1926" s="4" t="n">
        <v>711</v>
      </c>
      <c r="I1926" s="5" t="n">
        <v>80.2</v>
      </c>
      <c r="J1926" s="4" t="n">
        <v>747.8</v>
      </c>
      <c r="K1926" s="3" t="inlineStr">
        <is>
          <t>현재논농사중. 옥산현대자동차써비스쎈터근처</t>
        </is>
      </c>
      <c r="L1926" s="6">
        <f>HYPERLINK("https://fin.land.naver.com/articles/2645117542", "매물Link")</f>
        <v/>
      </c>
      <c r="M1926" s="6">
        <f>HYPERLINK("https://map.naver.com/p/search/세종특별자치시 나성동 829", "지도Link")</f>
        <v/>
      </c>
      <c r="N1926" s="6">
        <f>HYPERLINK("http://www.eum.go.kr/web/ar/lu/luLandDet.jsp?pnu=3611010700108290000&amp;isNoScr=script&amp;mode=search", "토지이음")</f>
        <v/>
      </c>
      <c r="O1926" s="3" t="inlineStr">
        <is>
          <t>옥산제일사무소</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세종특별자치시 나성동 829</t>
        </is>
      </c>
      <c r="B1927" s="3" t="inlineStr">
        <is>
          <t>중심상업지역</t>
        </is>
      </c>
      <c r="C1927" s="3" t="inlineStr">
        <is>
          <t>대</t>
        </is>
      </c>
      <c r="D1927" s="3" t="inlineStr">
        <is>
          <t>전</t>
        </is>
      </c>
      <c r="E1927" s="3" t="inlineStr">
        <is>
          <t>매매</t>
        </is>
      </c>
      <c r="F1927" s="4" t="n">
        <v>7800</v>
      </c>
      <c r="G1927" s="4" t="n">
        <v>421</v>
      </c>
      <c r="H1927" s="4" t="n">
        <v>127</v>
      </c>
      <c r="I1927" s="5" t="n">
        <v>61.4</v>
      </c>
      <c r="J1927" s="4" t="n">
        <v>747.8</v>
      </c>
      <c r="K1927" s="3" t="inlineStr">
        <is>
          <t>도로변 생산관리 매매</t>
        </is>
      </c>
      <c r="L1927" s="6">
        <f>HYPERLINK("https://fin.land.naver.com/articles/2645349906", "매물Link")</f>
        <v/>
      </c>
      <c r="M1927" s="6">
        <f>HYPERLINK("https://map.naver.com/p/search/세종특별자치시 나성동 829", "지도Link")</f>
        <v/>
      </c>
      <c r="N1927" s="6">
        <f>HYPERLINK("http://www.eum.go.kr/web/ar/lu/luLandDet.jsp?pnu=3611010700108290000&amp;isNoScr=script&amp;mode=search", "토지이음")</f>
        <v/>
      </c>
      <c r="O1927" s="3" t="inlineStr">
        <is>
          <t>옥산금정</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세종특별자치시 나성동 829</t>
        </is>
      </c>
      <c r="B1928" s="3" t="inlineStr">
        <is>
          <t>중심상업지역</t>
        </is>
      </c>
      <c r="C1928" s="3" t="inlineStr">
        <is>
          <t>대</t>
        </is>
      </c>
      <c r="D1928" s="3" t="inlineStr">
        <is>
          <t>전</t>
        </is>
      </c>
      <c r="E1928" s="3" t="inlineStr">
        <is>
          <t>매매</t>
        </is>
      </c>
      <c r="F1928" s="4" t="n">
        <v>14000</v>
      </c>
      <c r="G1928" s="4" t="n">
        <v>879</v>
      </c>
      <c r="H1928" s="4" t="n">
        <v>266</v>
      </c>
      <c r="I1928" s="5" t="n">
        <v>52.6</v>
      </c>
      <c r="J1928" s="4" t="n">
        <v>747.8</v>
      </c>
      <c r="K1928" s="3" t="inlineStr">
        <is>
          <t>전원주택및 농막설치 위치로 최상 저렴한 토지 매매</t>
        </is>
      </c>
      <c r="L1928" s="6">
        <f>HYPERLINK("https://fin.land.naver.com/articles/2646066587", "매물Link")</f>
        <v/>
      </c>
      <c r="M1928" s="6">
        <f>HYPERLINK("https://map.naver.com/p/search/세종특별자치시 나성동 829", "지도Link")</f>
        <v/>
      </c>
      <c r="N1928" s="6">
        <f>HYPERLINK("http://www.eum.go.kr/web/ar/lu/luLandDet.jsp?pnu=3611010700108290000&amp;isNoScr=script&amp;mode=search", "토지이음")</f>
        <v/>
      </c>
      <c r="O1928" s="3" t="inlineStr">
        <is>
          <t>옥산리버자이</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세종특별자치시 나성동 829</t>
        </is>
      </c>
      <c r="B1929" s="3" t="inlineStr">
        <is>
          <t>중심상업지역</t>
        </is>
      </c>
      <c r="C1929" s="3" t="inlineStr">
        <is>
          <t>대</t>
        </is>
      </c>
      <c r="D1929" s="3" t="inlineStr">
        <is>
          <t>전</t>
        </is>
      </c>
      <c r="E1929" s="3" t="inlineStr">
        <is>
          <t>매매</t>
        </is>
      </c>
      <c r="F1929" s="4" t="n">
        <v>16000</v>
      </c>
      <c r="G1929" s="4" t="n">
        <v>638</v>
      </c>
      <c r="H1929" s="4" t="n">
        <v>193</v>
      </c>
      <c r="I1929" s="5" t="n">
        <v>82.90000000000001</v>
      </c>
      <c r="J1929" s="4" t="n">
        <v>747.8</v>
      </c>
      <c r="K1929" s="3" t="inlineStr">
        <is>
          <t>주말농자이나 투자 추천합니다.</t>
        </is>
      </c>
      <c r="L1929" s="6">
        <f>HYPERLINK("https://fin.land.naver.com/articles/2647203491", "매물Link")</f>
        <v/>
      </c>
      <c r="M1929" s="6">
        <f>HYPERLINK("https://map.naver.com/p/search/세종특별자치시 나성동 829", "지도Link")</f>
        <v/>
      </c>
      <c r="N1929" s="6">
        <f>HYPERLINK("http://www.eum.go.kr/web/ar/lu/luLandDet.jsp?pnu=3611010700108290000&amp;isNoScr=script&amp;mode=search", "토지이음")</f>
        <v/>
      </c>
      <c r="O1929" s="3" t="inlineStr">
        <is>
          <t>코오롱하늘채</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세종특별자치시 나성동 829</t>
        </is>
      </c>
      <c r="B1930" s="3" t="inlineStr">
        <is>
          <t>중심상업지역</t>
        </is>
      </c>
      <c r="C1930" s="3" t="inlineStr">
        <is>
          <t>대</t>
        </is>
      </c>
      <c r="D1930" s="3" t="inlineStr">
        <is>
          <t>대</t>
        </is>
      </c>
      <c r="E1930" s="3" t="inlineStr">
        <is>
          <t>매매</t>
        </is>
      </c>
      <c r="F1930" s="4" t="n">
        <v>67000</v>
      </c>
      <c r="G1930" s="4" t="n">
        <v>724</v>
      </c>
      <c r="H1930" s="4" t="n">
        <v>219</v>
      </c>
      <c r="I1930" s="5" t="n">
        <v>305.9</v>
      </c>
      <c r="J1930" s="4" t="n">
        <v>747.8</v>
      </c>
      <c r="K1930" s="3" t="inlineStr">
        <is>
          <t>옥산시내위치.옥사ic근접,청주농산물쎈터옥산이전예정.교통중심지</t>
        </is>
      </c>
      <c r="L1930" s="6">
        <f>HYPERLINK("https://fin.land.naver.com/articles/2646415996", "매물Link")</f>
        <v/>
      </c>
      <c r="M1930" s="6">
        <f>HYPERLINK("https://map.naver.com/p/search/세종특별자치시 나성동 829", "지도Link")</f>
        <v/>
      </c>
      <c r="N1930" s="6">
        <f>HYPERLINK("http://www.eum.go.kr/web/ar/lu/luLandDet.jsp?pnu=3611010700108290000&amp;isNoScr=script&amp;mode=search", "토지이음")</f>
        <v/>
      </c>
      <c r="O1930" s="3" t="inlineStr">
        <is>
          <t>옥산제일사무소</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세종특별자치시 나성동 829</t>
        </is>
      </c>
      <c r="B1931" s="3" t="inlineStr">
        <is>
          <t>중심상업지역</t>
        </is>
      </c>
      <c r="C1931" s="3" t="inlineStr">
        <is>
          <t>대</t>
        </is>
      </c>
      <c r="D1931" s="3" t="inlineStr">
        <is>
          <t>답</t>
        </is>
      </c>
      <c r="E1931" s="3" t="inlineStr">
        <is>
          <t>매매</t>
        </is>
      </c>
      <c r="F1931" s="4" t="n">
        <v>30000</v>
      </c>
      <c r="G1931" s="4" t="n">
        <v>2304</v>
      </c>
      <c r="H1931" s="4" t="n">
        <v>697</v>
      </c>
      <c r="I1931" s="5" t="n">
        <v>43</v>
      </c>
      <c r="J1931" s="4" t="n">
        <v>747.8</v>
      </c>
      <c r="K1931" s="3" t="inlineStr">
        <is>
          <t>생산녹지지역</t>
        </is>
      </c>
      <c r="L1931" s="6">
        <f>HYPERLINK("https://fin.land.naver.com/articles/2644278027", "매물Link")</f>
        <v/>
      </c>
      <c r="M1931" s="6">
        <f>HYPERLINK("https://map.naver.com/p/search/세종특별자치시 나성동 829", "지도Link")</f>
        <v/>
      </c>
      <c r="N1931" s="6">
        <f>HYPERLINK("http://www.eum.go.kr/web/ar/lu/luLandDet.jsp?pnu=3611010700108290000&amp;isNoScr=script&amp;mode=search", "토지이음")</f>
        <v/>
      </c>
      <c r="O1931" s="3" t="inlineStr">
        <is>
          <t>신나라</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세종특별자치시 나성동 829</t>
        </is>
      </c>
      <c r="B1932" s="3" t="inlineStr">
        <is>
          <t>중심상업지역</t>
        </is>
      </c>
      <c r="C1932" s="3" t="inlineStr">
        <is>
          <t>대</t>
        </is>
      </c>
      <c r="D1932" s="3" t="inlineStr">
        <is>
          <t>대</t>
        </is>
      </c>
      <c r="E1932" s="3" t="inlineStr">
        <is>
          <t>매매</t>
        </is>
      </c>
      <c r="F1932" s="4" t="n">
        <v>85000</v>
      </c>
      <c r="G1932" s="4" t="n">
        <v>1080</v>
      </c>
      <c r="H1932" s="4" t="n">
        <v>327</v>
      </c>
      <c r="I1932" s="5" t="n">
        <v>259.9</v>
      </c>
      <c r="J1932" s="4" t="n">
        <v>747.8</v>
      </c>
      <c r="K1932" s="3" t="inlineStr">
        <is>
          <t>교원대정문 남쪽으로 바로 위치하며,청주하이테크밸리 산단(30만평)</t>
        </is>
      </c>
      <c r="L1932" s="6">
        <f>HYPERLINK("https://fin.land.naver.com/articles/2644289317", "매물Link")</f>
        <v/>
      </c>
      <c r="M1932" s="6">
        <f>HYPERLINK("https://map.naver.com/p/search/세종특별자치시 나성동 829", "지도Link")</f>
        <v/>
      </c>
      <c r="N1932" s="6">
        <f>HYPERLINK("http://www.eum.go.kr/web/ar/lu/luLandDet.jsp?pnu=3611010700108290000&amp;isNoScr=script&amp;mode=search", "토지이음")</f>
        <v/>
      </c>
      <c r="O1932" s="3" t="inlineStr">
        <is>
          <t>명당</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세종특별자치시 나성동 829</t>
        </is>
      </c>
      <c r="B1933" s="3" t="inlineStr">
        <is>
          <t>중심상업지역</t>
        </is>
      </c>
      <c r="C1933" s="3" t="inlineStr">
        <is>
          <t>대</t>
        </is>
      </c>
      <c r="D1933" s="3" t="inlineStr">
        <is>
          <t>대</t>
        </is>
      </c>
      <c r="E1933" s="3" t="inlineStr">
        <is>
          <t>매매</t>
        </is>
      </c>
      <c r="F1933" s="4" t="n">
        <v>53700</v>
      </c>
      <c r="G1933" s="4" t="n">
        <v>1776</v>
      </c>
      <c r="H1933" s="4" t="n">
        <v>537</v>
      </c>
      <c r="I1933" s="5" t="n">
        <v>100</v>
      </c>
      <c r="J1933" s="4" t="n">
        <v>747.8</v>
      </c>
      <c r="K1933" s="3" t="inlineStr">
        <is>
          <t>nan</t>
        </is>
      </c>
      <c r="L1933" s="6">
        <f>HYPERLINK("https://fin.land.naver.com/articles/2645480021", "매물Link")</f>
        <v/>
      </c>
      <c r="M1933" s="6">
        <f>HYPERLINK("https://map.naver.com/p/search/세종특별자치시 나성동 829", "지도Link")</f>
        <v/>
      </c>
      <c r="N1933" s="6">
        <f>HYPERLINK("http://www.eum.go.kr/web/ar/lu/luLandDet.jsp?pnu=3611010700108290000&amp;isNoScr=script&amp;mode=search", "토지이음")</f>
        <v/>
      </c>
      <c r="O1933" s="3" t="inlineStr">
        <is>
          <t>규담무소</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세종특별자치시 나성동 829</t>
        </is>
      </c>
      <c r="B1934" s="3" t="inlineStr">
        <is>
          <t>중심상업지역</t>
        </is>
      </c>
      <c r="C1934" s="3" t="inlineStr">
        <is>
          <t>대</t>
        </is>
      </c>
      <c r="D1934" s="3" t="inlineStr">
        <is>
          <t>대</t>
        </is>
      </c>
      <c r="E1934" s="3" t="inlineStr">
        <is>
          <t>매매</t>
        </is>
      </c>
      <c r="F1934" s="4" t="n">
        <v>132700</v>
      </c>
      <c r="G1934" s="4" t="n">
        <v>1933</v>
      </c>
      <c r="H1934" s="4" t="n">
        <v>585</v>
      </c>
      <c r="I1934" s="5" t="n">
        <v>226.8</v>
      </c>
      <c r="J1934" s="4" t="n">
        <v>747.8</v>
      </c>
      <c r="K1934" s="3" t="inlineStr">
        <is>
          <t>흥덕구청도보5분거리,오송역인근지역,기존주택있음</t>
        </is>
      </c>
      <c r="L1934" s="6">
        <f>HYPERLINK("https://fin.land.naver.com/articles/2645974730", "매물Link")</f>
        <v/>
      </c>
      <c r="M1934" s="6">
        <f>HYPERLINK("https://map.naver.com/p/search/세종특별자치시 나성동 829", "지도Link")</f>
        <v/>
      </c>
      <c r="N1934" s="6">
        <f>HYPERLINK("http://www.eum.go.kr/web/ar/lu/luLandDet.jsp?pnu=3611010700108290000&amp;isNoScr=script&amp;mode=search", "토지이음")</f>
        <v/>
      </c>
      <c r="O1934" s="3" t="inlineStr">
        <is>
          <t>신한</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세종특별자치시 나성동 829</t>
        </is>
      </c>
      <c r="B1935" s="3" t="inlineStr">
        <is>
          <t>중심상업지역</t>
        </is>
      </c>
      <c r="C1935" s="3" t="inlineStr">
        <is>
          <t>대</t>
        </is>
      </c>
      <c r="D1935" s="3" t="inlineStr">
        <is>
          <t>답</t>
        </is>
      </c>
      <c r="E1935" s="3" t="inlineStr">
        <is>
          <t>매매</t>
        </is>
      </c>
      <c r="F1935" s="4" t="n">
        <v>39200</v>
      </c>
      <c r="G1935" s="4" t="n">
        <v>1851</v>
      </c>
      <c r="H1935" s="4" t="n">
        <v>560</v>
      </c>
      <c r="I1935" s="5" t="n">
        <v>70</v>
      </c>
      <c r="J1935" s="4" t="n">
        <v>747.8</v>
      </c>
      <c r="K1935" s="3" t="inlineStr">
        <is>
          <t>nan</t>
        </is>
      </c>
      <c r="L1935" s="6">
        <f>HYPERLINK("https://fin.land.naver.com/articles/2647126830", "매물Link")</f>
        <v/>
      </c>
      <c r="M1935" s="6">
        <f>HYPERLINK("https://map.naver.com/p/search/세종특별자치시 나성동 829", "지도Link")</f>
        <v/>
      </c>
      <c r="N1935" s="6">
        <f>HYPERLINK("http://www.eum.go.kr/web/ar/lu/luLandDet.jsp?pnu=3611010700108290000&amp;isNoScr=script&amp;mode=search", "토지이음")</f>
        <v/>
      </c>
      <c r="O1935" s="3" t="inlineStr">
        <is>
          <t>세종</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세종특별자치시 나성동 829</t>
        </is>
      </c>
      <c r="B1936" s="3" t="inlineStr">
        <is>
          <t>중심상업지역</t>
        </is>
      </c>
      <c r="C1936" s="3" t="inlineStr">
        <is>
          <t>대</t>
        </is>
      </c>
      <c r="D1936" s="3" t="inlineStr">
        <is>
          <t>전</t>
        </is>
      </c>
      <c r="E1936" s="3" t="inlineStr">
        <is>
          <t>매매</t>
        </is>
      </c>
      <c r="F1936" s="4" t="n">
        <v>30000</v>
      </c>
      <c r="G1936" s="4" t="n">
        <v>1001</v>
      </c>
      <c r="H1936" s="4" t="n">
        <v>303</v>
      </c>
      <c r="I1936" s="5" t="n">
        <v>99</v>
      </c>
      <c r="J1936" s="4" t="n">
        <v>747.8</v>
      </c>
      <c r="K1936" s="3" t="inlineStr">
        <is>
          <t>도로에 접한 계획관리</t>
        </is>
      </c>
      <c r="L1936" s="6">
        <f>HYPERLINK("https://fin.land.naver.com/articles/2647369241", "매물Link")</f>
        <v/>
      </c>
      <c r="M1936" s="6">
        <f>HYPERLINK("https://map.naver.com/p/search/세종특별자치시 나성동 829", "지도Link")</f>
        <v/>
      </c>
      <c r="N1936" s="6">
        <f>HYPERLINK("http://www.eum.go.kr/web/ar/lu/luLandDet.jsp?pnu=3611010700108290000&amp;isNoScr=script&amp;mode=search", "토지이음")</f>
        <v/>
      </c>
      <c r="O1936" s="3" t="inlineStr">
        <is>
          <t>새온누리</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세종특별자치시 나성동 829</t>
        </is>
      </c>
      <c r="B1937" s="3" t="inlineStr">
        <is>
          <t>중심상업지역</t>
        </is>
      </c>
      <c r="C1937" s="3" t="inlineStr">
        <is>
          <t>대</t>
        </is>
      </c>
      <c r="D1937" s="3" t="inlineStr">
        <is>
          <t>임야</t>
        </is>
      </c>
      <c r="E1937" s="3" t="inlineStr">
        <is>
          <t>매매</t>
        </is>
      </c>
      <c r="F1937" s="4" t="n">
        <v>450000</v>
      </c>
      <c r="G1937" s="4" t="n">
        <v>14850</v>
      </c>
      <c r="H1937" s="4" t="n">
        <v>4492</v>
      </c>
      <c r="I1937" s="5" t="n">
        <v>100.2</v>
      </c>
      <c r="J1937" s="4" t="n">
        <v>747.8</v>
      </c>
      <c r="K1937" s="3" t="inlineStr">
        <is>
          <t>부지조성완료, 공장, 창고 추천</t>
        </is>
      </c>
      <c r="L1937" s="6">
        <f>HYPERLINK("https://fin.land.naver.com/articles/2647676343", "매물Link")</f>
        <v/>
      </c>
      <c r="M1937" s="6">
        <f>HYPERLINK("https://map.naver.com/p/search/세종특별자치시 나성동 829", "지도Link")</f>
        <v/>
      </c>
      <c r="N1937" s="6">
        <f>HYPERLINK("http://www.eum.go.kr/web/ar/lu/luLandDet.jsp?pnu=3611010700108290000&amp;isNoScr=script&amp;mode=search", "토지이음")</f>
        <v/>
      </c>
      <c r="O1937" s="3" t="inlineStr">
        <is>
          <t>황제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세종특별자치시 나성동 829</t>
        </is>
      </c>
      <c r="B1938" s="3" t="inlineStr">
        <is>
          <t>중심상업지역</t>
        </is>
      </c>
      <c r="C1938" s="3" t="inlineStr">
        <is>
          <t>대</t>
        </is>
      </c>
      <c r="D1938" s="3" t="inlineStr">
        <is>
          <t>전</t>
        </is>
      </c>
      <c r="E1938" s="3" t="inlineStr">
        <is>
          <t>매매</t>
        </is>
      </c>
      <c r="F1938" s="4" t="n">
        <v>233740</v>
      </c>
      <c r="G1938" s="4" t="n">
        <v>11886</v>
      </c>
      <c r="H1938" s="4" t="n">
        <v>3596</v>
      </c>
      <c r="I1938" s="5" t="n">
        <v>65</v>
      </c>
      <c r="J1938" s="4" t="n">
        <v>747.8</v>
      </c>
      <c r="K1938" s="3" t="inlineStr">
        <is>
          <t>3m 농로에 접한 토지임</t>
        </is>
      </c>
      <c r="L1938" s="6">
        <f>HYPERLINK("https://fin.land.naver.com/articles/2647682779", "매물Link")</f>
        <v/>
      </c>
      <c r="M1938" s="6">
        <f>HYPERLINK("https://map.naver.com/p/search/세종특별자치시 나성동 829", "지도Link")</f>
        <v/>
      </c>
      <c r="N1938" s="6">
        <f>HYPERLINK("http://www.eum.go.kr/web/ar/lu/luLandDet.jsp?pnu=3611010700108290000&amp;isNoScr=script&amp;mode=search", "토지이음")</f>
        <v/>
      </c>
      <c r="O1938" s="3" t="inlineStr">
        <is>
          <t>교차로</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세종특별자치시 나성동 829</t>
        </is>
      </c>
      <c r="B1939" s="3" t="inlineStr">
        <is>
          <t>중심상업지역</t>
        </is>
      </c>
      <c r="C1939" s="3" t="inlineStr">
        <is>
          <t>대</t>
        </is>
      </c>
      <c r="D1939" s="3" t="inlineStr">
        <is>
          <t>답</t>
        </is>
      </c>
      <c r="E1939" s="3" t="inlineStr">
        <is>
          <t>매매</t>
        </is>
      </c>
      <c r="F1939" s="4" t="n">
        <v>19700</v>
      </c>
      <c r="G1939" s="4" t="n">
        <v>465</v>
      </c>
      <c r="H1939" s="4" t="n">
        <v>141</v>
      </c>
      <c r="I1939" s="5" t="n">
        <v>139.7</v>
      </c>
      <c r="J1939" s="4" t="n">
        <v>747.8</v>
      </c>
      <c r="K1939" s="3" t="inlineStr">
        <is>
          <t>계획관리지역, 성장관리지역, 세종시와 직선거리 3.5km, 투자가치기대</t>
        </is>
      </c>
      <c r="L1939" s="6">
        <f>HYPERLINK("https://fin.land.naver.com/articles/2648047436", "매물Link")</f>
        <v/>
      </c>
      <c r="M1939" s="6">
        <f>HYPERLINK("https://map.naver.com/p/search/세종특별자치시 나성동 829", "지도Link")</f>
        <v/>
      </c>
      <c r="N1939" s="6">
        <f>HYPERLINK("http://www.eum.go.kr/web/ar/lu/luLandDet.jsp?pnu=3611010700108290000&amp;isNoScr=script&amp;mode=search", "토지이음")</f>
        <v/>
      </c>
      <c r="O1939" s="3" t="inlineStr">
        <is>
          <t>대화탑</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세종특별자치시 나성동 829</t>
        </is>
      </c>
      <c r="B1940" s="3" t="inlineStr">
        <is>
          <t>중심상업지역</t>
        </is>
      </c>
      <c r="C1940" s="3" t="inlineStr">
        <is>
          <t>대</t>
        </is>
      </c>
      <c r="D1940" s="3" t="inlineStr">
        <is>
          <t>대</t>
        </is>
      </c>
      <c r="E1940" s="3" t="inlineStr">
        <is>
          <t>매매</t>
        </is>
      </c>
      <c r="F1940" s="4" t="n">
        <v>14000</v>
      </c>
      <c r="G1940" s="4" t="n">
        <v>493</v>
      </c>
      <c r="H1940" s="4" t="n">
        <v>149</v>
      </c>
      <c r="I1940" s="5" t="n">
        <v>94</v>
      </c>
      <c r="J1940" s="4" t="n">
        <v>747.8</v>
      </c>
      <c r="K1940" s="3" t="inlineStr">
        <is>
          <t>청주에서 가까워 접근성 좋은 주말농장, 전원주택 적합</t>
        </is>
      </c>
      <c r="L1940" s="6">
        <f>HYPERLINK("https://fin.land.naver.com/articles/2648136263", "매물Link")</f>
        <v/>
      </c>
      <c r="M1940" s="6">
        <f>HYPERLINK("https://map.naver.com/p/search/세종특별자치시 나성동 829", "지도Link")</f>
        <v/>
      </c>
      <c r="N1940" s="6">
        <f>HYPERLINK("http://www.eum.go.kr/web/ar/lu/luLandDet.jsp?pnu=3611010700108290000&amp;isNoScr=script&amp;mode=search", "토지이음")</f>
        <v/>
      </c>
      <c r="O1940" s="3" t="inlineStr">
        <is>
          <t>개신푸르지오</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세종특별자치시 나성동 829</t>
        </is>
      </c>
      <c r="B1941" s="3" t="inlineStr">
        <is>
          <t>중심상업지역</t>
        </is>
      </c>
      <c r="C1941" s="3" t="inlineStr">
        <is>
          <t>대</t>
        </is>
      </c>
      <c r="D1941" s="3" t="inlineStr">
        <is>
          <t>답</t>
        </is>
      </c>
      <c r="E1941" s="3" t="inlineStr">
        <is>
          <t>매매</t>
        </is>
      </c>
      <c r="F1941" s="4" t="n">
        <v>12000</v>
      </c>
      <c r="G1941" s="4" t="n">
        <v>1058</v>
      </c>
      <c r="H1941" s="4" t="n">
        <v>320</v>
      </c>
      <c r="I1941" s="5" t="n">
        <v>37.5</v>
      </c>
      <c r="J1941" s="4" t="n">
        <v>747.8</v>
      </c>
      <c r="K1941" s="3" t="inlineStr">
        <is>
          <t>농업 및 창고 또는 주택가능</t>
        </is>
      </c>
      <c r="L1941" s="6">
        <f>HYPERLINK("https://fin.land.naver.com/articles/2648139329", "매물Link")</f>
        <v/>
      </c>
      <c r="M1941" s="6">
        <f>HYPERLINK("https://map.naver.com/p/search/세종특별자치시 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세종특별자치시 나성동 829</t>
        </is>
      </c>
      <c r="B1942" s="3" t="inlineStr">
        <is>
          <t>중심상업지역</t>
        </is>
      </c>
      <c r="C1942" s="3" t="inlineStr">
        <is>
          <t>대</t>
        </is>
      </c>
      <c r="D1942" s="3" t="inlineStr">
        <is>
          <t>전</t>
        </is>
      </c>
      <c r="E1942" s="3" t="inlineStr">
        <is>
          <t>매매</t>
        </is>
      </c>
      <c r="F1942" s="4" t="n">
        <v>50000</v>
      </c>
      <c r="G1942" s="4" t="n">
        <v>1530</v>
      </c>
      <c r="H1942" s="4" t="n">
        <v>463</v>
      </c>
      <c r="I1942" s="5" t="n">
        <v>108</v>
      </c>
      <c r="J1942" s="4" t="n">
        <v>747.8</v>
      </c>
      <c r="K1942" s="3" t="inlineStr">
        <is>
          <t>흥덕구청 뒷편
흥덕구청뒷편</t>
        </is>
      </c>
      <c r="L1942" s="6">
        <f>HYPERLINK("https://fin.land.naver.com/articles/2648141618", "매물Link")</f>
        <v/>
      </c>
      <c r="M1942" s="6">
        <f>HYPERLINK("https://map.naver.com/p/search/세종특별자치시 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세종특별자치시 나성동 829</t>
        </is>
      </c>
      <c r="B1943" s="3" t="inlineStr">
        <is>
          <t>중심상업지역</t>
        </is>
      </c>
      <c r="C1943" s="3" t="inlineStr">
        <is>
          <t>대</t>
        </is>
      </c>
      <c r="D1943" s="3" t="inlineStr">
        <is>
          <t>답</t>
        </is>
      </c>
      <c r="E1943" s="3" t="inlineStr">
        <is>
          <t>매매</t>
        </is>
      </c>
      <c r="F1943" s="4" t="n">
        <v>68000</v>
      </c>
      <c r="G1943" s="4" t="n">
        <v>1125</v>
      </c>
      <c r="H1943" s="4" t="n">
        <v>340</v>
      </c>
      <c r="I1943" s="5" t="n">
        <v>200</v>
      </c>
      <c r="J1943" s="4" t="n">
        <v>747.8</v>
      </c>
      <c r="K1943" s="3" t="inlineStr">
        <is>
          <t>nan</t>
        </is>
      </c>
      <c r="L1943" s="6">
        <f>HYPERLINK("https://fin.land.naver.com/articles/2648142756", "매물Link")</f>
        <v/>
      </c>
      <c r="M1943" s="6">
        <f>HYPERLINK("https://map.naver.com/p/search/세종특별자치시 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세종특별자치시 나성동 829</t>
        </is>
      </c>
      <c r="B1944" s="3" t="inlineStr">
        <is>
          <t>중심상업지역</t>
        </is>
      </c>
      <c r="C1944" s="3" t="inlineStr">
        <is>
          <t>대</t>
        </is>
      </c>
      <c r="D1944" s="3" t="inlineStr">
        <is>
          <t>전</t>
        </is>
      </c>
      <c r="E1944" s="3" t="inlineStr">
        <is>
          <t>매매</t>
        </is>
      </c>
      <c r="F1944" s="4" t="n">
        <v>50000</v>
      </c>
      <c r="G1944" s="4" t="n">
        <v>2678</v>
      </c>
      <c r="H1944" s="4" t="n">
        <v>810</v>
      </c>
      <c r="I1944" s="5" t="n">
        <v>61.7</v>
      </c>
      <c r="J1944" s="4" t="n">
        <v>747.8</v>
      </c>
      <c r="K1944" s="3" t="inlineStr">
        <is>
          <t>분할매매 가능</t>
        </is>
      </c>
      <c r="L1944" s="6">
        <f>HYPERLINK("https://fin.land.naver.com/articles/2648143265", "매물Link")</f>
        <v/>
      </c>
      <c r="M1944" s="6">
        <f>HYPERLINK("https://map.naver.com/p/search/세종특별자치시 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세종특별자치시 나성동 829</t>
        </is>
      </c>
      <c r="B1945" s="3" t="inlineStr">
        <is>
          <t>중심상업지역</t>
        </is>
      </c>
      <c r="C1945" s="3" t="inlineStr">
        <is>
          <t>대</t>
        </is>
      </c>
      <c r="D1945" s="3" t="inlineStr">
        <is>
          <t>답</t>
        </is>
      </c>
      <c r="E1945" s="3" t="inlineStr">
        <is>
          <t>매매</t>
        </is>
      </c>
      <c r="F1945" s="4" t="n">
        <v>110000</v>
      </c>
      <c r="G1945" s="4" t="n">
        <v>2135</v>
      </c>
      <c r="H1945" s="4" t="n">
        <v>646</v>
      </c>
      <c r="I1945" s="5" t="n">
        <v>170.3</v>
      </c>
      <c r="J1945" s="4" t="n">
        <v>747.8</v>
      </c>
      <c r="K1945" s="3" t="inlineStr">
        <is>
          <t>nan</t>
        </is>
      </c>
      <c r="L1945" s="6">
        <f>HYPERLINK("https://fin.land.naver.com/articles/2648143894", "매물Link")</f>
        <v/>
      </c>
      <c r="M1945" s="6">
        <f>HYPERLINK("https://map.naver.com/p/search/세종특별자치시 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세종특별자치시 나성동 829</t>
        </is>
      </c>
      <c r="B1946" s="3" t="inlineStr">
        <is>
          <t>중심상업지역</t>
        </is>
      </c>
      <c r="C1946" s="3" t="inlineStr">
        <is>
          <t>대</t>
        </is>
      </c>
      <c r="D1946" s="3" t="inlineStr">
        <is>
          <t>전</t>
        </is>
      </c>
      <c r="E1946" s="3" t="inlineStr">
        <is>
          <t>매매</t>
        </is>
      </c>
      <c r="F1946" s="4" t="n">
        <v>45000</v>
      </c>
      <c r="G1946" s="4" t="n">
        <v>987</v>
      </c>
      <c r="H1946" s="4" t="n">
        <v>299</v>
      </c>
      <c r="I1946" s="5" t="n">
        <v>150.5</v>
      </c>
      <c r="J1946" s="4" t="n">
        <v>747.8</v>
      </c>
      <c r="K1946" s="3" t="inlineStr">
        <is>
          <t>nan</t>
        </is>
      </c>
      <c r="L1946" s="6">
        <f>HYPERLINK("https://fin.land.naver.com/articles/2648147142", "매물Link")</f>
        <v/>
      </c>
      <c r="M1946" s="6">
        <f>HYPERLINK("https://map.naver.com/p/search/세종특별자치시 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세종특별자치시 나성동 829</t>
        </is>
      </c>
      <c r="B1947" s="3" t="inlineStr">
        <is>
          <t>중심상업지역</t>
        </is>
      </c>
      <c r="C1947" s="3" t="inlineStr">
        <is>
          <t>대</t>
        </is>
      </c>
      <c r="D1947" s="3" t="inlineStr">
        <is>
          <t>전</t>
        </is>
      </c>
      <c r="E1947" s="3" t="inlineStr">
        <is>
          <t>매매</t>
        </is>
      </c>
      <c r="F1947" s="4" t="n">
        <v>49500</v>
      </c>
      <c r="G1947" s="4" t="n">
        <v>2301</v>
      </c>
      <c r="H1947" s="4" t="n">
        <v>696</v>
      </c>
      <c r="I1947" s="5" t="n">
        <v>71.09999999999999</v>
      </c>
      <c r="J1947" s="4" t="n">
        <v>747.8</v>
      </c>
      <c r="K1947" s="3" t="inlineStr">
        <is>
          <t>nan</t>
        </is>
      </c>
      <c r="L1947" s="6">
        <f>HYPERLINK("https://fin.land.naver.com/articles/2644177518", "매물Link")</f>
        <v/>
      </c>
      <c r="M1947" s="6">
        <f>HYPERLINK("https://map.naver.com/p/search/세종특별자치시 나성동 829", "지도Link")</f>
        <v/>
      </c>
      <c r="N1947" s="6">
        <f>HYPERLINK("http://www.eum.go.kr/web/ar/lu/luLandDet.jsp?pnu=3611010700108290000&amp;isNoScr=script&amp;mode=search", "토지이음")</f>
        <v/>
      </c>
      <c r="O1947" s="3" t="inlineStr">
        <is>
          <t>최프로</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세종특별자치시 나성동 829</t>
        </is>
      </c>
      <c r="B1948" s="3" t="inlineStr">
        <is>
          <t>중심상업지역</t>
        </is>
      </c>
      <c r="C1948" s="3" t="inlineStr">
        <is>
          <t>대</t>
        </is>
      </c>
      <c r="D1948" s="3" t="inlineStr">
        <is>
          <t>대</t>
        </is>
      </c>
      <c r="E1948" s="3" t="inlineStr">
        <is>
          <t>매매</t>
        </is>
      </c>
      <c r="F1948" s="4" t="n">
        <v>24000</v>
      </c>
      <c r="G1948" s="4" t="n">
        <v>787</v>
      </c>
      <c r="H1948" s="4" t="n">
        <v>238</v>
      </c>
      <c r="I1948" s="5" t="n">
        <v>100.8</v>
      </c>
      <c r="J1948" s="4" t="n">
        <v>747.8</v>
      </c>
      <c r="K1948" s="3" t="inlineStr">
        <is>
          <t>대지이면서 가격이 저렴함</t>
        </is>
      </c>
      <c r="L1948" s="6">
        <f>HYPERLINK("https://fin.land.naver.com/articles/2648191559", "매물Link")</f>
        <v/>
      </c>
      <c r="M1948" s="6">
        <f>HYPERLINK("https://map.naver.com/p/search/세종특별자치시 나성동 829", "지도Link")</f>
        <v/>
      </c>
      <c r="N1948" s="6">
        <f>HYPERLINK("http://www.eum.go.kr/web/ar/lu/luLandDet.jsp?pnu=3611010700108290000&amp;isNoScr=script&amp;mode=search", "토지이음")</f>
        <v/>
      </c>
      <c r="O1948" s="3" t="inlineStr">
        <is>
          <t>이은숙</t>
        </is>
      </c>
      <c r="P1948" s="3" t="n">
        <v>2</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세종특별자치시 나성동 829</t>
        </is>
      </c>
      <c r="B1949" s="3" t="inlineStr">
        <is>
          <t>중심상업지역</t>
        </is>
      </c>
      <c r="C1949" s="3" t="inlineStr">
        <is>
          <t>대</t>
        </is>
      </c>
      <c r="D1949" s="3" t="inlineStr">
        <is>
          <t>전</t>
        </is>
      </c>
      <c r="E1949" s="3" t="inlineStr">
        <is>
          <t>매매</t>
        </is>
      </c>
      <c r="F1949" s="4" t="n">
        <v>15000</v>
      </c>
      <c r="G1949" s="4" t="n">
        <v>733</v>
      </c>
      <c r="H1949" s="4" t="n">
        <v>222</v>
      </c>
      <c r="I1949" s="5" t="n">
        <v>67.59999999999999</v>
      </c>
      <c r="J1949" s="4" t="n">
        <v>747.8</v>
      </c>
      <c r="K1949" s="3" t="inlineStr">
        <is>
          <t>2차선도로접 생산관리지역 컨테이너 있고 전기들어옴</t>
        </is>
      </c>
      <c r="L1949" s="6">
        <f>HYPERLINK("https://fin.land.naver.com/articles/2648282479", "매물Link")</f>
        <v/>
      </c>
      <c r="M1949" s="6">
        <f>HYPERLINK("https://map.naver.com/p/search/세종특별자치시 나성동 829", "지도Link")</f>
        <v/>
      </c>
      <c r="N1949" s="6">
        <f>HYPERLINK("http://www.eum.go.kr/web/ar/lu/luLandDet.jsp?pnu=3611010700108290000&amp;isNoScr=script&amp;mode=search", "토지이음")</f>
        <v/>
      </c>
      <c r="O1949" s="3" t="inlineStr">
        <is>
          <t>더원</t>
        </is>
      </c>
      <c r="P1949" s="3" t="n">
        <v>2</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세종특별자치시 나성동 829</t>
        </is>
      </c>
      <c r="B1950" s="3" t="inlineStr">
        <is>
          <t>중심상업지역</t>
        </is>
      </c>
      <c r="C1950" s="3" t="inlineStr">
        <is>
          <t>대</t>
        </is>
      </c>
      <c r="D1950" s="3" t="inlineStr">
        <is>
          <t>전</t>
        </is>
      </c>
      <c r="E1950" s="3" t="inlineStr">
        <is>
          <t>매매</t>
        </is>
      </c>
      <c r="F1950" s="4" t="n">
        <v>41000</v>
      </c>
      <c r="G1950" s="4" t="n">
        <v>1048</v>
      </c>
      <c r="H1950" s="4" t="n">
        <v>317</v>
      </c>
      <c r="I1950" s="5" t="n">
        <v>129.3</v>
      </c>
      <c r="J1950" s="4" t="n">
        <v>747.8</v>
      </c>
      <c r="K1950" s="3" t="inlineStr">
        <is>
          <t>창고 혹은 원룸주택 추천</t>
        </is>
      </c>
      <c r="L1950" s="6">
        <f>HYPERLINK("https://fin.land.naver.com/articles/2648840762", "매물Link")</f>
        <v/>
      </c>
      <c r="M1950" s="6">
        <f>HYPERLINK("https://map.naver.com/p/search/세종특별자치시 나성동 829", "지도Link")</f>
        <v/>
      </c>
      <c r="N1950" s="6">
        <f>HYPERLINK("http://www.eum.go.kr/web/ar/lu/luLandDet.jsp?pnu=3611010700108290000&amp;isNoScr=script&amp;mode=search", "토지이음")</f>
        <v/>
      </c>
      <c r="O1950" s="3" t="inlineStr">
        <is>
          <t>옥산금정</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세종특별자치시 나성동 829</t>
        </is>
      </c>
      <c r="B1951" s="3" t="inlineStr">
        <is>
          <t>중심상업지역</t>
        </is>
      </c>
      <c r="C1951" s="3" t="inlineStr">
        <is>
          <t>대</t>
        </is>
      </c>
      <c r="D1951" s="3" t="inlineStr">
        <is>
          <t>전</t>
        </is>
      </c>
      <c r="E1951" s="3" t="inlineStr">
        <is>
          <t>매매</t>
        </is>
      </c>
      <c r="F1951" s="4" t="n">
        <v>50000</v>
      </c>
      <c r="G1951" s="4" t="n">
        <v>6245</v>
      </c>
      <c r="H1951" s="4" t="n">
        <v>1889</v>
      </c>
      <c r="I1951" s="5" t="n">
        <v>26.5</v>
      </c>
      <c r="J1951" s="4" t="n">
        <v>747.8</v>
      </c>
      <c r="K1951" s="3" t="inlineStr">
        <is>
          <t>도로접.현재논농사중</t>
        </is>
      </c>
      <c r="L1951" s="6">
        <f>HYPERLINK("https://fin.land.naver.com/articles/2649042268", "매물Link")</f>
        <v/>
      </c>
      <c r="M1951" s="6">
        <f>HYPERLINK("https://map.naver.com/p/search/세종특별자치시 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세종특별자치시 나성동 829</t>
        </is>
      </c>
      <c r="B1952" s="3" t="inlineStr">
        <is>
          <t>중심상업지역</t>
        </is>
      </c>
      <c r="C1952" s="3" t="inlineStr">
        <is>
          <t>대</t>
        </is>
      </c>
      <c r="D1952" s="3" t="inlineStr">
        <is>
          <t>대</t>
        </is>
      </c>
      <c r="E1952" s="3" t="inlineStr">
        <is>
          <t>매매</t>
        </is>
      </c>
      <c r="F1952" s="4" t="n">
        <v>34000</v>
      </c>
      <c r="G1952" s="4" t="n">
        <v>423</v>
      </c>
      <c r="H1952" s="4" t="n">
        <v>128</v>
      </c>
      <c r="I1952" s="5" t="n">
        <v>265.6</v>
      </c>
      <c r="J1952" s="4" t="n">
        <v>747.8</v>
      </c>
      <c r="K1952" s="3" t="inlineStr">
        <is>
          <t>옥산ic근접.사통팔달교통요지.생활체육관근처.</t>
        </is>
      </c>
      <c r="L1952" s="6">
        <f>HYPERLINK("https://fin.land.naver.com/articles/2647122565", "매물Link")</f>
        <v/>
      </c>
      <c r="M1952" s="6">
        <f>HYPERLINK("https://map.naver.com/p/search/세종특별자치시 나성동 829", "지도Link")</f>
        <v/>
      </c>
      <c r="N1952" s="6">
        <f>HYPERLINK("http://www.eum.go.kr/web/ar/lu/luLandDet.jsp?pnu=3611010700108290000&amp;isNoScr=script&amp;mode=search", "토지이음")</f>
        <v/>
      </c>
      <c r="O1952" s="3" t="inlineStr">
        <is>
          <t>옥산제일사무소</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세종특별자치시 나성동 829</t>
        </is>
      </c>
      <c r="B1953" s="3" t="inlineStr">
        <is>
          <t>중심상업지역</t>
        </is>
      </c>
      <c r="C1953" s="3" t="inlineStr">
        <is>
          <t>대</t>
        </is>
      </c>
      <c r="D1953" s="3" t="inlineStr">
        <is>
          <t>전</t>
        </is>
      </c>
      <c r="E1953" s="3" t="inlineStr">
        <is>
          <t>매매</t>
        </is>
      </c>
      <c r="F1953" s="4" t="n">
        <v>22500</v>
      </c>
      <c r="G1953" s="4" t="n">
        <v>826</v>
      </c>
      <c r="H1953" s="4" t="n">
        <v>250</v>
      </c>
      <c r="I1953" s="5" t="n">
        <v>90</v>
      </c>
      <c r="J1953" s="4" t="n">
        <v>747.8</v>
      </c>
      <c r="K1953" s="3" t="inlineStr">
        <is>
          <t>계획관리, 도로접성장관리계획구역</t>
        </is>
      </c>
      <c r="L1953" s="6">
        <f>HYPERLINK("https://fin.land.naver.com/articles/2649572717", "매물Link")</f>
        <v/>
      </c>
      <c r="M1953" s="6">
        <f>HYPERLINK("https://map.naver.com/p/search/세종특별자치시 나성동 829", "지도Link")</f>
        <v/>
      </c>
      <c r="N1953" s="6">
        <f>HYPERLINK("http://www.eum.go.kr/web/ar/lu/luLandDet.jsp?pnu=3611010700108290000&amp;isNoScr=script&amp;mode=search", "토지이음")</f>
        <v/>
      </c>
      <c r="O1953" s="3" t="inlineStr">
        <is>
          <t>두진하트</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세종특별자치시 나성동 829</t>
        </is>
      </c>
      <c r="B1954" s="3" t="inlineStr">
        <is>
          <t>중심상업지역</t>
        </is>
      </c>
      <c r="C1954" s="3" t="inlineStr">
        <is>
          <t>대</t>
        </is>
      </c>
      <c r="D1954" s="3" t="inlineStr">
        <is>
          <t>답</t>
        </is>
      </c>
      <c r="E1954" s="3" t="inlineStr">
        <is>
          <t>매매</t>
        </is>
      </c>
      <c r="F1954" s="4" t="n">
        <v>60000</v>
      </c>
      <c r="G1954" s="4" t="n">
        <v>990</v>
      </c>
      <c r="H1954" s="4" t="n">
        <v>299</v>
      </c>
      <c r="I1954" s="5" t="n">
        <v>200.7</v>
      </c>
      <c r="J1954" s="4" t="n">
        <v>747.8</v>
      </c>
      <c r="K1954" s="3" t="inlineStr">
        <is>
          <t>nan</t>
        </is>
      </c>
      <c r="L1954" s="6">
        <f>HYPERLINK("https://fin.land.naver.com/articles/2649726540", "매물Link")</f>
        <v/>
      </c>
      <c r="M1954" s="6">
        <f>HYPERLINK("https://map.naver.com/p/search/세종특별자치시 나성동 829", "지도Link")</f>
        <v/>
      </c>
      <c r="N1954" s="6">
        <f>HYPERLINK("http://www.eum.go.kr/web/ar/lu/luLandDet.jsp?pnu=3611010700108290000&amp;isNoScr=script&amp;mode=search", "토지이음")</f>
        <v/>
      </c>
      <c r="O1954" s="3" t="inlineStr">
        <is>
          <t>옥산제일사무소</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세종특별자치시 나성동 829</t>
        </is>
      </c>
      <c r="B1955" s="3" t="inlineStr">
        <is>
          <t>중심상업지역</t>
        </is>
      </c>
      <c r="C1955" s="3" t="inlineStr">
        <is>
          <t>대</t>
        </is>
      </c>
      <c r="D1955" s="3" t="inlineStr">
        <is>
          <t>답</t>
        </is>
      </c>
      <c r="E1955" s="3" t="inlineStr">
        <is>
          <t>매매</t>
        </is>
      </c>
      <c r="F1955" s="4" t="n">
        <v>34900</v>
      </c>
      <c r="G1955" s="4" t="n">
        <v>1732</v>
      </c>
      <c r="H1955" s="4" t="n">
        <v>524</v>
      </c>
      <c r="I1955" s="5" t="n">
        <v>66.59999999999999</v>
      </c>
      <c r="J1955" s="4" t="n">
        <v>747.8</v>
      </c>
      <c r="K1955" s="3" t="inlineStr">
        <is>
          <t>옥산 리버파크자이 아파트 인근 앞마당 투자가치 높은 토지</t>
        </is>
      </c>
      <c r="L1955" s="6">
        <f>HYPERLINK("https://fin.land.naver.com/articles/2649795288", "매물Link")</f>
        <v/>
      </c>
      <c r="M1955" s="6">
        <f>HYPERLINK("https://map.naver.com/p/search/세종특별자치시 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세종특별자치시 나성동 829</t>
        </is>
      </c>
      <c r="B1956" s="3" t="inlineStr">
        <is>
          <t>중심상업지역</t>
        </is>
      </c>
      <c r="C1956" s="3" t="inlineStr">
        <is>
          <t>대</t>
        </is>
      </c>
      <c r="D1956" s="3" t="inlineStr">
        <is>
          <t>임야</t>
        </is>
      </c>
      <c r="E1956" s="3" t="inlineStr">
        <is>
          <t>매매</t>
        </is>
      </c>
      <c r="F1956" s="4" t="n">
        <v>63000</v>
      </c>
      <c r="G1956" s="4" t="n">
        <v>10419</v>
      </c>
      <c r="H1956" s="4" t="n">
        <v>3152</v>
      </c>
      <c r="I1956" s="5" t="n">
        <v>20</v>
      </c>
      <c r="J1956" s="4" t="n">
        <v>747.8</v>
      </c>
      <c r="K1956" s="3" t="inlineStr">
        <is>
          <t>맹지. 시내권 저렴한 임야</t>
        </is>
      </c>
      <c r="L1956" s="6">
        <f>HYPERLINK("https://fin.land.naver.com/articles/2649797556", "매물Link")</f>
        <v/>
      </c>
      <c r="M1956" s="6">
        <f>HYPERLINK("https://map.naver.com/p/search/세종특별자치시 나성동 829", "지도Link")</f>
        <v/>
      </c>
      <c r="N1956" s="6">
        <f>HYPERLINK("http://www.eum.go.kr/web/ar/lu/luLandDet.jsp?pnu=3611010700108290000&amp;isNoScr=script&amp;mode=search", "토지이음")</f>
        <v/>
      </c>
      <c r="O1956" s="3" t="inlineStr">
        <is>
          <t>바로</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세종특별자치시 나성동 829</t>
        </is>
      </c>
      <c r="B1957" s="3" t="inlineStr">
        <is>
          <t>중심상업지역</t>
        </is>
      </c>
      <c r="C1957" s="3" t="inlineStr">
        <is>
          <t>대</t>
        </is>
      </c>
      <c r="D1957" s="3" t="inlineStr">
        <is>
          <t>전</t>
        </is>
      </c>
      <c r="E1957" s="3" t="inlineStr">
        <is>
          <t>매매</t>
        </is>
      </c>
      <c r="F1957" s="4" t="n">
        <v>20000</v>
      </c>
      <c r="G1957" s="4" t="n">
        <v>625</v>
      </c>
      <c r="H1957" s="4" t="n">
        <v>189</v>
      </c>
      <c r="I1957" s="5" t="n">
        <v>105.8</v>
      </c>
      <c r="J1957" s="4" t="n">
        <v>747.8</v>
      </c>
      <c r="K1957" s="3" t="inlineStr">
        <is>
          <t>덕촌리전원주택지 저렴한 가격에 사정상 급매</t>
        </is>
      </c>
      <c r="L1957" s="6">
        <f>HYPERLINK("https://fin.land.naver.com/articles/2648877178", "매물Link")</f>
        <v/>
      </c>
      <c r="M1957" s="6">
        <f>HYPERLINK("https://map.naver.com/p/search/세종특별자치시 나성동 829", "지도Link")</f>
        <v/>
      </c>
      <c r="N1957" s="6">
        <f>HYPERLINK("http://www.eum.go.kr/web/ar/lu/luLandDet.jsp?pnu=3611010700108290000&amp;isNoScr=script&amp;mode=search", "토지이음")</f>
        <v/>
      </c>
      <c r="O1957" s="3" t="inlineStr">
        <is>
          <t>옥산리버자이</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세종특별자치시 나성동 829</t>
        </is>
      </c>
      <c r="B1958" s="3" t="inlineStr">
        <is>
          <t>중심상업지역</t>
        </is>
      </c>
      <c r="C1958" s="3" t="inlineStr">
        <is>
          <t>대</t>
        </is>
      </c>
      <c r="D1958" s="3" t="inlineStr">
        <is>
          <t>대</t>
        </is>
      </c>
      <c r="E1958" s="3" t="inlineStr">
        <is>
          <t>매매</t>
        </is>
      </c>
      <c r="F1958" s="4" t="n">
        <v>22500</v>
      </c>
      <c r="G1958" s="4" t="n">
        <v>496</v>
      </c>
      <c r="H1958" s="4" t="n">
        <v>150</v>
      </c>
      <c r="I1958" s="5" t="n">
        <v>150</v>
      </c>
      <c r="J1958" s="4" t="n">
        <v>747.8</v>
      </c>
      <c r="K1958" s="3" t="inlineStr">
        <is>
          <t>nan</t>
        </is>
      </c>
      <c r="L1958" s="6">
        <f>HYPERLINK("https://fin.land.naver.com/articles/2650163171", "매물Link")</f>
        <v/>
      </c>
      <c r="M1958" s="6">
        <f>HYPERLINK("https://map.naver.com/p/search/세종특별자치시 나성동 829", "지도Link")</f>
        <v/>
      </c>
      <c r="N1958" s="6">
        <f>HYPERLINK("http://www.eum.go.kr/web/ar/lu/luLandDet.jsp?pnu=3611010700108290000&amp;isNoScr=script&amp;mode=search", "토지이음")</f>
        <v/>
      </c>
      <c r="O1958" s="3" t="inlineStr">
        <is>
          <t>오송서한894</t>
        </is>
      </c>
      <c r="P1958" s="3" t="n">
        <v>1</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세종특별자치시 나성동 829</t>
        </is>
      </c>
      <c r="B1959" s="3" t="inlineStr">
        <is>
          <t>중심상업지역</t>
        </is>
      </c>
      <c r="C1959" s="3" t="inlineStr">
        <is>
          <t>대</t>
        </is>
      </c>
      <c r="D1959" s="3" t="inlineStr">
        <is>
          <t>대</t>
        </is>
      </c>
      <c r="E1959" s="3" t="inlineStr">
        <is>
          <t>매매</t>
        </is>
      </c>
      <c r="F1959" s="4" t="n">
        <v>25600</v>
      </c>
      <c r="G1959" s="4" t="n">
        <v>423</v>
      </c>
      <c r="H1959" s="4" t="n">
        <v>128</v>
      </c>
      <c r="I1959" s="5" t="n">
        <v>200</v>
      </c>
      <c r="J1959" s="4" t="n">
        <v>747.8</v>
      </c>
      <c r="K1959" s="3" t="inlineStr">
        <is>
          <t>단독주택및 상가주택토지 저렴한 가격에 매매 기반시설모두 갖춘곳</t>
        </is>
      </c>
      <c r="L1959" s="6">
        <f>HYPERLINK("https://fin.land.naver.com/articles/2649493393", "매물Link")</f>
        <v/>
      </c>
      <c r="M1959" s="6">
        <f>HYPERLINK("https://map.naver.com/p/search/세종특별자치시 나성동 829", "지도Link")</f>
        <v/>
      </c>
      <c r="N1959" s="6">
        <f>HYPERLINK("http://www.eum.go.kr/web/ar/lu/luLandDet.jsp?pnu=3611010700108290000&amp;isNoScr=script&amp;mode=search", "토지이음")</f>
        <v/>
      </c>
      <c r="O1959" s="3" t="inlineStr">
        <is>
          <t>옥산리버자이</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세종특별자치시 나성동 829</t>
        </is>
      </c>
      <c r="B1960" s="3" t="inlineStr">
        <is>
          <t>중심상업지역</t>
        </is>
      </c>
      <c r="C1960" s="3" t="inlineStr">
        <is>
          <t>대</t>
        </is>
      </c>
      <c r="D1960" s="3" t="inlineStr">
        <is>
          <t>답</t>
        </is>
      </c>
      <c r="E1960" s="3" t="inlineStr">
        <is>
          <t>매매</t>
        </is>
      </c>
      <c r="F1960" s="4" t="n">
        <v>74000</v>
      </c>
      <c r="G1960" s="4" t="n">
        <v>2882</v>
      </c>
      <c r="H1960" s="4" t="n">
        <v>872</v>
      </c>
      <c r="I1960" s="5" t="n">
        <v>84.90000000000001</v>
      </c>
      <c r="J1960" s="4" t="n">
        <v>747.8</v>
      </c>
      <c r="K1960" s="3" t="inlineStr">
        <is>
          <t>버스도로변 계획관리 가든 커피 전원주택 창고 영농 등 다양용도 토지 최상</t>
        </is>
      </c>
      <c r="L1960" s="6">
        <f>HYPERLINK("https://fin.land.naver.com/articles/2646299908", "매물Link")</f>
        <v/>
      </c>
      <c r="M1960" s="6">
        <f>HYPERLINK("https://map.naver.com/p/search/세종특별자치시 나성동 829", "지도Link")</f>
        <v/>
      </c>
      <c r="N1960" s="6">
        <f>HYPERLINK("http://www.eum.go.kr/web/ar/lu/luLandDet.jsp?pnu=3611010700108290000&amp;isNoScr=script&amp;mode=search", "토지이음")</f>
        <v/>
      </c>
      <c r="O1960" s="3" t="inlineStr">
        <is>
          <t>뉴태양</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세종특별자치시 나성동 829</t>
        </is>
      </c>
      <c r="B1961" s="3" t="inlineStr">
        <is>
          <t>중심상업지역</t>
        </is>
      </c>
      <c r="C1961" s="3" t="inlineStr">
        <is>
          <t>대</t>
        </is>
      </c>
      <c r="D1961" s="3" t="inlineStr">
        <is>
          <t>전</t>
        </is>
      </c>
      <c r="E1961" s="3" t="inlineStr">
        <is>
          <t>매매</t>
        </is>
      </c>
      <c r="F1961" s="4" t="n">
        <v>25000</v>
      </c>
      <c r="G1961" s="4" t="n">
        <v>1323</v>
      </c>
      <c r="H1961" s="4" t="n">
        <v>400</v>
      </c>
      <c r="I1961" s="5" t="n">
        <v>62.5</v>
      </c>
      <c r="J1961" s="4" t="n">
        <v>747.8</v>
      </c>
      <c r="K1961" s="3" t="inlineStr">
        <is>
          <t>초정세종스파 근처 밭 개발수익 기대됨 도로확장예정</t>
        </is>
      </c>
      <c r="L1961" s="6">
        <f>HYPERLINK("https://fin.land.naver.com/articles/2646794041", "매물Link")</f>
        <v/>
      </c>
      <c r="M1961" s="6">
        <f>HYPERLINK("https://map.naver.com/p/search/세종특별자치시 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세종특별자치시 나성동 829</t>
        </is>
      </c>
      <c r="B1962" s="3" t="inlineStr">
        <is>
          <t>중심상업지역</t>
        </is>
      </c>
      <c r="C1962" s="3" t="inlineStr">
        <is>
          <t>대</t>
        </is>
      </c>
      <c r="D1962" s="3" t="inlineStr">
        <is>
          <t>전</t>
        </is>
      </c>
      <c r="E1962" s="3" t="inlineStr">
        <is>
          <t>매매</t>
        </is>
      </c>
      <c r="F1962" s="4" t="n">
        <v>13000</v>
      </c>
      <c r="G1962" s="4" t="n">
        <v>535</v>
      </c>
      <c r="H1962" s="4" t="n">
        <v>162</v>
      </c>
      <c r="I1962" s="5" t="n">
        <v>80.2</v>
      </c>
      <c r="J1962" s="4" t="n">
        <v>747.8</v>
      </c>
      <c r="K1962" s="3" t="inlineStr">
        <is>
          <t>생산관리지역, 전으로 이용중, 주말농장용</t>
        </is>
      </c>
      <c r="L1962" s="6">
        <f>HYPERLINK("https://fin.land.naver.com/articles/2646675072", "매물Link")</f>
        <v/>
      </c>
      <c r="M1962" s="6">
        <f>HYPERLINK("https://map.naver.com/p/search/세종특별자치시 나성동 829", "지도Link")</f>
        <v/>
      </c>
      <c r="N1962" s="6">
        <f>HYPERLINK("http://www.eum.go.kr/web/ar/lu/luLandDet.jsp?pnu=3611010700108290000&amp;isNoScr=script&amp;mode=search", "토지이음")</f>
        <v/>
      </c>
      <c r="O1962" s="3" t="inlineStr">
        <is>
          <t>세상을여는</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세종특별자치시 나성동 829</t>
        </is>
      </c>
      <c r="B1963" s="3" t="inlineStr">
        <is>
          <t>중심상업지역</t>
        </is>
      </c>
      <c r="C1963" s="3" t="inlineStr">
        <is>
          <t>대</t>
        </is>
      </c>
      <c r="D1963" s="3" t="inlineStr">
        <is>
          <t>답</t>
        </is>
      </c>
      <c r="E1963" s="3" t="inlineStr">
        <is>
          <t>매매</t>
        </is>
      </c>
      <c r="F1963" s="4" t="n">
        <v>15000</v>
      </c>
      <c r="G1963" s="4" t="n">
        <v>1676</v>
      </c>
      <c r="H1963" s="4" t="n">
        <v>507</v>
      </c>
      <c r="I1963" s="5" t="n">
        <v>29.6</v>
      </c>
      <c r="J1963" s="4" t="n">
        <v>747.8</v>
      </c>
      <c r="K1963" s="3" t="inlineStr">
        <is>
          <t>전원 주택,근생 허가 상왕동 냇물가인접지 용도다양 정남향가능</t>
        </is>
      </c>
      <c r="L1963" s="6">
        <f>HYPERLINK("https://fin.land.naver.com/articles/2647205349", "매물Link")</f>
        <v/>
      </c>
      <c r="M1963" s="6">
        <f>HYPERLINK("https://map.naver.com/p/search/세종특별자치시 나성동 829", "지도Link")</f>
        <v/>
      </c>
      <c r="N1963" s="6">
        <f>HYPERLINK("http://www.eum.go.kr/web/ar/lu/luLandDet.jsp?pnu=3611010700108290000&amp;isNoScr=script&amp;mode=search", "토지이음")</f>
        <v/>
      </c>
      <c r="O1963" s="3" t="inlineStr">
        <is>
          <t>태성</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세종특별자치시 나성동 829</t>
        </is>
      </c>
      <c r="B1964" s="3" t="inlineStr">
        <is>
          <t>중심상업지역</t>
        </is>
      </c>
      <c r="C1964" s="3" t="inlineStr">
        <is>
          <t>대</t>
        </is>
      </c>
      <c r="D1964" s="3" t="inlineStr">
        <is>
          <t>전</t>
        </is>
      </c>
      <c r="E1964" s="3" t="inlineStr">
        <is>
          <t>매매</t>
        </is>
      </c>
      <c r="F1964" s="4" t="n">
        <v>8500</v>
      </c>
      <c r="G1964" s="4" t="n">
        <v>330</v>
      </c>
      <c r="H1964" s="4" t="n">
        <v>100</v>
      </c>
      <c r="I1964" s="5" t="n">
        <v>85</v>
      </c>
      <c r="J1964" s="4" t="n">
        <v>747.8</v>
      </c>
      <c r="K1964" s="3" t="inlineStr">
        <is>
          <t>연접해서 1천평 가능,세종이마트 차량 20분거리 , 금강 150m거리</t>
        </is>
      </c>
      <c r="L1964" s="6">
        <f>HYPERLINK("https://fin.land.naver.com/articles/2648227916", "매물Link")</f>
        <v/>
      </c>
      <c r="M1964" s="6">
        <f>HYPERLINK("https://map.naver.com/p/search/세종특별자치시 나성동 829", "지도Link")</f>
        <v/>
      </c>
      <c r="N1964" s="6">
        <f>HYPERLINK("http://www.eum.go.kr/web/ar/lu/luLandDet.jsp?pnu=3611010700108290000&amp;isNoScr=script&amp;mode=search", "토지이음")</f>
        <v/>
      </c>
      <c r="O1964" s="3" t="inlineStr">
        <is>
          <t>새샘6단지</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세종특별자치시 나성동 829</t>
        </is>
      </c>
      <c r="B1965" s="3" t="inlineStr">
        <is>
          <t>중심상업지역</t>
        </is>
      </c>
      <c r="C1965" s="3" t="inlineStr">
        <is>
          <t>대</t>
        </is>
      </c>
      <c r="D1965" s="3" t="inlineStr">
        <is>
          <t>전</t>
        </is>
      </c>
      <c r="E1965" s="3" t="inlineStr">
        <is>
          <t>매매</t>
        </is>
      </c>
      <c r="F1965" s="4" t="n">
        <v>11000</v>
      </c>
      <c r="G1965" s="4" t="n">
        <v>313</v>
      </c>
      <c r="H1965" s="4" t="n">
        <v>95</v>
      </c>
      <c r="I1965" s="5" t="n">
        <v>115.8</v>
      </c>
      <c r="J1965" s="4" t="n">
        <v>747.8</v>
      </c>
      <c r="K1965" s="3" t="inlineStr">
        <is>
          <t>지목상 도로와 접해있지 않으나 차량 출입이 가능합니다.</t>
        </is>
      </c>
      <c r="L1965" s="6">
        <f>HYPERLINK("https://fin.land.naver.com/articles/2648364424", "매물Link")</f>
        <v/>
      </c>
      <c r="M1965" s="6">
        <f>HYPERLINK("https://map.naver.com/p/search/세종특별자치시 나성동 829", "지도Link")</f>
        <v/>
      </c>
      <c r="N1965" s="6">
        <f>HYPERLINK("http://www.eum.go.kr/web/ar/lu/luLandDet.jsp?pnu=3611010700108290000&amp;isNoScr=script&amp;mode=search", "토지이음")</f>
        <v/>
      </c>
      <c r="O1965" s="3" t="inlineStr">
        <is>
          <t>미당</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세종특별자치시 나성동 829</t>
        </is>
      </c>
      <c r="B1966" s="3" t="inlineStr">
        <is>
          <t>중심상업지역</t>
        </is>
      </c>
      <c r="C1966" s="3" t="inlineStr">
        <is>
          <t>대</t>
        </is>
      </c>
      <c r="D1966" s="3" t="inlineStr">
        <is>
          <t>전</t>
        </is>
      </c>
      <c r="E1966" s="3" t="inlineStr">
        <is>
          <t>매매</t>
        </is>
      </c>
      <c r="F1966" s="4" t="n">
        <v>36000</v>
      </c>
      <c r="G1966" s="4" t="n">
        <v>794</v>
      </c>
      <c r="H1966" s="4" t="n">
        <v>240</v>
      </c>
      <c r="I1966" s="5" t="n">
        <v>150</v>
      </c>
      <c r="J1966" s="4" t="n">
        <v>747.8</v>
      </c>
      <c r="K1966" s="3" t="inlineStr">
        <is>
          <t>nan</t>
        </is>
      </c>
      <c r="L1966" s="6">
        <f>HYPERLINK("https://fin.land.naver.com/articles/2645104811", "매물Link")</f>
        <v/>
      </c>
      <c r="M1966" s="6">
        <f>HYPERLINK("https://map.naver.com/p/search/세종특별자치시 나성동 829", "지도Link")</f>
        <v/>
      </c>
      <c r="N1966" s="6">
        <f>HYPERLINK("http://www.eum.go.kr/web/ar/lu/luLandDet.jsp?pnu=3611010700108290000&amp;isNoScr=script&amp;mode=search", "토지이음")</f>
        <v/>
      </c>
      <c r="O1966" s="3" t="inlineStr">
        <is>
          <t>명성</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세종특별자치시 나성동 829</t>
        </is>
      </c>
      <c r="B1967" s="3" t="inlineStr">
        <is>
          <t>중심상업지역</t>
        </is>
      </c>
      <c r="C1967" s="3" t="inlineStr">
        <is>
          <t>대</t>
        </is>
      </c>
      <c r="D1967" s="3" t="inlineStr">
        <is>
          <t>전</t>
        </is>
      </c>
      <c r="E1967" s="3" t="inlineStr">
        <is>
          <t>매매</t>
        </is>
      </c>
      <c r="F1967" s="4" t="n">
        <v>37000</v>
      </c>
      <c r="G1967" s="4" t="n">
        <v>2253</v>
      </c>
      <c r="H1967" s="4" t="n">
        <v>682</v>
      </c>
      <c r="I1967" s="5" t="n">
        <v>54.3</v>
      </c>
      <c r="J1967" s="4" t="n">
        <v>747.8</v>
      </c>
      <c r="K1967" s="3" t="inlineStr">
        <is>
          <t>가격조정가,논산 공주간 도로 접,공주15거리</t>
        </is>
      </c>
      <c r="L1967" s="6">
        <f>HYPERLINK("https://fin.land.naver.com/articles/2646278866", "매물Link")</f>
        <v/>
      </c>
      <c r="M1967" s="6">
        <f>HYPERLINK("https://map.naver.com/p/search/세종특별자치시 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세종특별자치시 나성동 829</t>
        </is>
      </c>
      <c r="B1968" s="3" t="inlineStr">
        <is>
          <t>중심상업지역</t>
        </is>
      </c>
      <c r="C1968" s="3" t="inlineStr">
        <is>
          <t>대</t>
        </is>
      </c>
      <c r="D1968" s="3" t="inlineStr">
        <is>
          <t>대</t>
        </is>
      </c>
      <c r="E1968" s="3" t="inlineStr">
        <is>
          <t>매매</t>
        </is>
      </c>
      <c r="F1968" s="4" t="n">
        <v>96000</v>
      </c>
      <c r="G1968" s="4" t="n">
        <v>1986</v>
      </c>
      <c r="H1968" s="4" t="n">
        <v>601</v>
      </c>
      <c r="I1968" s="5" t="n">
        <v>159.7</v>
      </c>
      <c r="J1968" s="4" t="n">
        <v>747.8</v>
      </c>
      <c r="K1968" s="3" t="inlineStr">
        <is>
          <t>가격조정가,공주논산간 국도접함, 식당, 편의점 가능</t>
        </is>
      </c>
      <c r="L1968" s="6">
        <f>HYPERLINK("https://fin.land.naver.com/articles/2646692412", "매물Link")</f>
        <v/>
      </c>
      <c r="M1968" s="6">
        <f>HYPERLINK("https://map.naver.com/p/search/세종특별자치시 나성동 829", "지도Link")</f>
        <v/>
      </c>
      <c r="N1968" s="6">
        <f>HYPERLINK("http://www.eum.go.kr/web/ar/lu/luLandDet.jsp?pnu=3611010700108290000&amp;isNoScr=script&amp;mode=search", "토지이음")</f>
        <v/>
      </c>
      <c r="O1968" s="3" t="inlineStr">
        <is>
          <t>물댄동산</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세종특별자치시 나성동 829</t>
        </is>
      </c>
      <c r="B1969" s="3" t="inlineStr">
        <is>
          <t>중심상업지역</t>
        </is>
      </c>
      <c r="C1969" s="3" t="inlineStr">
        <is>
          <t>대</t>
        </is>
      </c>
      <c r="D1969" s="3" t="inlineStr">
        <is>
          <t>답</t>
        </is>
      </c>
      <c r="E1969" s="3" t="inlineStr">
        <is>
          <t>매매</t>
        </is>
      </c>
      <c r="F1969" s="4" t="n">
        <v>23500</v>
      </c>
      <c r="G1969" s="4" t="n">
        <v>3290</v>
      </c>
      <c r="H1969" s="4" t="n">
        <v>995</v>
      </c>
      <c r="I1969" s="5" t="n">
        <v>23.6</v>
      </c>
      <c r="J1969" s="4" t="n">
        <v>747.8</v>
      </c>
      <c r="K1969" s="3" t="inlineStr">
        <is>
          <t>지대가높아서 전으로사용가능함</t>
        </is>
      </c>
      <c r="L1969" s="6">
        <f>HYPERLINK("https://fin.land.naver.com/articles/2647017747", "매물Link")</f>
        <v/>
      </c>
      <c r="M1969" s="6">
        <f>HYPERLINK("https://map.naver.com/p/search/세종특별자치시 나성동 829", "지도Link")</f>
        <v/>
      </c>
      <c r="N1969" s="6">
        <f>HYPERLINK("http://www.eum.go.kr/web/ar/lu/luLandDet.jsp?pnu=3611010700108290000&amp;isNoScr=script&amp;mode=search", "토지이음")</f>
        <v/>
      </c>
      <c r="O1969" s="3" t="inlineStr">
        <is>
          <t>다정</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세종특별자치시 나성동 829</t>
        </is>
      </c>
      <c r="B1970" s="3" t="inlineStr">
        <is>
          <t>중심상업지역</t>
        </is>
      </c>
      <c r="C1970" s="3" t="inlineStr">
        <is>
          <t>대</t>
        </is>
      </c>
      <c r="D1970" s="3" t="inlineStr">
        <is>
          <t>답</t>
        </is>
      </c>
      <c r="E1970" s="3" t="inlineStr">
        <is>
          <t>매매</t>
        </is>
      </c>
      <c r="F1970" s="4" t="n">
        <v>12000</v>
      </c>
      <c r="G1970" s="4" t="n">
        <v>1014</v>
      </c>
      <c r="H1970" s="4" t="n">
        <v>307</v>
      </c>
      <c r="I1970" s="5" t="n">
        <v>39.1</v>
      </c>
      <c r="J1970" s="4" t="n">
        <v>747.8</v>
      </c>
      <c r="K1970" s="3" t="inlineStr">
        <is>
          <t>nan</t>
        </is>
      </c>
      <c r="L1970" s="6">
        <f>HYPERLINK("https://fin.land.naver.com/articles/2646482057", "매물Link")</f>
        <v/>
      </c>
      <c r="M1970" s="6">
        <f>HYPERLINK("https://map.naver.com/p/search/세종특별자치시 나성동 829", "지도Link")</f>
        <v/>
      </c>
      <c r="N1970" s="6">
        <f>HYPERLINK("http://www.eum.go.kr/web/ar/lu/luLandDet.jsp?pnu=3611010700108290000&amp;isNoScr=script&amp;mode=search", "토지이음")</f>
        <v/>
      </c>
      <c r="O1970" s="3" t="inlineStr">
        <is>
          <t>대동</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세종특별자치시 나성동 829</t>
        </is>
      </c>
      <c r="B1971" s="3" t="inlineStr">
        <is>
          <t>중심상업지역</t>
        </is>
      </c>
      <c r="C1971" s="3" t="inlineStr">
        <is>
          <t>대</t>
        </is>
      </c>
      <c r="D1971" s="3" t="inlineStr">
        <is>
          <t>답</t>
        </is>
      </c>
      <c r="E1971" s="3" t="inlineStr">
        <is>
          <t>매매</t>
        </is>
      </c>
      <c r="F1971" s="4" t="n">
        <v>18000</v>
      </c>
      <c r="G1971" s="4" t="n">
        <v>1894</v>
      </c>
      <c r="H1971" s="4" t="n">
        <v>573</v>
      </c>
      <c r="I1971" s="5" t="n">
        <v>31.4</v>
      </c>
      <c r="J1971" s="4" t="n">
        <v>747.8</v>
      </c>
      <c r="K1971" s="3" t="inlineStr">
        <is>
          <t>nan</t>
        </is>
      </c>
      <c r="L1971" s="6">
        <f>HYPERLINK("https://fin.land.naver.com/articles/2647119773", "매물Link")</f>
        <v/>
      </c>
      <c r="M1971" s="6">
        <f>HYPERLINK("https://map.naver.com/p/search/세종특별자치시 나성동 829", "지도Link")</f>
        <v/>
      </c>
      <c r="N1971" s="6">
        <f>HYPERLINK("http://www.eum.go.kr/web/ar/lu/luLandDet.jsp?pnu=3611010700108290000&amp;isNoScr=script&amp;mode=search", "토지이음")</f>
        <v/>
      </c>
      <c r="O1971" s="3" t="inlineStr">
        <is>
          <t>가온</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세종특별자치시 나성동 829</t>
        </is>
      </c>
      <c r="B1972" s="3" t="inlineStr">
        <is>
          <t>중심상업지역</t>
        </is>
      </c>
      <c r="C1972" s="3" t="inlineStr">
        <is>
          <t>대</t>
        </is>
      </c>
      <c r="D1972" s="3" t="inlineStr">
        <is>
          <t>답</t>
        </is>
      </c>
      <c r="E1972" s="3" t="inlineStr">
        <is>
          <t>매매</t>
        </is>
      </c>
      <c r="F1972" s="4" t="n">
        <v>14500</v>
      </c>
      <c r="G1972" s="4" t="n">
        <v>2220</v>
      </c>
      <c r="H1972" s="4" t="n">
        <v>672</v>
      </c>
      <c r="I1972" s="5" t="n">
        <v>21.6</v>
      </c>
      <c r="J1972" s="4" t="n">
        <v>747.8</v>
      </c>
      <c r="K1972" s="3" t="inlineStr">
        <is>
          <t>세종시차량 25분,공주시내차량 15분거리로 생활권접근성 양호</t>
        </is>
      </c>
      <c r="L1972" s="6">
        <f>HYPERLINK("https://fin.land.naver.com/articles/2644971417", "매물Link")</f>
        <v/>
      </c>
      <c r="M1972" s="6">
        <f>HYPERLINK("https://map.naver.com/p/search/세종특별자치시 나성동 829", "지도Link")</f>
        <v/>
      </c>
      <c r="N1972" s="6">
        <f>HYPERLINK("http://www.eum.go.kr/web/ar/lu/luLandDet.jsp?pnu=3611010700108290000&amp;isNoScr=script&amp;mode=search", "토지이음")</f>
        <v/>
      </c>
      <c r="O1972" s="3" t="inlineStr">
        <is>
          <t>세종OK</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세종특별자치시 나성동 829</t>
        </is>
      </c>
      <c r="B1973" s="3" t="inlineStr">
        <is>
          <t>중심상업지역</t>
        </is>
      </c>
      <c r="C1973" s="3" t="inlineStr">
        <is>
          <t>대</t>
        </is>
      </c>
      <c r="D1973" s="3" t="inlineStr">
        <is>
          <t>전</t>
        </is>
      </c>
      <c r="E1973" s="3" t="inlineStr">
        <is>
          <t>매매</t>
        </is>
      </c>
      <c r="F1973" s="4" t="n">
        <v>20000</v>
      </c>
      <c r="G1973" s="4" t="n">
        <v>995</v>
      </c>
      <c r="H1973" s="4" t="n">
        <v>301</v>
      </c>
      <c r="I1973" s="5" t="n">
        <v>66.40000000000001</v>
      </c>
      <c r="J1973" s="4" t="n">
        <v>747.8</v>
      </c>
      <c r="K1973" s="3" t="inlineStr">
        <is>
          <t>공주논산간 국도변,비닐하우스 및 건조기,농막,관정</t>
        </is>
      </c>
      <c r="L1973" s="6">
        <f>HYPERLINK("https://fin.land.naver.com/articles/2648250816", "매물Link")</f>
        <v/>
      </c>
      <c r="M1973" s="6">
        <f>HYPERLINK("https://map.naver.com/p/search/세종특별자치시 나성동 829", "지도Link")</f>
        <v/>
      </c>
      <c r="N1973" s="6">
        <f>HYPERLINK("http://www.eum.go.kr/web/ar/lu/luLandDet.jsp?pnu=3611010700108290000&amp;isNoScr=script&amp;mode=search", "토지이음")</f>
        <v/>
      </c>
      <c r="O1973" s="3" t="inlineStr">
        <is>
          <t>물댄동산</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세종특별자치시 나성동 829</t>
        </is>
      </c>
      <c r="B1974" s="3" t="inlineStr">
        <is>
          <t>중심상업지역</t>
        </is>
      </c>
      <c r="C1974" s="3" t="inlineStr">
        <is>
          <t>대</t>
        </is>
      </c>
      <c r="D1974" s="3" t="inlineStr">
        <is>
          <t>답</t>
        </is>
      </c>
      <c r="E1974" s="3" t="inlineStr">
        <is>
          <t>매매</t>
        </is>
      </c>
      <c r="F1974" s="4" t="n">
        <v>5000</v>
      </c>
      <c r="G1974" s="4" t="n">
        <v>1073</v>
      </c>
      <c r="H1974" s="4" t="n">
        <v>325</v>
      </c>
      <c r="I1974" s="5" t="n">
        <v>15.4</v>
      </c>
      <c r="J1974" s="4" t="n">
        <v>747.8</v>
      </c>
      <c r="K1974" s="3" t="inlineStr">
        <is>
          <t>nan</t>
        </is>
      </c>
      <c r="L1974" s="6">
        <f>HYPERLINK("https://fin.land.naver.com/articles/2645601256", "매물Link")</f>
        <v/>
      </c>
      <c r="M1974" s="6">
        <f>HYPERLINK("https://map.naver.com/p/search/세종특별자치시 나성동 829", "지도Link")</f>
        <v/>
      </c>
      <c r="N1974" s="6">
        <f>HYPERLINK("http://www.eum.go.kr/web/ar/lu/luLandDet.jsp?pnu=3611010700108290000&amp;isNoScr=script&amp;mode=search", "토지이음")</f>
        <v/>
      </c>
      <c r="O1974" s="3" t="inlineStr">
        <is>
          <t>대동</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세종특별자치시 나성동 829</t>
        </is>
      </c>
      <c r="B1975" s="3" t="inlineStr">
        <is>
          <t>중심상업지역</t>
        </is>
      </c>
      <c r="C1975" s="3" t="inlineStr">
        <is>
          <t>대</t>
        </is>
      </c>
      <c r="D1975" s="3" t="inlineStr">
        <is>
          <t>답</t>
        </is>
      </c>
      <c r="E1975" s="3" t="inlineStr">
        <is>
          <t>매매</t>
        </is>
      </c>
      <c r="F1975" s="4" t="n">
        <v>26000</v>
      </c>
      <c r="G1975" s="4" t="n">
        <v>2146</v>
      </c>
      <c r="H1975" s="4" t="n">
        <v>649</v>
      </c>
      <c r="I1975" s="5" t="n">
        <v>40.1</v>
      </c>
      <c r="J1975" s="4" t="n">
        <v>747.8</v>
      </c>
      <c r="K1975" s="3" t="inlineStr">
        <is>
          <t>nan</t>
        </is>
      </c>
      <c r="L1975" s="6">
        <f>HYPERLINK("https://fin.land.naver.com/articles/2646619987", "매물Link")</f>
        <v/>
      </c>
      <c r="M1975" s="6">
        <f>HYPERLINK("https://map.naver.com/p/search/세종특별자치시 나성동 829", "지도Link")</f>
        <v/>
      </c>
      <c r="N1975" s="6">
        <f>HYPERLINK("http://www.eum.go.kr/web/ar/lu/luLandDet.jsp?pnu=3611010700108290000&amp;isNoScr=script&amp;mode=search", "토지이음")</f>
        <v/>
      </c>
      <c r="O1975" s="3" t="inlineStr">
        <is>
          <t>거성  사무소</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세종특별자치시 나성동 829</t>
        </is>
      </c>
      <c r="B1976" s="3" t="inlineStr">
        <is>
          <t>중심상업지역</t>
        </is>
      </c>
      <c r="C1976" s="3" t="inlineStr">
        <is>
          <t>대</t>
        </is>
      </c>
      <c r="D1976" s="3" t="inlineStr">
        <is>
          <t>전</t>
        </is>
      </c>
      <c r="E1976" s="3" t="inlineStr">
        <is>
          <t>매매</t>
        </is>
      </c>
      <c r="F1976" s="4" t="n">
        <v>40000</v>
      </c>
      <c r="G1976" s="4" t="n">
        <v>3785</v>
      </c>
      <c r="H1976" s="4" t="n">
        <v>1145</v>
      </c>
      <c r="I1976" s="5" t="n">
        <v>34.9</v>
      </c>
      <c r="J1976" s="4" t="n">
        <v>747.8</v>
      </c>
      <c r="K1976" s="3" t="inlineStr">
        <is>
          <t>nan</t>
        </is>
      </c>
      <c r="L1976" s="6">
        <f>HYPERLINK("https://fin.land.naver.com/articles/2646831543", "매물Link")</f>
        <v/>
      </c>
      <c r="M1976" s="6">
        <f>HYPERLINK("https://map.naver.com/p/search/세종특별자치시 나성동 829", "지도Link")</f>
        <v/>
      </c>
      <c r="N1976" s="6">
        <f>HYPERLINK("http://www.eum.go.kr/web/ar/lu/luLandDet.jsp?pnu=3611010700108290000&amp;isNoScr=script&amp;mode=search", "토지이음")</f>
        <v/>
      </c>
      <c r="O1976" s="3" t="inlineStr">
        <is>
          <t>대복</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세종특별자치시 나성동 829</t>
        </is>
      </c>
      <c r="B1977" s="3" t="inlineStr">
        <is>
          <t>중심상업지역</t>
        </is>
      </c>
      <c r="C1977" s="3" t="inlineStr">
        <is>
          <t>대</t>
        </is>
      </c>
      <c r="D1977" s="3" t="inlineStr">
        <is>
          <t>답</t>
        </is>
      </c>
      <c r="E1977" s="3" t="inlineStr">
        <is>
          <t>매매</t>
        </is>
      </c>
      <c r="F1977" s="4" t="n">
        <v>41720</v>
      </c>
      <c r="G1977" s="4" t="n">
        <v>3940</v>
      </c>
      <c r="H1977" s="4" t="n">
        <v>1192</v>
      </c>
      <c r="I1977" s="5" t="n">
        <v>35</v>
      </c>
      <c r="J1977" s="4" t="n">
        <v>747.8</v>
      </c>
      <c r="K1977" s="3" t="inlineStr">
        <is>
          <t>nan</t>
        </is>
      </c>
      <c r="L1977" s="6">
        <f>HYPERLINK("https://fin.land.naver.com/articles/2649184740", "매물Link")</f>
        <v/>
      </c>
      <c r="M1977" s="6">
        <f>HYPERLINK("https://map.naver.com/p/search/세종특별자치시 나성동 829", "지도Link")</f>
        <v/>
      </c>
      <c r="N1977" s="6">
        <f>HYPERLINK("http://www.eum.go.kr/web/ar/lu/luLandDet.jsp?pnu=3611010700108290000&amp;isNoScr=script&amp;mode=search", "토지이음")</f>
        <v/>
      </c>
      <c r="O1977" s="3" t="inlineStr">
        <is>
          <t>나래</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세종특별자치시 나성동 829</t>
        </is>
      </c>
      <c r="B1978" s="3" t="inlineStr">
        <is>
          <t>중심상업지역</t>
        </is>
      </c>
      <c r="C1978" s="3" t="inlineStr">
        <is>
          <t>대</t>
        </is>
      </c>
      <c r="D1978" s="3" t="inlineStr">
        <is>
          <t>전</t>
        </is>
      </c>
      <c r="E1978" s="3" t="inlineStr">
        <is>
          <t>매매</t>
        </is>
      </c>
      <c r="F1978" s="4" t="n">
        <v>11000</v>
      </c>
      <c r="G1978" s="4" t="n">
        <v>1037</v>
      </c>
      <c r="H1978" s="4" t="n">
        <v>314</v>
      </c>
      <c r="I1978" s="5" t="n">
        <v>35</v>
      </c>
      <c r="J1978" s="4" t="n">
        <v>747.8</v>
      </c>
      <c r="K1978" s="3" t="inlineStr">
        <is>
          <t>nan</t>
        </is>
      </c>
      <c r="L1978" s="6">
        <f>HYPERLINK("https://fin.land.naver.com/articles/2645601118", "매물Link")</f>
        <v/>
      </c>
      <c r="M1978" s="6">
        <f>HYPERLINK("https://map.naver.com/p/search/세종특별자치시 나성동 829", "지도Link")</f>
        <v/>
      </c>
      <c r="N1978" s="6">
        <f>HYPERLINK("http://www.eum.go.kr/web/ar/lu/luLandDet.jsp?pnu=3611010700108290000&amp;isNoScr=script&amp;mode=search", "토지이음")</f>
        <v/>
      </c>
      <c r="O1978" s="3" t="inlineStr">
        <is>
          <t>대동</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세종특별자치시 나성동 829</t>
        </is>
      </c>
      <c r="B1979" s="3" t="inlineStr">
        <is>
          <t>중심상업지역</t>
        </is>
      </c>
      <c r="C1979" s="3" t="inlineStr">
        <is>
          <t>대</t>
        </is>
      </c>
      <c r="D1979" s="3" t="inlineStr">
        <is>
          <t>답</t>
        </is>
      </c>
      <c r="E1979" s="3" t="inlineStr">
        <is>
          <t>매매</t>
        </is>
      </c>
      <c r="F1979" s="4" t="n">
        <v>17000</v>
      </c>
      <c r="G1979" s="4" t="n">
        <v>2221</v>
      </c>
      <c r="H1979" s="4" t="n">
        <v>672</v>
      </c>
      <c r="I1979" s="5" t="n">
        <v>25.3</v>
      </c>
      <c r="J1979" s="4" t="n">
        <v>747.8</v>
      </c>
      <c r="K1979" s="3" t="inlineStr">
        <is>
          <t>왕복 4차선 휴게소(가든,주유소,등) 앞,싸게나옴</t>
        </is>
      </c>
      <c r="L1979" s="6">
        <f>HYPERLINK("https://fin.land.naver.com/articles/2647177920", "매물Link")</f>
        <v/>
      </c>
      <c r="M1979" s="6">
        <f>HYPERLINK("https://map.naver.com/p/search/세종특별자치시 나성동 829", "지도Link")</f>
        <v/>
      </c>
      <c r="N1979" s="6">
        <f>HYPERLINK("http://www.eum.go.kr/web/ar/lu/luLandDet.jsp?pnu=3611010700108290000&amp;isNoScr=script&amp;mode=search", "토지이음")</f>
        <v/>
      </c>
      <c r="O1979" s="3" t="inlineStr">
        <is>
          <t>진솔한</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세종특별자치시 나성동 829</t>
        </is>
      </c>
      <c r="B1980" s="3" t="inlineStr">
        <is>
          <t>중심상업지역</t>
        </is>
      </c>
      <c r="C1980" s="3" t="inlineStr">
        <is>
          <t>대</t>
        </is>
      </c>
      <c r="D1980" s="3" t="inlineStr">
        <is>
          <t>대</t>
        </is>
      </c>
      <c r="E1980" s="3" t="inlineStr">
        <is>
          <t>매매</t>
        </is>
      </c>
      <c r="F1980" s="4" t="n">
        <v>15000</v>
      </c>
      <c r="G1980" s="4" t="n">
        <v>496</v>
      </c>
      <c r="H1980" s="4" t="n">
        <v>150</v>
      </c>
      <c r="I1980" s="5" t="n">
        <v>100</v>
      </c>
      <c r="J1980" s="4" t="n">
        <v>747.8</v>
      </c>
      <c r="K1980" s="3" t="inlineStr">
        <is>
          <t>작은목골길에 접함, 구옥 있음, 공주시내에서 10분이내</t>
        </is>
      </c>
      <c r="L1980" s="6">
        <f>HYPERLINK("https://fin.land.naver.com/articles/2646278906", "매물Link")</f>
        <v/>
      </c>
      <c r="M1980" s="6">
        <f>HYPERLINK("https://map.naver.com/p/search/세종특별자치시 나성동 829", "지도Link")</f>
        <v/>
      </c>
      <c r="N1980" s="6">
        <f>HYPERLINK("http://www.eum.go.kr/web/ar/lu/luLandDet.jsp?pnu=3611010700108290000&amp;isNoScr=script&amp;mode=search", "토지이음")</f>
        <v/>
      </c>
      <c r="O1980" s="3" t="inlineStr">
        <is>
          <t>물댄동산</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세종특별자치시 나성동 829</t>
        </is>
      </c>
      <c r="B1981" s="3" t="inlineStr">
        <is>
          <t>중심상업지역</t>
        </is>
      </c>
      <c r="C1981" s="3" t="inlineStr">
        <is>
          <t>대</t>
        </is>
      </c>
      <c r="D1981" s="3" t="inlineStr">
        <is>
          <t>임야</t>
        </is>
      </c>
      <c r="E1981" s="3" t="inlineStr">
        <is>
          <t>매매</t>
        </is>
      </c>
      <c r="F1981" s="4" t="n">
        <v>8000000</v>
      </c>
      <c r="G1981" s="4" t="n">
        <v>530741</v>
      </c>
      <c r="H1981" s="4" t="n">
        <v>160549</v>
      </c>
      <c r="I1981" s="5" t="n">
        <v>49.8</v>
      </c>
      <c r="J1981" s="4" t="n">
        <v>747.8</v>
      </c>
      <c r="K1981" s="3" t="inlineStr">
        <is>
          <t>요양병원 적지</t>
        </is>
      </c>
      <c r="L1981" s="6">
        <f>HYPERLINK("https://fin.land.naver.com/articles/2645145071", "매물Link")</f>
        <v/>
      </c>
      <c r="M1981" s="6">
        <f>HYPERLINK("https://map.naver.com/p/search/세종특별자치시 나성동 829", "지도Link")</f>
        <v/>
      </c>
      <c r="N1981" s="6">
        <f>HYPERLINK("http://www.eum.go.kr/web/ar/lu/luLandDet.jsp?pnu=3611010700108290000&amp;isNoScr=script&amp;mode=search", "토지이음")</f>
        <v/>
      </c>
      <c r="O1981" s="3" t="inlineStr">
        <is>
          <t>쌍둥이</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세종특별자치시 나성동 829</t>
        </is>
      </c>
      <c r="B1982" s="3" t="inlineStr">
        <is>
          <t>중심상업지역</t>
        </is>
      </c>
      <c r="C1982" s="3" t="inlineStr">
        <is>
          <t>대</t>
        </is>
      </c>
      <c r="D1982" s="3" t="inlineStr">
        <is>
          <t>답</t>
        </is>
      </c>
      <c r="E1982" s="3" t="inlineStr">
        <is>
          <t>매매</t>
        </is>
      </c>
      <c r="F1982" s="4" t="n">
        <v>45000</v>
      </c>
      <c r="G1982" s="4" t="n">
        <v>2089</v>
      </c>
      <c r="H1982" s="4" t="n">
        <v>632</v>
      </c>
      <c r="I1982" s="5" t="n">
        <v>71.2</v>
      </c>
      <c r="J1982" s="4" t="n">
        <v>747.8</v>
      </c>
      <c r="K1982" s="3" t="inlineStr">
        <is>
          <t>세종시인근 무릉동 전원주택지</t>
        </is>
      </c>
      <c r="L1982" s="6">
        <f>HYPERLINK("https://fin.land.naver.com/articles/2649884293", "매물Link")</f>
        <v/>
      </c>
      <c r="M1982" s="6">
        <f>HYPERLINK("https://map.naver.com/p/search/세종특별자치시 나성동 829", "지도Link")</f>
        <v/>
      </c>
      <c r="N1982" s="6">
        <f>HYPERLINK("http://www.eum.go.kr/web/ar/lu/luLandDet.jsp?pnu=3611010700108290000&amp;isNoScr=script&amp;mode=search", "토지이음")</f>
        <v/>
      </c>
      <c r="O1982" s="3" t="inlineStr">
        <is>
          <t>그린</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세종특별자치시 나성동 829</t>
        </is>
      </c>
      <c r="B1983" s="3" t="inlineStr">
        <is>
          <t>중심상업지역</t>
        </is>
      </c>
      <c r="C1983" s="3" t="inlineStr">
        <is>
          <t>대</t>
        </is>
      </c>
      <c r="D1983" s="3" t="inlineStr">
        <is>
          <t>답</t>
        </is>
      </c>
      <c r="E1983" s="3" t="inlineStr">
        <is>
          <t>매매</t>
        </is>
      </c>
      <c r="F1983" s="4" t="n">
        <v>36700</v>
      </c>
      <c r="G1983" s="4" t="n">
        <v>3014</v>
      </c>
      <c r="H1983" s="4" t="n">
        <v>912</v>
      </c>
      <c r="I1983" s="5" t="n">
        <v>40.2</v>
      </c>
      <c r="J1983" s="4" t="n">
        <v>747.8</v>
      </c>
      <c r="K1983" s="3" t="inlineStr">
        <is>
          <t>nan</t>
        </is>
      </c>
      <c r="L1983" s="6">
        <f>HYPERLINK("https://fin.land.naver.com/articles/2648664129", "매물Link")</f>
        <v/>
      </c>
      <c r="M1983" s="6">
        <f>HYPERLINK("https://map.naver.com/p/search/세종특별자치시 나성동 829", "지도Link")</f>
        <v/>
      </c>
      <c r="N1983" s="6">
        <f>HYPERLINK("http://www.eum.go.kr/web/ar/lu/luLandDet.jsp?pnu=3611010700108290000&amp;isNoScr=script&amp;mode=search", "토지이음")</f>
        <v/>
      </c>
      <c r="O1983" s="3" t="inlineStr">
        <is>
          <t>양지컨설팅</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세종특별자치시 나성동 829</t>
        </is>
      </c>
      <c r="B1984" s="3" t="inlineStr">
        <is>
          <t>중심상업지역</t>
        </is>
      </c>
      <c r="C1984" s="3" t="inlineStr">
        <is>
          <t>대</t>
        </is>
      </c>
      <c r="D1984" s="3" t="inlineStr">
        <is>
          <t>전</t>
        </is>
      </c>
      <c r="E1984" s="3" t="inlineStr">
        <is>
          <t>매매</t>
        </is>
      </c>
      <c r="F1984" s="4" t="n">
        <v>125600</v>
      </c>
      <c r="G1984" s="4" t="n">
        <v>5190</v>
      </c>
      <c r="H1984" s="4" t="n">
        <v>1570</v>
      </c>
      <c r="I1984" s="5" t="n">
        <v>80</v>
      </c>
      <c r="J1984" s="4" t="n">
        <v>747.8</v>
      </c>
      <c r="K1984" s="3" t="inlineStr">
        <is>
          <t>공주시 쌍신동,신관동 토지매매,농지매매</t>
        </is>
      </c>
      <c r="L1984" s="6">
        <f>HYPERLINK("https://fin.land.naver.com/articles/2649720128", "매물Link")</f>
        <v/>
      </c>
      <c r="M1984" s="6">
        <f>HYPERLINK("https://map.naver.com/p/search/세종특별자치시 나성동 829", "지도Link")</f>
        <v/>
      </c>
      <c r="N1984" s="6">
        <f>HYPERLINK("http://www.eum.go.kr/web/ar/lu/luLandDet.jsp?pnu=3611010700108290000&amp;isNoScr=script&amp;mode=search", "토지이음")</f>
        <v/>
      </c>
      <c r="O1984" s="3" t="inlineStr">
        <is>
          <t>가가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세종특별자치시 나성동 829</t>
        </is>
      </c>
      <c r="B1985" s="3" t="inlineStr">
        <is>
          <t>중심상업지역</t>
        </is>
      </c>
      <c r="C1985" s="3" t="inlineStr">
        <is>
          <t>대</t>
        </is>
      </c>
      <c r="D1985" s="3" t="inlineStr">
        <is>
          <t>답</t>
        </is>
      </c>
      <c r="E1985" s="3" t="inlineStr">
        <is>
          <t>매매</t>
        </is>
      </c>
      <c r="F1985" s="4" t="n">
        <v>167000</v>
      </c>
      <c r="G1985" s="4" t="n">
        <v>1377</v>
      </c>
      <c r="H1985" s="4" t="n">
        <v>417</v>
      </c>
      <c r="I1985" s="5" t="n">
        <v>400.5</v>
      </c>
      <c r="J1985" s="4" t="n">
        <v>747.8</v>
      </c>
      <c r="K1985" s="3" t="inlineStr">
        <is>
          <t>왕복 4차선의 도로애 접한 토지</t>
        </is>
      </c>
      <c r="L1985" s="6">
        <f>HYPERLINK("https://fin.land.naver.com/articles/2647109722", "매물Link")</f>
        <v/>
      </c>
      <c r="M1985" s="6">
        <f>HYPERLINK("https://map.naver.com/p/search/세종특별자치시 나성동 829", "지도Link")</f>
        <v/>
      </c>
      <c r="N1985" s="6">
        <f>HYPERLINK("http://www.eum.go.kr/web/ar/lu/luLandDet.jsp?pnu=3611010700108290000&amp;isNoScr=script&amp;mode=search", "토지이음")</f>
        <v/>
      </c>
      <c r="O1985" s="3" t="inlineStr">
        <is>
          <t>도안7단지 예미지</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세종특별자치시 나성동 829</t>
        </is>
      </c>
      <c r="B1986" s="3" t="inlineStr">
        <is>
          <t>중심상업지역</t>
        </is>
      </c>
      <c r="C1986" s="3" t="inlineStr">
        <is>
          <t>대</t>
        </is>
      </c>
      <c r="D1986" s="3" t="inlineStr">
        <is>
          <t>답</t>
        </is>
      </c>
      <c r="E1986" s="3" t="inlineStr">
        <is>
          <t>매매</t>
        </is>
      </c>
      <c r="F1986" s="4" t="n">
        <v>100000</v>
      </c>
      <c r="G1986" s="4" t="n">
        <v>1190</v>
      </c>
      <c r="H1986" s="4" t="n">
        <v>360</v>
      </c>
      <c r="I1986" s="5" t="n">
        <v>277.8</v>
      </c>
      <c r="J1986" s="4" t="n">
        <v>747.8</v>
      </c>
      <c r="K1986" s="3" t="inlineStr">
        <is>
          <t>nan</t>
        </is>
      </c>
      <c r="L1986" s="6">
        <f>HYPERLINK("https://fin.land.naver.com/articles/2647298361", "매물Link")</f>
        <v/>
      </c>
      <c r="M1986" s="6">
        <f>HYPERLINK("https://map.naver.com/p/search/세종특별자치시 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세종특별자치시 나성동 829</t>
        </is>
      </c>
      <c r="B1987" s="3" t="inlineStr">
        <is>
          <t>중심상업지역</t>
        </is>
      </c>
      <c r="C1987" s="3" t="inlineStr">
        <is>
          <t>대</t>
        </is>
      </c>
      <c r="D1987" s="3" t="inlineStr">
        <is>
          <t>대</t>
        </is>
      </c>
      <c r="E1987" s="3" t="inlineStr">
        <is>
          <t>매매</t>
        </is>
      </c>
      <c r="F1987" s="4" t="n">
        <v>48000</v>
      </c>
      <c r="G1987" s="4" t="n">
        <v>270</v>
      </c>
      <c r="H1987" s="4" t="n">
        <v>82</v>
      </c>
      <c r="I1987" s="5" t="n">
        <v>585.4</v>
      </c>
      <c r="J1987" s="4" t="n">
        <v>747.8</v>
      </c>
      <c r="K1987" s="3" t="inlineStr">
        <is>
          <t>nan</t>
        </is>
      </c>
      <c r="L1987" s="6">
        <f>HYPERLINK("https://fin.land.naver.com/articles/2647535801", "매물Link")</f>
        <v/>
      </c>
      <c r="M1987" s="6">
        <f>HYPERLINK("https://map.naver.com/p/search/세종특별자치시 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세종특별자치시 나성동 829</t>
        </is>
      </c>
      <c r="B1988" s="3" t="inlineStr">
        <is>
          <t>중심상업지역</t>
        </is>
      </c>
      <c r="C1988" s="3" t="inlineStr">
        <is>
          <t>대</t>
        </is>
      </c>
      <c r="D1988" s="3" t="inlineStr">
        <is>
          <t>대</t>
        </is>
      </c>
      <c r="E1988" s="3" t="inlineStr">
        <is>
          <t>매매</t>
        </is>
      </c>
      <c r="F1988" s="4" t="n">
        <v>145000</v>
      </c>
      <c r="G1988" s="4" t="n">
        <v>539</v>
      </c>
      <c r="H1988" s="4" t="n">
        <v>163</v>
      </c>
      <c r="I1988" s="5" t="n">
        <v>889.6</v>
      </c>
      <c r="J1988" s="4" t="n">
        <v>747.8</v>
      </c>
      <c r="K1988" s="3" t="inlineStr">
        <is>
          <t>nan</t>
        </is>
      </c>
      <c r="L1988" s="6">
        <f>HYPERLINK("https://fin.land.naver.com/articles/2647536721", "매물Link")</f>
        <v/>
      </c>
      <c r="M1988" s="6">
        <f>HYPERLINK("https://map.naver.com/p/search/세종특별자치시 나성동 829", "지도Link")</f>
        <v/>
      </c>
      <c r="N1988" s="6">
        <f>HYPERLINK("http://www.eum.go.kr/web/ar/lu/luLandDet.jsp?pnu=3611010700108290000&amp;isNoScr=script&amp;mode=search", "토지이음")</f>
        <v/>
      </c>
      <c r="O1988" s="3" t="inlineStr">
        <is>
          <t>새한</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세종특별자치시 나성동 829</t>
        </is>
      </c>
      <c r="B1989" s="3" t="inlineStr">
        <is>
          <t>중심상업지역</t>
        </is>
      </c>
      <c r="C1989" s="3" t="inlineStr">
        <is>
          <t>대</t>
        </is>
      </c>
      <c r="D1989" s="3" t="inlineStr">
        <is>
          <t>대</t>
        </is>
      </c>
      <c r="E1989" s="3" t="inlineStr">
        <is>
          <t>매매</t>
        </is>
      </c>
      <c r="F1989" s="4" t="n">
        <v>35000</v>
      </c>
      <c r="G1989" s="4" t="n">
        <v>285</v>
      </c>
      <c r="H1989" s="4" t="n">
        <v>86</v>
      </c>
      <c r="I1989" s="5" t="n">
        <v>407</v>
      </c>
      <c r="J1989" s="4" t="n">
        <v>747.8</v>
      </c>
      <c r="K1989" s="3" t="inlineStr">
        <is>
          <t>공주법원뒤 단독주택 부지로 2종일반주거지역이며 상가주택용
토지매매</t>
        </is>
      </c>
      <c r="L1989" s="6">
        <f>HYPERLINK("https://fin.land.naver.com/articles/2650203556", "매물Link")</f>
        <v/>
      </c>
      <c r="M1989" s="6">
        <f>HYPERLINK("https://map.naver.com/p/search/세종특별자치시 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세종특별자치시 나성동 829</t>
        </is>
      </c>
      <c r="B1990" s="3" t="inlineStr">
        <is>
          <t>중심상업지역</t>
        </is>
      </c>
      <c r="C1990" s="3" t="inlineStr">
        <is>
          <t>대</t>
        </is>
      </c>
      <c r="D1990" s="3" t="inlineStr">
        <is>
          <t>대</t>
        </is>
      </c>
      <c r="E1990" s="3" t="inlineStr">
        <is>
          <t>매매</t>
        </is>
      </c>
      <c r="F1990" s="4" t="n">
        <v>105000</v>
      </c>
      <c r="G1990" s="4" t="n">
        <v>881</v>
      </c>
      <c r="H1990" s="4" t="n">
        <v>267</v>
      </c>
      <c r="I1990" s="5" t="n">
        <v>393.3</v>
      </c>
      <c r="J1990" s="4" t="n">
        <v>747.8</v>
      </c>
      <c r="K1990" s="3" t="inlineStr">
        <is>
          <t>공주시 금흥동 6차선변 사거리코너 대지 매매</t>
        </is>
      </c>
      <c r="L1990" s="6">
        <f>HYPERLINK("https://fin.land.naver.com/articles/2650203728", "매물Link")</f>
        <v/>
      </c>
      <c r="M1990" s="6">
        <f>HYPERLINK("https://map.naver.com/p/search/세종특별자치시 나성동 829", "지도Link")</f>
        <v/>
      </c>
      <c r="N1990" s="6">
        <f>HYPERLINK("http://www.eum.go.kr/web/ar/lu/luLandDet.jsp?pnu=3611010700108290000&amp;isNoScr=script&amp;mode=search", "토지이음")</f>
        <v/>
      </c>
      <c r="O1990" s="3" t="inlineStr">
        <is>
          <t>세종공주노심종사무소</t>
        </is>
      </c>
      <c r="P1990" s="3" t="n">
        <v>1</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세종특별자치시 나성동 829</t>
        </is>
      </c>
      <c r="B1991" s="3" t="inlineStr">
        <is>
          <t>중심상업지역</t>
        </is>
      </c>
      <c r="C1991" s="3" t="inlineStr">
        <is>
          <t>대</t>
        </is>
      </c>
      <c r="D1991" s="3" t="inlineStr">
        <is>
          <t>대</t>
        </is>
      </c>
      <c r="E1991" s="3" t="inlineStr">
        <is>
          <t>매매</t>
        </is>
      </c>
      <c r="F1991" s="4" t="n">
        <v>100000</v>
      </c>
      <c r="G1991" s="4" t="n">
        <v>820</v>
      </c>
      <c r="H1991" s="4" t="n">
        <v>248</v>
      </c>
      <c r="I1991" s="5" t="n">
        <v>403.2</v>
      </c>
      <c r="J1991" s="4" t="n">
        <v>747.8</v>
      </c>
      <c r="K1991" s="3" t="inlineStr">
        <is>
          <t>공주 법원 검찰청과 아파트 단지 바로 옆에있는 대로변에 접한 
토지매매</t>
        </is>
      </c>
      <c r="L1991" s="6">
        <f>HYPERLINK("https://fin.land.naver.com/articles/2650203827", "매물Link")</f>
        <v/>
      </c>
      <c r="M1991" s="6">
        <f>HYPERLINK("https://map.naver.com/p/search/세종특별자치시 나성동 829", "지도Link")</f>
        <v/>
      </c>
      <c r="N1991" s="6">
        <f>HYPERLINK("http://www.eum.go.kr/web/ar/lu/luLandDet.jsp?pnu=3611010700108290000&amp;isNoScr=script&amp;mode=search", "토지이음")</f>
        <v/>
      </c>
      <c r="O1991" s="3" t="inlineStr">
        <is>
          <t>세종공주노심종사무소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세종특별자치시 나성동 829</t>
        </is>
      </c>
      <c r="B1992" s="3" t="inlineStr">
        <is>
          <t>중심상업지역</t>
        </is>
      </c>
      <c r="C1992" s="3" t="inlineStr">
        <is>
          <t>대</t>
        </is>
      </c>
      <c r="D1992" s="3" t="inlineStr">
        <is>
          <t>전</t>
        </is>
      </c>
      <c r="E1992" s="3" t="inlineStr">
        <is>
          <t>매매</t>
        </is>
      </c>
      <c r="F1992" s="4" t="n">
        <v>33650</v>
      </c>
      <c r="G1992" s="4" t="n">
        <v>618</v>
      </c>
      <c r="H1992" s="4" t="n">
        <v>187</v>
      </c>
      <c r="I1992" s="5" t="n">
        <v>179.9</v>
      </c>
      <c r="J1992" s="4" t="n">
        <v>747.8</v>
      </c>
      <c r="K1992" s="3" t="inlineStr">
        <is>
          <t>nan</t>
        </is>
      </c>
      <c r="L1992" s="6">
        <f>HYPERLINK("https://fin.land.naver.com/articles/2649845344", "매물Link")</f>
        <v/>
      </c>
      <c r="M1992" s="6">
        <f>HYPERLINK("https://map.naver.com/p/search/세종특별자치시 나성동 829", "지도Link")</f>
        <v/>
      </c>
      <c r="N1992" s="6">
        <f>HYPERLINK("http://www.eum.go.kr/web/ar/lu/luLandDet.jsp?pnu=3611010700108290000&amp;isNoScr=script&amp;mode=search", "토지이음")</f>
        <v/>
      </c>
      <c r="O1992" s="3" t="inlineStr">
        <is>
          <t>스마트 사무소</t>
        </is>
      </c>
      <c r="P1992" s="3" t="n">
        <v>2</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세종특별자치시 나성동 829</t>
        </is>
      </c>
      <c r="B1993" s="3" t="inlineStr">
        <is>
          <t>중심상업지역</t>
        </is>
      </c>
      <c r="C1993" s="3" t="inlineStr">
        <is>
          <t>대</t>
        </is>
      </c>
      <c r="D1993" s="3" t="inlineStr">
        <is>
          <t>전</t>
        </is>
      </c>
      <c r="E1993" s="3" t="inlineStr">
        <is>
          <t>매매</t>
        </is>
      </c>
      <c r="F1993" s="4" t="n">
        <v>95000</v>
      </c>
      <c r="G1993" s="4" t="n">
        <v>5091</v>
      </c>
      <c r="H1993" s="4" t="n">
        <v>1540</v>
      </c>
      <c r="I1993" s="5" t="n">
        <v>61.7</v>
      </c>
      <c r="J1993" s="4" t="n">
        <v>747.8</v>
      </c>
      <c r="K1993" s="3" t="inlineStr">
        <is>
          <t>분할매매가능합니다.</t>
        </is>
      </c>
      <c r="L1993" s="6">
        <f>HYPERLINK("https://fin.land.naver.com/articles/2645600743", "매물Link")</f>
        <v/>
      </c>
      <c r="M1993" s="6">
        <f>HYPERLINK("https://map.naver.com/p/search/세종특별자치시 나성동 829", "지도Link")</f>
        <v/>
      </c>
      <c r="N1993" s="6">
        <f>HYPERLINK("http://www.eum.go.kr/web/ar/lu/luLandDet.jsp?pnu=3611010700108290000&amp;isNoScr=script&amp;mode=search", "토지이음")</f>
        <v/>
      </c>
      <c r="O1993" s="3" t="inlineStr">
        <is>
          <t>대동</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세종특별자치시 나성동 829</t>
        </is>
      </c>
      <c r="B1994" s="3" t="inlineStr">
        <is>
          <t>중심상업지역</t>
        </is>
      </c>
      <c r="C1994" s="3" t="inlineStr">
        <is>
          <t>대</t>
        </is>
      </c>
      <c r="D1994" s="3" t="inlineStr">
        <is>
          <t>대</t>
        </is>
      </c>
      <c r="E1994" s="3" t="inlineStr">
        <is>
          <t>매매</t>
        </is>
      </c>
      <c r="F1994" s="4" t="n">
        <v>48000</v>
      </c>
      <c r="G1994" s="4" t="n">
        <v>220</v>
      </c>
      <c r="H1994" s="4" t="n">
        <v>67</v>
      </c>
      <c r="I1994" s="5" t="n">
        <v>716.4</v>
      </c>
      <c r="J1994" s="4" t="n">
        <v>747.8</v>
      </c>
      <c r="K1994" s="3" t="inlineStr">
        <is>
          <t>nan</t>
        </is>
      </c>
      <c r="L1994" s="6">
        <f>HYPERLINK("https://fin.land.naver.com/articles/2647295220", "매물Link")</f>
        <v/>
      </c>
      <c r="M1994" s="6">
        <f>HYPERLINK("https://map.naver.com/p/search/세종특별자치시 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세종특별자치시 나성동 829</t>
        </is>
      </c>
      <c r="B1995" s="3" t="inlineStr">
        <is>
          <t>중심상업지역</t>
        </is>
      </c>
      <c r="C1995" s="3" t="inlineStr">
        <is>
          <t>대</t>
        </is>
      </c>
      <c r="D1995" s="3" t="inlineStr">
        <is>
          <t>대</t>
        </is>
      </c>
      <c r="E1995" s="3" t="inlineStr">
        <is>
          <t>매매</t>
        </is>
      </c>
      <c r="F1995" s="4" t="n">
        <v>50000</v>
      </c>
      <c r="G1995" s="4" t="n">
        <v>220</v>
      </c>
      <c r="H1995" s="4" t="n">
        <v>67</v>
      </c>
      <c r="I1995" s="5" t="n">
        <v>746.3</v>
      </c>
      <c r="J1995" s="4" t="n">
        <v>747.8</v>
      </c>
      <c r="K1995" s="3" t="inlineStr">
        <is>
          <t>nan</t>
        </is>
      </c>
      <c r="L1995" s="6">
        <f>HYPERLINK("https://fin.land.naver.com/articles/2647534009", "매물Link")</f>
        <v/>
      </c>
      <c r="M1995" s="6">
        <f>HYPERLINK("https://map.naver.com/p/search/세종특별자치시 나성동 829", "지도Link")</f>
        <v/>
      </c>
      <c r="N1995" s="6">
        <f>HYPERLINK("http://www.eum.go.kr/web/ar/lu/luLandDet.jsp?pnu=3611010700108290000&amp;isNoScr=script&amp;mode=search", "토지이음")</f>
        <v/>
      </c>
      <c r="O1995" s="3" t="inlineStr">
        <is>
          <t>새한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세종특별자치시 나성동 829</t>
        </is>
      </c>
      <c r="B1996" s="3" t="inlineStr">
        <is>
          <t>중심상업지역</t>
        </is>
      </c>
      <c r="C1996" s="3" t="inlineStr">
        <is>
          <t>대</t>
        </is>
      </c>
      <c r="D1996" s="3" t="inlineStr">
        <is>
          <t>대</t>
        </is>
      </c>
      <c r="E1996" s="3" t="inlineStr">
        <is>
          <t>매매</t>
        </is>
      </c>
      <c r="F1996" s="4" t="n">
        <v>19500</v>
      </c>
      <c r="G1996" s="4" t="n">
        <v>433</v>
      </c>
      <c r="H1996" s="4" t="n">
        <v>131</v>
      </c>
      <c r="I1996" s="5" t="n">
        <v>148.9</v>
      </c>
      <c r="J1996" s="4" t="n">
        <v>747.8</v>
      </c>
      <c r="K1996" s="3" t="inlineStr">
        <is>
          <t>지목이 대지인바 농지전용부담금  불필요</t>
        </is>
      </c>
      <c r="L1996" s="6">
        <f>HYPERLINK("https://fin.land.naver.com/articles/2648112407", "매물Link")</f>
        <v/>
      </c>
      <c r="M1996" s="6">
        <f>HYPERLINK("https://map.naver.com/p/search/세종특별자치시 나성동 829", "지도Link")</f>
        <v/>
      </c>
      <c r="N1996" s="6">
        <f>HYPERLINK("http://www.eum.go.kr/web/ar/lu/luLandDet.jsp?pnu=3611010700108290000&amp;isNoScr=script&amp;mode=search", "토지이음")</f>
        <v/>
      </c>
      <c r="O1996" s="3" t="inlineStr">
        <is>
          <t>마당발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세종특별자치시 나성동 829</t>
        </is>
      </c>
      <c r="B1997" s="3" t="inlineStr">
        <is>
          <t>중심상업지역</t>
        </is>
      </c>
      <c r="C1997" s="3" t="inlineStr">
        <is>
          <t>대</t>
        </is>
      </c>
      <c r="D1997" s="3" t="inlineStr">
        <is>
          <t>대</t>
        </is>
      </c>
      <c r="E1997" s="3" t="inlineStr">
        <is>
          <t>매매</t>
        </is>
      </c>
      <c r="F1997" s="4" t="n">
        <v>52000</v>
      </c>
      <c r="G1997" s="4" t="n">
        <v>225</v>
      </c>
      <c r="H1997" s="4" t="n">
        <v>68</v>
      </c>
      <c r="I1997" s="5" t="n">
        <v>764.7</v>
      </c>
      <c r="J1997" s="4" t="n">
        <v>747.8</v>
      </c>
      <c r="K1997" s="3" t="inlineStr">
        <is>
          <t>nan</t>
        </is>
      </c>
      <c r="L1997" s="6">
        <f>HYPERLINK("https://fin.land.naver.com/articles/2648119533", "매물Link")</f>
        <v/>
      </c>
      <c r="M1997" s="6">
        <f>HYPERLINK("https://map.naver.com/p/search/세종특별자치시 나성동 829", "지도Link")</f>
        <v/>
      </c>
      <c r="N1997" s="6">
        <f>HYPERLINK("http://www.eum.go.kr/web/ar/lu/luLandDet.jsp?pnu=3611010700108290000&amp;isNoScr=script&amp;mode=search", "토지이음")</f>
        <v/>
      </c>
      <c r="O1997" s="3" t="inlineStr">
        <is>
          <t>새한</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세종특별자치시 나성동 829</t>
        </is>
      </c>
      <c r="B1998" s="3" t="inlineStr">
        <is>
          <t>중심상업지역</t>
        </is>
      </c>
      <c r="C1998" s="3" t="inlineStr">
        <is>
          <t>대</t>
        </is>
      </c>
      <c r="D1998" s="3" t="inlineStr">
        <is>
          <t>답</t>
        </is>
      </c>
      <c r="E1998" s="3" t="inlineStr">
        <is>
          <t>매매</t>
        </is>
      </c>
      <c r="F1998" s="4" t="n">
        <v>65000</v>
      </c>
      <c r="G1998" s="4" t="n">
        <v>2139</v>
      </c>
      <c r="H1998" s="4" t="n">
        <v>647</v>
      </c>
      <c r="I1998" s="5" t="n">
        <v>100.5</v>
      </c>
      <c r="J1998" s="4" t="n">
        <v>747.8</v>
      </c>
      <c r="K1998" s="3" t="inlineStr">
        <is>
          <t>nan</t>
        </is>
      </c>
      <c r="L1998" s="6">
        <f>HYPERLINK("https://fin.land.naver.com/articles/2647436395", "매물Link")</f>
        <v/>
      </c>
      <c r="M1998" s="6">
        <f>HYPERLINK("https://map.naver.com/p/search/세종특별자치시 나성동 829", "지도Link")</f>
        <v/>
      </c>
      <c r="N1998" s="6">
        <f>HYPERLINK("http://www.eum.go.kr/web/ar/lu/luLandDet.jsp?pnu=3611010700108290000&amp;isNoScr=script&amp;mode=search", "토지이음")</f>
        <v/>
      </c>
      <c r="O1998" s="3" t="inlineStr">
        <is>
          <t>삼하</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세종특별자치시 나성동 829</t>
        </is>
      </c>
      <c r="B1999" s="3" t="inlineStr">
        <is>
          <t>중심상업지역</t>
        </is>
      </c>
      <c r="C1999" s="3" t="inlineStr">
        <is>
          <t>대</t>
        </is>
      </c>
      <c r="D1999" s="3" t="inlineStr">
        <is>
          <t>전</t>
        </is>
      </c>
      <c r="E1999" s="3" t="inlineStr">
        <is>
          <t>매매</t>
        </is>
      </c>
      <c r="F1999" s="4" t="n">
        <v>95000</v>
      </c>
      <c r="G1999" s="4" t="n">
        <v>2073</v>
      </c>
      <c r="H1999" s="4" t="n">
        <v>627</v>
      </c>
      <c r="I1999" s="5" t="n">
        <v>151.5</v>
      </c>
      <c r="J1999" s="4" t="n">
        <v>747.8</v>
      </c>
      <c r="K1999" s="3" t="inlineStr">
        <is>
          <t>도로접함, 계획관리지역, 하천이 있어서 전원주택지로 좋음</t>
        </is>
      </c>
      <c r="L1999" s="6">
        <f>HYPERLINK("https://fin.land.naver.com/articles/2647718836", "매물Link")</f>
        <v/>
      </c>
      <c r="M1999" s="6">
        <f>HYPERLINK("https://map.naver.com/p/search/세종특별자치시 나성동 829", "지도Link")</f>
        <v/>
      </c>
      <c r="N1999" s="6">
        <f>HYPERLINK("http://www.eum.go.kr/web/ar/lu/luLandDet.jsp?pnu=3611010700108290000&amp;isNoScr=script&amp;mode=search", "토지이음")</f>
        <v/>
      </c>
      <c r="O1999" s="3" t="inlineStr">
        <is>
          <t>대방탑</t>
        </is>
      </c>
      <c r="P1999" s="3" t="n">
        <v>1</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세종특별자치시 나성동 829</t>
        </is>
      </c>
      <c r="B2000" s="3" t="inlineStr">
        <is>
          <t>중심상업지역</t>
        </is>
      </c>
      <c r="C2000" s="3" t="inlineStr">
        <is>
          <t>대</t>
        </is>
      </c>
      <c r="D2000" s="3" t="inlineStr">
        <is>
          <t>답</t>
        </is>
      </c>
      <c r="E2000" s="3" t="inlineStr">
        <is>
          <t>매매</t>
        </is>
      </c>
      <c r="F2000" s="4" t="n">
        <v>28000</v>
      </c>
      <c r="G2000" s="4" t="n">
        <v>2998</v>
      </c>
      <c r="H2000" s="4" t="n">
        <v>907</v>
      </c>
      <c r="I2000" s="5" t="n">
        <v>30.9</v>
      </c>
      <c r="J2000" s="4" t="n">
        <v>747.8</v>
      </c>
      <c r="K2000" s="3" t="inlineStr">
        <is>
          <t>nan</t>
        </is>
      </c>
      <c r="L2000" s="6">
        <f>HYPERLINK("https://fin.land.naver.com/articles/2647120174", "매물Link")</f>
        <v/>
      </c>
      <c r="M2000" s="6">
        <f>HYPERLINK("https://map.naver.com/p/search/세종특별자치시 나성동 829", "지도Link")</f>
        <v/>
      </c>
      <c r="N2000" s="6">
        <f>HYPERLINK("http://www.eum.go.kr/web/ar/lu/luLandDet.jsp?pnu=3611010700108290000&amp;isNoScr=script&amp;mode=search", "토지이음")</f>
        <v/>
      </c>
      <c r="O2000" s="3" t="inlineStr">
        <is>
          <t>가온</t>
        </is>
      </c>
      <c r="P2000" s="3" t="n">
        <v>2</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세종특별자치시 나성동 829</t>
        </is>
      </c>
      <c r="B2001" s="3" t="inlineStr">
        <is>
          <t>중심상업지역</t>
        </is>
      </c>
      <c r="C2001" s="3" t="inlineStr">
        <is>
          <t>대</t>
        </is>
      </c>
      <c r="D2001" s="3" t="inlineStr">
        <is>
          <t>답</t>
        </is>
      </c>
      <c r="E2001" s="3" t="inlineStr">
        <is>
          <t>매매</t>
        </is>
      </c>
      <c r="F2001" s="4" t="n">
        <v>51700</v>
      </c>
      <c r="G2001" s="4" t="n">
        <v>2014</v>
      </c>
      <c r="H2001" s="4" t="n">
        <v>609</v>
      </c>
      <c r="I2001" s="5" t="n">
        <v>84.90000000000001</v>
      </c>
      <c r="J2001" s="4" t="n">
        <v>747.8</v>
      </c>
      <c r="K2001" s="3" t="inlineStr">
        <is>
          <t>nan</t>
        </is>
      </c>
      <c r="L2001" s="6">
        <f>HYPERLINK("https://fin.land.naver.com/articles/2649010988", "매물Link")</f>
        <v/>
      </c>
      <c r="M2001" s="6">
        <f>HYPERLINK("https://map.naver.com/p/search/세종특별자치시 나성동 829", "지도Link")</f>
        <v/>
      </c>
      <c r="N2001" s="6">
        <f>HYPERLINK("http://www.eum.go.kr/web/ar/lu/luLandDet.jsp?pnu=3611010700108290000&amp;isNoScr=script&amp;mode=search", "토지이음")</f>
        <v/>
      </c>
      <c r="O2001" s="3" t="inlineStr">
        <is>
          <t>다정</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세종특별자치시 나성동 829</t>
        </is>
      </c>
      <c r="B2002" s="3" t="inlineStr">
        <is>
          <t>중심상업지역</t>
        </is>
      </c>
      <c r="C2002" s="3" t="inlineStr">
        <is>
          <t>대</t>
        </is>
      </c>
      <c r="D2002" s="3" t="inlineStr">
        <is>
          <t>답</t>
        </is>
      </c>
      <c r="E2002" s="3" t="inlineStr">
        <is>
          <t>매매</t>
        </is>
      </c>
      <c r="F2002" s="4" t="n">
        <v>80000</v>
      </c>
      <c r="G2002" s="4" t="n">
        <v>7851</v>
      </c>
      <c r="H2002" s="4" t="n">
        <v>2375</v>
      </c>
      <c r="I2002" s="5" t="n">
        <v>33.7</v>
      </c>
      <c r="J2002" s="4" t="n">
        <v>747.8</v>
      </c>
      <c r="K2002" s="3" t="inlineStr">
        <is>
          <t>nan</t>
        </is>
      </c>
      <c r="L2002" s="6">
        <f>HYPERLINK("https://fin.land.naver.com/articles/2645947773", "매물Link")</f>
        <v/>
      </c>
      <c r="M2002" s="6">
        <f>HYPERLINK("https://map.naver.com/p/search/세종특별자치시 나성동 829", "지도Link")</f>
        <v/>
      </c>
      <c r="N2002" s="6">
        <f>HYPERLINK("http://www.eum.go.kr/web/ar/lu/luLandDet.jsp?pnu=3611010700108290000&amp;isNoScr=script&amp;mode=search", "토지이음")</f>
        <v/>
      </c>
      <c r="O2002" s="3" t="inlineStr">
        <is>
          <t>가온</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세종특별자치시 나성동 829</t>
        </is>
      </c>
      <c r="B2003" s="3" t="inlineStr">
        <is>
          <t>중심상업지역</t>
        </is>
      </c>
      <c r="C2003" s="3" t="inlineStr">
        <is>
          <t>대</t>
        </is>
      </c>
      <c r="D2003" s="3" t="inlineStr">
        <is>
          <t>전</t>
        </is>
      </c>
      <c r="E2003" s="3" t="inlineStr">
        <is>
          <t>매매</t>
        </is>
      </c>
      <c r="F2003" s="4" t="n">
        <v>42000</v>
      </c>
      <c r="G2003" s="4" t="n">
        <v>1732</v>
      </c>
      <c r="H2003" s="4" t="n">
        <v>524</v>
      </c>
      <c r="I2003" s="5" t="n">
        <v>80.2</v>
      </c>
      <c r="J2003" s="4" t="n">
        <v>747.8</v>
      </c>
      <c r="K2003" s="3" t="inlineStr">
        <is>
          <t>공주시내권 외지인마을이 만들어지는곳에 자리한 정남향의 전원주택지</t>
        </is>
      </c>
      <c r="L2003" s="6">
        <f>HYPERLINK("https://fin.land.naver.com/articles/2649836360", "매물Link")</f>
        <v/>
      </c>
      <c r="M2003" s="6">
        <f>HYPERLINK("https://map.naver.com/p/search/세종특별자치시 나성동 829", "지도Link")</f>
        <v/>
      </c>
      <c r="N2003" s="6">
        <f>HYPERLINK("http://www.eum.go.kr/web/ar/lu/luLandDet.jsp?pnu=3611010700108290000&amp;isNoScr=script&amp;mode=search", "토지이음")</f>
        <v/>
      </c>
      <c r="O2003" s="3" t="inlineStr">
        <is>
          <t>흙사랑</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세종특별자치시 나성동 829</t>
        </is>
      </c>
      <c r="B2004" s="3" t="inlineStr">
        <is>
          <t>중심상업지역</t>
        </is>
      </c>
      <c r="C2004" s="3" t="inlineStr">
        <is>
          <t>대</t>
        </is>
      </c>
      <c r="D2004" s="3" t="inlineStr">
        <is>
          <t>전</t>
        </is>
      </c>
      <c r="E2004" s="3" t="inlineStr">
        <is>
          <t>매매</t>
        </is>
      </c>
      <c r="F2004" s="4" t="n">
        <v>172370</v>
      </c>
      <c r="G2004" s="4" t="n">
        <v>10360</v>
      </c>
      <c r="H2004" s="4" t="n">
        <v>3134</v>
      </c>
      <c r="I2004" s="5" t="n">
        <v>55</v>
      </c>
      <c r="J2004" s="4" t="n">
        <v>747.8</v>
      </c>
      <c r="K2004" s="3" t="inlineStr">
        <is>
          <t>nan</t>
        </is>
      </c>
      <c r="L2004" s="6">
        <f>HYPERLINK("https://fin.land.naver.com/articles/2647115384", "매물Link")</f>
        <v/>
      </c>
      <c r="M2004" s="6">
        <f>HYPERLINK("https://map.naver.com/p/search/세종특별자치시 나성동 829", "지도Link")</f>
        <v/>
      </c>
      <c r="N2004" s="6">
        <f>HYPERLINK("http://www.eum.go.kr/web/ar/lu/luLandDet.jsp?pnu=3611010700108290000&amp;isNoScr=script&amp;mode=search", "토지이음")</f>
        <v/>
      </c>
      <c r="O2004" s="3" t="inlineStr">
        <is>
          <t>삼성사무소</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세종특별자치시 나성동 829</t>
        </is>
      </c>
      <c r="B2005" s="3" t="inlineStr">
        <is>
          <t>중심상업지역</t>
        </is>
      </c>
      <c r="C2005" s="3" t="inlineStr">
        <is>
          <t>대</t>
        </is>
      </c>
      <c r="D2005" s="3" t="inlineStr">
        <is>
          <t>전</t>
        </is>
      </c>
      <c r="E2005" s="3" t="inlineStr">
        <is>
          <t>매매</t>
        </is>
      </c>
      <c r="F2005" s="4" t="n">
        <v>48000</v>
      </c>
      <c r="G2005" s="4" t="n">
        <v>2926</v>
      </c>
      <c r="H2005" s="4" t="n">
        <v>885</v>
      </c>
      <c r="I2005" s="5" t="n">
        <v>54.2</v>
      </c>
      <c r="J2005" s="4" t="n">
        <v>747.8</v>
      </c>
      <c r="K2005" s="3" t="inlineStr">
        <is>
          <t>nan</t>
        </is>
      </c>
      <c r="L2005" s="6">
        <f>HYPERLINK("https://fin.land.naver.com/articles/2647309628", "매물Link")</f>
        <v/>
      </c>
      <c r="M2005" s="6">
        <f>HYPERLINK("https://map.naver.com/p/search/세종특별자치시 나성동 829", "지도Link")</f>
        <v/>
      </c>
      <c r="N2005" s="6">
        <f>HYPERLINK("http://www.eum.go.kr/web/ar/lu/luLandDet.jsp?pnu=3611010700108290000&amp;isNoScr=script&amp;mode=search", "토지이음")</f>
        <v/>
      </c>
      <c r="O2005" s="3" t="inlineStr">
        <is>
          <t>황금</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세종특별자치시 나성동 829</t>
        </is>
      </c>
      <c r="B2006" s="3" t="inlineStr">
        <is>
          <t>중심상업지역</t>
        </is>
      </c>
      <c r="C2006" s="3" t="inlineStr">
        <is>
          <t>대</t>
        </is>
      </c>
      <c r="D2006" s="3" t="inlineStr">
        <is>
          <t>전</t>
        </is>
      </c>
      <c r="E2006" s="3" t="inlineStr">
        <is>
          <t>매매</t>
        </is>
      </c>
      <c r="F2006" s="4" t="n">
        <v>6500</v>
      </c>
      <c r="G2006" s="4" t="n">
        <v>863</v>
      </c>
      <c r="H2006" s="4" t="n">
        <v>261</v>
      </c>
      <c r="I2006" s="5" t="n">
        <v>24.9</v>
      </c>
      <c r="J2006" s="4" t="n">
        <v>747.8</v>
      </c>
      <c r="K2006" s="3" t="inlineStr">
        <is>
          <t>체류형쉼터</t>
        </is>
      </c>
      <c r="L2006" s="6">
        <f>HYPERLINK("https://fin.land.naver.com/articles/2647439239", "매물Link")</f>
        <v/>
      </c>
      <c r="M2006" s="6">
        <f>HYPERLINK("https://map.naver.com/p/search/세종특별자치시 나성동 829", "지도Link")</f>
        <v/>
      </c>
      <c r="N2006" s="6">
        <f>HYPERLINK("http://www.eum.go.kr/web/ar/lu/luLandDet.jsp?pnu=3611010700108290000&amp;isNoScr=script&amp;mode=search", "토지이음")</f>
        <v/>
      </c>
      <c r="O2006" s="3" t="inlineStr">
        <is>
          <t>내수정보</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세종특별자치시 나성동 829</t>
        </is>
      </c>
      <c r="B2007" s="3" t="inlineStr">
        <is>
          <t>중심상업지역</t>
        </is>
      </c>
      <c r="C2007" s="3" t="inlineStr">
        <is>
          <t>대</t>
        </is>
      </c>
      <c r="D2007" s="3" t="inlineStr">
        <is>
          <t>답</t>
        </is>
      </c>
      <c r="E2007" s="3" t="inlineStr">
        <is>
          <t>매매</t>
        </is>
      </c>
      <c r="F2007" s="4" t="n">
        <v>26180</v>
      </c>
      <c r="G2007" s="4" t="n">
        <v>4327</v>
      </c>
      <c r="H2007" s="4" t="n">
        <v>1309</v>
      </c>
      <c r="I2007" s="5" t="n">
        <v>20</v>
      </c>
      <c r="J2007" s="4" t="n">
        <v>747.8</v>
      </c>
      <c r="K2007" s="3" t="inlineStr">
        <is>
          <t>경지정리된 논</t>
        </is>
      </c>
      <c r="L2007" s="6">
        <f>HYPERLINK("https://fin.land.naver.com/articles/2647715691", "매물Link")</f>
        <v/>
      </c>
      <c r="M2007" s="6">
        <f>HYPERLINK("https://map.naver.com/p/search/세종특별자치시 나성동 829", "지도Link")</f>
        <v/>
      </c>
      <c r="N2007" s="6">
        <f>HYPERLINK("http://www.eum.go.kr/web/ar/lu/luLandDet.jsp?pnu=3611010700108290000&amp;isNoScr=script&amp;mode=search", "토지이음")</f>
        <v/>
      </c>
      <c r="O2007" s="3" t="inlineStr">
        <is>
          <t>한우리</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세종특별자치시 나성동 829</t>
        </is>
      </c>
      <c r="B2008" s="3" t="inlineStr">
        <is>
          <t>중심상업지역</t>
        </is>
      </c>
      <c r="C2008" s="3" t="inlineStr">
        <is>
          <t>대</t>
        </is>
      </c>
      <c r="D2008" s="3" t="inlineStr">
        <is>
          <t>전</t>
        </is>
      </c>
      <c r="E2008" s="3" t="inlineStr">
        <is>
          <t>매매</t>
        </is>
      </c>
      <c r="F2008" s="4" t="n">
        <v>8000</v>
      </c>
      <c r="G2008" s="4" t="n">
        <v>1622</v>
      </c>
      <c r="H2008" s="4" t="n">
        <v>491</v>
      </c>
      <c r="I2008" s="5" t="n">
        <v>16.3</v>
      </c>
      <c r="J2008" s="4" t="n">
        <v>747.8</v>
      </c>
      <c r="K2008" s="3" t="inlineStr">
        <is>
          <t>계획관리 지역 마을내 농지로 주택 내지 체류형 쉄터로 적합</t>
        </is>
      </c>
      <c r="L2008" s="6">
        <f>HYPERLINK("https://fin.land.naver.com/articles/2647826918", "매물Link")</f>
        <v/>
      </c>
      <c r="M2008" s="6">
        <f>HYPERLINK("https://map.naver.com/p/search/세종특별자치시 나성동 829", "지도Link")</f>
        <v/>
      </c>
      <c r="N2008" s="6">
        <f>HYPERLINK("http://www.eum.go.kr/web/ar/lu/luLandDet.jsp?pnu=3611010700108290000&amp;isNoScr=script&amp;mode=search", "토지이음")</f>
        <v/>
      </c>
      <c r="O2008" s="3" t="inlineStr">
        <is>
          <t>아트에비뉴</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세종특별자치시 나성동 829</t>
        </is>
      </c>
      <c r="B2009" s="3" t="inlineStr">
        <is>
          <t>중심상업지역</t>
        </is>
      </c>
      <c r="C2009" s="3" t="inlineStr">
        <is>
          <t>대</t>
        </is>
      </c>
      <c r="D2009" s="3" t="inlineStr">
        <is>
          <t>전</t>
        </is>
      </c>
      <c r="E2009" s="3" t="inlineStr">
        <is>
          <t>매매</t>
        </is>
      </c>
      <c r="F2009" s="4" t="n">
        <v>8300</v>
      </c>
      <c r="G2009" s="4" t="n">
        <v>549</v>
      </c>
      <c r="H2009" s="4" t="n">
        <v>166</v>
      </c>
      <c r="I2009" s="5" t="n">
        <v>50</v>
      </c>
      <c r="J2009" s="4" t="n">
        <v>747.8</v>
      </c>
      <c r="K2009" s="3" t="inlineStr">
        <is>
          <t>토성리 계획관리 전원주택지 주말농장</t>
        </is>
      </c>
      <c r="L2009" s="6">
        <f>HYPERLINK("https://fin.land.naver.com/articles/2647920306", "매물Link")</f>
        <v/>
      </c>
      <c r="M2009" s="6">
        <f>HYPERLINK("https://map.naver.com/p/search/세종특별자치시 나성동 829", "지도Link")</f>
        <v/>
      </c>
      <c r="N2009" s="6">
        <f>HYPERLINK("http://www.eum.go.kr/web/ar/lu/luLandDet.jsp?pnu=3611010700108290000&amp;isNoScr=script&amp;mode=search", "토지이음")</f>
        <v/>
      </c>
      <c r="O2009" s="3" t="inlineStr">
        <is>
          <t>명문</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세종특별자치시 나성동 829</t>
        </is>
      </c>
      <c r="B2010" s="3" t="inlineStr">
        <is>
          <t>중심상업지역</t>
        </is>
      </c>
      <c r="C2010" s="3" t="inlineStr">
        <is>
          <t>대</t>
        </is>
      </c>
      <c r="D2010" s="3" t="inlineStr">
        <is>
          <t>답</t>
        </is>
      </c>
      <c r="E2010" s="3" t="inlineStr">
        <is>
          <t>매매</t>
        </is>
      </c>
      <c r="F2010" s="4" t="n">
        <v>46700</v>
      </c>
      <c r="G2010" s="4" t="n">
        <v>6721</v>
      </c>
      <c r="H2010" s="4" t="n">
        <v>2033</v>
      </c>
      <c r="I2010" s="5" t="n">
        <v>23</v>
      </c>
      <c r="J2010" s="4" t="n">
        <v>747.8</v>
      </c>
      <c r="K2010" s="3" t="inlineStr">
        <is>
          <t>화하리 농림지역 대토용 투자용 농사용</t>
        </is>
      </c>
      <c r="L2010" s="6">
        <f>HYPERLINK("https://fin.land.naver.com/articles/2646974160", "매물Link")</f>
        <v/>
      </c>
      <c r="M2010" s="6">
        <f>HYPERLINK("https://map.naver.com/p/search/세종특별자치시 나성동 829", "지도Link")</f>
        <v/>
      </c>
      <c r="N2010" s="6">
        <f>HYPERLINK("http://www.eum.go.kr/web/ar/lu/luLandDet.jsp?pnu=3611010700108290000&amp;isNoScr=script&amp;mode=search", "토지이음")</f>
        <v/>
      </c>
      <c r="O2010" s="3" t="inlineStr">
        <is>
          <t>명문</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세종특별자치시 나성동 829</t>
        </is>
      </c>
      <c r="B2011" s="3" t="inlineStr">
        <is>
          <t>중심상업지역</t>
        </is>
      </c>
      <c r="C2011" s="3" t="inlineStr">
        <is>
          <t>대</t>
        </is>
      </c>
      <c r="D2011" s="3" t="inlineStr">
        <is>
          <t>전</t>
        </is>
      </c>
      <c r="E2011" s="3" t="inlineStr">
        <is>
          <t>매매</t>
        </is>
      </c>
      <c r="F2011" s="4" t="n">
        <v>167000</v>
      </c>
      <c r="G2011" s="4" t="n">
        <v>10456</v>
      </c>
      <c r="H2011" s="4" t="n">
        <v>3163</v>
      </c>
      <c r="I2011" s="5" t="n">
        <v>52.8</v>
      </c>
      <c r="J2011" s="4" t="n">
        <v>747.8</v>
      </c>
      <c r="K2011" s="3" t="inlineStr">
        <is>
          <t>증평IC에서 약2.5㎞에 위치해 있으며, 공장및 물류창고로 적극추천함.</t>
        </is>
      </c>
      <c r="L2011" s="6">
        <f>HYPERLINK("https://fin.land.naver.com/articles/2648293128", "매물Link")</f>
        <v/>
      </c>
      <c r="M2011" s="6">
        <f>HYPERLINK("https://map.naver.com/p/search/세종특별자치시 나성동 829", "지도Link")</f>
        <v/>
      </c>
      <c r="N2011" s="6">
        <f>HYPERLINK("http://www.eum.go.kr/web/ar/lu/luLandDet.jsp?pnu=3611010700108290000&amp;isNoScr=script&amp;mode=search", "토지이음")</f>
        <v/>
      </c>
      <c r="O2011" s="3" t="inlineStr">
        <is>
          <t>오송역에이스</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세종특별자치시 나성동 829</t>
        </is>
      </c>
      <c r="B2012" s="3" t="inlineStr">
        <is>
          <t>중심상업지역</t>
        </is>
      </c>
      <c r="C2012" s="3" t="inlineStr">
        <is>
          <t>대</t>
        </is>
      </c>
      <c r="D2012" s="3" t="inlineStr">
        <is>
          <t>답</t>
        </is>
      </c>
      <c r="E2012" s="3" t="inlineStr">
        <is>
          <t>매매</t>
        </is>
      </c>
      <c r="F2012" s="4" t="n">
        <v>36360</v>
      </c>
      <c r="G2012" s="4" t="n">
        <v>6011</v>
      </c>
      <c r="H2012" s="4" t="n">
        <v>1818</v>
      </c>
      <c r="I2012" s="5" t="n">
        <v>20</v>
      </c>
      <c r="J2012" s="4" t="n">
        <v>747.8</v>
      </c>
      <c r="K2012" s="3" t="inlineStr">
        <is>
          <t>대토투자용</t>
        </is>
      </c>
      <c r="L2012" s="6">
        <f>HYPERLINK("https://fin.land.naver.com/articles/2648312818", "매물Link")</f>
        <v/>
      </c>
      <c r="M2012" s="6">
        <f>HYPERLINK("https://map.naver.com/p/search/세종특별자치시 나성동 829", "지도Link")</f>
        <v/>
      </c>
      <c r="N2012" s="6">
        <f>HYPERLINK("http://www.eum.go.kr/web/ar/lu/luLandDet.jsp?pnu=3611010700108290000&amp;isNoScr=script&amp;mode=search", "토지이음")</f>
        <v/>
      </c>
      <c r="O2012" s="3" t="inlineStr">
        <is>
          <t>내수정보</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세종특별자치시 나성동 829</t>
        </is>
      </c>
      <c r="B2013" s="3" t="inlineStr">
        <is>
          <t>중심상업지역</t>
        </is>
      </c>
      <c r="C2013" s="3" t="inlineStr">
        <is>
          <t>대</t>
        </is>
      </c>
      <c r="D2013" s="3" t="inlineStr">
        <is>
          <t>답</t>
        </is>
      </c>
      <c r="E2013" s="3" t="inlineStr">
        <is>
          <t>매매</t>
        </is>
      </c>
      <c r="F2013" s="4" t="n">
        <v>29100</v>
      </c>
      <c r="G2013" s="4" t="n">
        <v>4181</v>
      </c>
      <c r="H2013" s="4" t="n">
        <v>1265</v>
      </c>
      <c r="I2013" s="5" t="n">
        <v>23</v>
      </c>
      <c r="J2013" s="4" t="n">
        <v>747.8</v>
      </c>
      <c r="K2013" s="3" t="inlineStr">
        <is>
          <t>현암리 농사용 대토용 투자용</t>
        </is>
      </c>
      <c r="L2013" s="6">
        <f>HYPERLINK("https://fin.land.naver.com/articles/2648632143", "매물Link")</f>
        <v/>
      </c>
      <c r="M2013" s="6">
        <f>HYPERLINK("https://map.naver.com/p/search/세종특별자치시 나성동 829", "지도Link")</f>
        <v/>
      </c>
      <c r="N2013" s="6">
        <f>HYPERLINK("http://www.eum.go.kr/web/ar/lu/luLandDet.jsp?pnu=3611010700108290000&amp;isNoScr=script&amp;mode=search", "토지이음")</f>
        <v/>
      </c>
      <c r="O2013" s="3" t="inlineStr">
        <is>
          <t>명문</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세종특별자치시 나성동 829</t>
        </is>
      </c>
      <c r="B2014" s="3" t="inlineStr">
        <is>
          <t>중심상업지역</t>
        </is>
      </c>
      <c r="C2014" s="3" t="inlineStr">
        <is>
          <t>대</t>
        </is>
      </c>
      <c r="D2014" s="3" t="inlineStr">
        <is>
          <t>답</t>
        </is>
      </c>
      <c r="E2014" s="3" t="inlineStr">
        <is>
          <t>매매</t>
        </is>
      </c>
      <c r="F2014" s="4" t="n">
        <v>36400</v>
      </c>
      <c r="G2014" s="4" t="n">
        <v>6506</v>
      </c>
      <c r="H2014" s="4" t="n">
        <v>1968</v>
      </c>
      <c r="I2014" s="5" t="n">
        <v>18.5</v>
      </c>
      <c r="J2014" s="4" t="n">
        <v>747.8</v>
      </c>
      <c r="K2014" s="3" t="inlineStr">
        <is>
          <t>농림진흥지역의 농사짓기 좋은 토지</t>
        </is>
      </c>
      <c r="L2014" s="6">
        <f>HYPERLINK("https://fin.land.naver.com/articles/2648652447", "매물Link")</f>
        <v/>
      </c>
      <c r="M2014" s="6">
        <f>HYPERLINK("https://map.naver.com/p/search/세종특별자치시 나성동 829", "지도Link")</f>
        <v/>
      </c>
      <c r="N2014" s="6">
        <f>HYPERLINK("http://www.eum.go.kr/web/ar/lu/luLandDet.jsp?pnu=3611010700108290000&amp;isNoScr=script&amp;mode=search", "토지이음")</f>
        <v/>
      </c>
      <c r="O2014" s="3" t="inlineStr">
        <is>
          <t>일등</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세종특별자치시 나성동 829</t>
        </is>
      </c>
      <c r="B2015" s="3" t="inlineStr">
        <is>
          <t>중심상업지역</t>
        </is>
      </c>
      <c r="C2015" s="3" t="inlineStr">
        <is>
          <t>대</t>
        </is>
      </c>
      <c r="D2015" s="3" t="inlineStr">
        <is>
          <t>답</t>
        </is>
      </c>
      <c r="E2015" s="3" t="inlineStr">
        <is>
          <t>매매</t>
        </is>
      </c>
      <c r="F2015" s="4" t="n">
        <v>20000</v>
      </c>
      <c r="G2015" s="4" t="n">
        <v>2102</v>
      </c>
      <c r="H2015" s="4" t="n">
        <v>636</v>
      </c>
      <c r="I2015" s="5" t="n">
        <v>31.4</v>
      </c>
      <c r="J2015" s="4" t="n">
        <v>747.8</v>
      </c>
      <c r="K2015" s="3" t="inlineStr">
        <is>
          <t>현황도로접 휀스 콘테이너 밭으로 사용 과실수 다수 전원주택 주말농장 추천</t>
        </is>
      </c>
      <c r="L2015" s="6">
        <f>HYPERLINK("https://fin.land.naver.com/articles/2649814560", "매물Link")</f>
        <v/>
      </c>
      <c r="M2015" s="6">
        <f>HYPERLINK("https://map.naver.com/p/search/세종특별자치시 나성동 829", "지도Link")</f>
        <v/>
      </c>
      <c r="N2015" s="6">
        <f>HYPERLINK("http://www.eum.go.kr/web/ar/lu/luLandDet.jsp?pnu=3611010700108290000&amp;isNoScr=script&amp;mode=search", "토지이음")</f>
        <v/>
      </c>
      <c r="O2015" s="3" t="inlineStr">
        <is>
          <t>두리</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세종특별자치시 나성동 829</t>
        </is>
      </c>
      <c r="B2016" s="3" t="inlineStr">
        <is>
          <t>중심상업지역</t>
        </is>
      </c>
      <c r="C2016" s="3" t="inlineStr">
        <is>
          <t>대</t>
        </is>
      </c>
      <c r="D2016" s="3" t="inlineStr">
        <is>
          <t>과수원</t>
        </is>
      </c>
      <c r="E2016" s="3" t="inlineStr">
        <is>
          <t>매매</t>
        </is>
      </c>
      <c r="F2016" s="4" t="n">
        <v>35000</v>
      </c>
      <c r="G2016" s="4" t="n">
        <v>6021</v>
      </c>
      <c r="H2016" s="4" t="n">
        <v>1821</v>
      </c>
      <c r="I2016" s="5" t="n">
        <v>19.2</v>
      </c>
      <c r="J2016" s="4" t="n">
        <v>747.8</v>
      </c>
      <c r="K2016" s="3" t="inlineStr">
        <is>
          <t>초정약수길인근 투자가치 좋은땅</t>
        </is>
      </c>
      <c r="L2016" s="6">
        <f>HYPERLINK("https://fin.land.naver.com/articles/2649822138", "매물Link")</f>
        <v/>
      </c>
      <c r="M2016" s="6">
        <f>HYPERLINK("https://map.naver.com/p/search/세종특별자치시 나성동 829", "지도Link")</f>
        <v/>
      </c>
      <c r="N2016" s="6">
        <f>HYPERLINK("http://www.eum.go.kr/web/ar/lu/luLandDet.jsp?pnu=3611010700108290000&amp;isNoScr=script&amp;mode=search", "토지이음")</f>
        <v/>
      </c>
      <c r="O2016" s="3" t="inlineStr">
        <is>
          <t>갑부</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세종특별자치시 나성동 829</t>
        </is>
      </c>
      <c r="B2017" s="3" t="inlineStr">
        <is>
          <t>중심상업지역</t>
        </is>
      </c>
      <c r="C2017" s="3" t="inlineStr">
        <is>
          <t>대</t>
        </is>
      </c>
      <c r="D2017" s="3" t="inlineStr">
        <is>
          <t>대</t>
        </is>
      </c>
      <c r="E2017" s="3" t="inlineStr">
        <is>
          <t>매매</t>
        </is>
      </c>
      <c r="F2017" s="4" t="n">
        <v>180000</v>
      </c>
      <c r="G2017" s="4" t="n">
        <v>4208</v>
      </c>
      <c r="H2017" s="4" t="n">
        <v>1273</v>
      </c>
      <c r="I2017" s="5" t="n">
        <v>141.4</v>
      </c>
      <c r="J2017" s="4" t="n">
        <v>747.8</v>
      </c>
      <c r="K2017" s="3" t="inlineStr">
        <is>
          <t>청주국제공항과 대형 산업단지의 중심</t>
        </is>
      </c>
      <c r="L2017" s="6">
        <f>HYPERLINK("https://fin.land.naver.com/articles/2648270530", "매물Link")</f>
        <v/>
      </c>
      <c r="M2017" s="6">
        <f>HYPERLINK("https://map.naver.com/p/search/세종특별자치시 나성동 829", "지도Link")</f>
        <v/>
      </c>
      <c r="N2017" s="6">
        <f>HYPERLINK("http://www.eum.go.kr/web/ar/lu/luLandDet.jsp?pnu=3611010700108290000&amp;isNoScr=script&amp;mode=search", "토지이음")</f>
        <v/>
      </c>
      <c r="O2017" s="3" t="inlineStr">
        <is>
          <t>신영</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세종특별자치시 나성동 829</t>
        </is>
      </c>
      <c r="B2018" s="3" t="inlineStr">
        <is>
          <t>중심상업지역</t>
        </is>
      </c>
      <c r="C2018" s="3" t="inlineStr">
        <is>
          <t>대</t>
        </is>
      </c>
      <c r="D2018" s="3" t="inlineStr">
        <is>
          <t>전</t>
        </is>
      </c>
      <c r="E2018" s="3" t="inlineStr">
        <is>
          <t>매매</t>
        </is>
      </c>
      <c r="F2018" s="4" t="n">
        <v>94000</v>
      </c>
      <c r="G2018" s="4" t="n">
        <v>4140</v>
      </c>
      <c r="H2018" s="4" t="n">
        <v>1252</v>
      </c>
      <c r="I2018" s="5" t="n">
        <v>75.09999999999999</v>
      </c>
      <c r="J2018" s="4" t="n">
        <v>747.8</v>
      </c>
      <c r="K2018" s="3" t="inlineStr">
        <is>
          <t>청주 북이면 신대리 대로변 계획관리 토지매매</t>
        </is>
      </c>
      <c r="L2018" s="6">
        <f>HYPERLINK("https://fin.land.naver.com/articles/2646084763", "매물Link")</f>
        <v/>
      </c>
      <c r="M2018" s="6">
        <f>HYPERLINK("https://map.naver.com/p/search/세종특별자치시 나성동 829", "지도Link")</f>
        <v/>
      </c>
      <c r="N2018" s="6">
        <f>HYPERLINK("http://www.eum.go.kr/web/ar/lu/luLandDet.jsp?pnu=3611010700108290000&amp;isNoScr=script&amp;mode=search", "토지이음")</f>
        <v/>
      </c>
      <c r="O2018" s="3" t="inlineStr">
        <is>
          <t>땅야박영수사무소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세종특별자치시 나성동 829</t>
        </is>
      </c>
      <c r="B2019" s="3" t="inlineStr">
        <is>
          <t>중심상업지역</t>
        </is>
      </c>
      <c r="C2019" s="3" t="inlineStr">
        <is>
          <t>대</t>
        </is>
      </c>
      <c r="D2019" s="3" t="inlineStr">
        <is>
          <t>답</t>
        </is>
      </c>
      <c r="E2019" s="3" t="inlineStr">
        <is>
          <t>매매</t>
        </is>
      </c>
      <c r="F2019" s="4" t="n">
        <v>36000</v>
      </c>
      <c r="G2019" s="4" t="n">
        <v>919</v>
      </c>
      <c r="H2019" s="4" t="n">
        <v>278</v>
      </c>
      <c r="I2019" s="5" t="n">
        <v>129.5</v>
      </c>
      <c r="J2019" s="4" t="n">
        <v>747.8</v>
      </c>
      <c r="K2019" s="3" t="inlineStr">
        <is>
          <t>nan</t>
        </is>
      </c>
      <c r="L2019" s="6">
        <f>HYPERLINK("https://fin.land.naver.com/articles/2645502028", "매물Link")</f>
        <v/>
      </c>
      <c r="M2019" s="6">
        <f>HYPERLINK("https://map.naver.com/p/search/세종특별자치시 나성동 829", "지도Link")</f>
        <v/>
      </c>
      <c r="N2019" s="6">
        <f>HYPERLINK("http://www.eum.go.kr/web/ar/lu/luLandDet.jsp?pnu=3611010700108290000&amp;isNoScr=script&amp;mode=search", "토지이음")</f>
        <v/>
      </c>
      <c r="O2019" s="3" t="inlineStr">
        <is>
          <t>규담무소</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세종특별자치시 나성동 829</t>
        </is>
      </c>
      <c r="B2020" s="3" t="inlineStr">
        <is>
          <t>중심상업지역</t>
        </is>
      </c>
      <c r="C2020" s="3" t="inlineStr">
        <is>
          <t>대</t>
        </is>
      </c>
      <c r="D2020" s="3" t="inlineStr">
        <is>
          <t>묘지</t>
        </is>
      </c>
      <c r="E2020" s="3" t="inlineStr">
        <is>
          <t>매매</t>
        </is>
      </c>
      <c r="F2020" s="4" t="n">
        <v>6500</v>
      </c>
      <c r="G2020" s="4" t="n">
        <v>539</v>
      </c>
      <c r="H2020" s="4" t="n">
        <v>163</v>
      </c>
      <c r="I2020" s="5" t="n">
        <v>39.9</v>
      </c>
      <c r="J2020" s="4" t="n">
        <v>747.8</v>
      </c>
      <c r="K2020" s="3" t="inlineStr">
        <is>
          <t>공주시내권 인근 세종과 접근성 좋은 저렴한 금액의 작은 토지</t>
        </is>
      </c>
      <c r="L2020" s="6">
        <f>HYPERLINK("https://fin.land.naver.com/articles/2649866838", "매물Link")</f>
        <v/>
      </c>
      <c r="M2020" s="6">
        <f>HYPERLINK("https://map.naver.com/p/search/세종특별자치시 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세종특별자치시 나성동 829</t>
        </is>
      </c>
      <c r="B2021" s="3" t="inlineStr">
        <is>
          <t>중심상업지역</t>
        </is>
      </c>
      <c r="C2021" s="3" t="inlineStr">
        <is>
          <t>대</t>
        </is>
      </c>
      <c r="D2021" s="3" t="inlineStr">
        <is>
          <t>전</t>
        </is>
      </c>
      <c r="E2021" s="3" t="inlineStr">
        <is>
          <t>매매</t>
        </is>
      </c>
      <c r="F2021" s="4" t="n">
        <v>28000</v>
      </c>
      <c r="G2021" s="4" t="n">
        <v>3785</v>
      </c>
      <c r="H2021" s="4" t="n">
        <v>1145</v>
      </c>
      <c r="I2021" s="5" t="n">
        <v>24.5</v>
      </c>
      <c r="J2021" s="4" t="n">
        <v>747.8</v>
      </c>
      <c r="K2021" s="3" t="inlineStr">
        <is>
          <t>세종과 공주시내 인접한 생활환경 및 접근성 좋은 도시지역 토지</t>
        </is>
      </c>
      <c r="L2021" s="6">
        <f>HYPERLINK("https://fin.land.naver.com/articles/2649891938", "매물Link")</f>
        <v/>
      </c>
      <c r="M2021" s="6">
        <f>HYPERLINK("https://map.naver.com/p/search/세종특별자치시 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세종특별자치시 나성동 829</t>
        </is>
      </c>
      <c r="B2022" s="3" t="inlineStr">
        <is>
          <t>중심상업지역</t>
        </is>
      </c>
      <c r="C2022" s="3" t="inlineStr">
        <is>
          <t>대</t>
        </is>
      </c>
      <c r="D2022" s="3" t="inlineStr">
        <is>
          <t>답</t>
        </is>
      </c>
      <c r="E2022" s="3" t="inlineStr">
        <is>
          <t>매매</t>
        </is>
      </c>
      <c r="F2022" s="4" t="n">
        <v>33700</v>
      </c>
      <c r="G2022" s="4" t="n">
        <v>4453</v>
      </c>
      <c r="H2022" s="4" t="n">
        <v>1347</v>
      </c>
      <c r="I2022" s="5" t="n">
        <v>25</v>
      </c>
      <c r="J2022" s="4" t="n">
        <v>747.8</v>
      </c>
      <c r="K2022" s="3" t="inlineStr">
        <is>
          <t>세종과 공주시내 인접, 생활환경 좋은 도시지역 토지</t>
        </is>
      </c>
      <c r="L2022" s="6">
        <f>HYPERLINK("https://fin.land.naver.com/articles/2649897996", "매물Link")</f>
        <v/>
      </c>
      <c r="M2022" s="6">
        <f>HYPERLINK("https://map.naver.com/p/search/세종특별자치시 나성동 829", "지도Link")</f>
        <v/>
      </c>
      <c r="N2022" s="6">
        <f>HYPERLINK("http://www.eum.go.kr/web/ar/lu/luLandDet.jsp?pnu=3611010700108290000&amp;isNoScr=script&amp;mode=search", "토지이음")</f>
        <v/>
      </c>
      <c r="O2022" s="3" t="inlineStr">
        <is>
          <t>흙사랑</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세종특별자치시 나성동 829</t>
        </is>
      </c>
      <c r="B2023" s="3" t="inlineStr">
        <is>
          <t>중심상업지역</t>
        </is>
      </c>
      <c r="C2023" s="3" t="inlineStr">
        <is>
          <t>대</t>
        </is>
      </c>
      <c r="D2023" s="3" t="inlineStr">
        <is>
          <t>전</t>
        </is>
      </c>
      <c r="E2023" s="3" t="inlineStr">
        <is>
          <t>매매</t>
        </is>
      </c>
      <c r="F2023" s="4" t="n">
        <v>30000</v>
      </c>
      <c r="G2023" s="4" t="n">
        <v>1438</v>
      </c>
      <c r="H2023" s="4" t="n">
        <v>435</v>
      </c>
      <c r="I2023" s="5" t="n">
        <v>69</v>
      </c>
      <c r="J2023" s="4" t="n">
        <v>747.8</v>
      </c>
      <c r="K2023" s="3" t="inlineStr">
        <is>
          <t>nan</t>
        </is>
      </c>
      <c r="L2023" s="6">
        <f>HYPERLINK("https://fin.land.naver.com/articles/2645082267", "매물Link")</f>
        <v/>
      </c>
      <c r="M2023" s="6">
        <f>HYPERLINK("https://map.naver.com/p/search/세종특별자치시 나성동 829", "지도Link")</f>
        <v/>
      </c>
      <c r="N2023" s="6">
        <f>HYPERLINK("http://www.eum.go.kr/web/ar/lu/luLandDet.jsp?pnu=3611010700108290000&amp;isNoScr=script&amp;mode=search", "토지이음")</f>
        <v/>
      </c>
      <c r="O2023" s="3" t="inlineStr">
        <is>
          <t>가온</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세종특별자치시 나성동 829</t>
        </is>
      </c>
      <c r="B2024" s="3" t="inlineStr">
        <is>
          <t>중심상업지역</t>
        </is>
      </c>
      <c r="C2024" s="3" t="inlineStr">
        <is>
          <t>대</t>
        </is>
      </c>
      <c r="D2024" s="3" t="inlineStr">
        <is>
          <t>전</t>
        </is>
      </c>
      <c r="E2024" s="3" t="inlineStr">
        <is>
          <t>매매</t>
        </is>
      </c>
      <c r="F2024" s="4" t="n">
        <v>5500</v>
      </c>
      <c r="G2024" s="4" t="n">
        <v>565</v>
      </c>
      <c r="H2024" s="4" t="n">
        <v>171</v>
      </c>
      <c r="I2024" s="5" t="n">
        <v>32.2</v>
      </c>
      <c r="J2024" s="4" t="n">
        <v>747.8</v>
      </c>
      <c r="K2024" s="3" t="inlineStr">
        <is>
          <t>농막용</t>
        </is>
      </c>
      <c r="L2024" s="6">
        <f>HYPERLINK("https://fin.land.naver.com/articles/2648619618", "매물Link")</f>
        <v/>
      </c>
      <c r="M2024" s="6">
        <f>HYPERLINK("https://map.naver.com/p/search/세종특별자치시 나성동 829", "지도Link")</f>
        <v/>
      </c>
      <c r="N2024" s="6">
        <f>HYPERLINK("http://www.eum.go.kr/web/ar/lu/luLandDet.jsp?pnu=3611010700108290000&amp;isNoScr=script&amp;mode=search", "토지이음")</f>
        <v/>
      </c>
      <c r="O2024" s="3" t="inlineStr">
        <is>
          <t>땅사랑</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세종특별자치시 나성동 829</t>
        </is>
      </c>
      <c r="B2025" s="3" t="inlineStr">
        <is>
          <t>중심상업지역</t>
        </is>
      </c>
      <c r="C2025" s="3" t="inlineStr">
        <is>
          <t>대</t>
        </is>
      </c>
      <c r="D2025" s="3" t="inlineStr">
        <is>
          <t>전</t>
        </is>
      </c>
      <c r="E2025" s="3" t="inlineStr">
        <is>
          <t>매매</t>
        </is>
      </c>
      <c r="F2025" s="4" t="n">
        <v>150000</v>
      </c>
      <c r="G2025" s="4" t="n">
        <v>3305</v>
      </c>
      <c r="H2025" s="4" t="n">
        <v>1000</v>
      </c>
      <c r="I2025" s="5" t="n">
        <v>150</v>
      </c>
      <c r="J2025" s="4" t="n">
        <v>747.8</v>
      </c>
      <c r="K2025" s="3" t="inlineStr">
        <is>
          <t>nan</t>
        </is>
      </c>
      <c r="L2025" s="6">
        <f>HYPERLINK("https://fin.land.naver.com/articles/2645105148", "매물Link")</f>
        <v/>
      </c>
      <c r="M2025" s="6">
        <f>HYPERLINK("https://map.naver.com/p/search/세종특별자치시 나성동 829", "지도Link")</f>
        <v/>
      </c>
      <c r="N2025" s="6">
        <f>HYPERLINK("http://www.eum.go.kr/web/ar/lu/luLandDet.jsp?pnu=3611010700108290000&amp;isNoScr=script&amp;mode=search", "토지이음")</f>
        <v/>
      </c>
      <c r="O2025" s="3" t="inlineStr">
        <is>
          <t>명성</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세종특별자치시 나성동 829</t>
        </is>
      </c>
      <c r="B2026" s="3" t="inlineStr">
        <is>
          <t>중심상업지역</t>
        </is>
      </c>
      <c r="C2026" s="3" t="inlineStr">
        <is>
          <t>대</t>
        </is>
      </c>
      <c r="D2026" s="3" t="inlineStr">
        <is>
          <t>전</t>
        </is>
      </c>
      <c r="E2026" s="3" t="inlineStr">
        <is>
          <t>매매</t>
        </is>
      </c>
      <c r="F2026" s="4" t="n">
        <v>25000</v>
      </c>
      <c r="G2026" s="4" t="n">
        <v>1026</v>
      </c>
      <c r="H2026" s="4" t="n">
        <v>310</v>
      </c>
      <c r="I2026" s="5" t="n">
        <v>80.59999999999999</v>
      </c>
      <c r="J2026" s="4" t="n">
        <v>747.8</v>
      </c>
      <c r="K2026" s="3" t="inlineStr">
        <is>
          <t>도로접 주택지</t>
        </is>
      </c>
      <c r="L2026" s="6">
        <f>HYPERLINK("https://fin.land.naver.com/articles/2647293167", "매물Link")</f>
        <v/>
      </c>
      <c r="M2026" s="6">
        <f>HYPERLINK("https://map.naver.com/p/search/세종특별자치시 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세종특별자치시 나성동 829</t>
        </is>
      </c>
      <c r="B2027" s="3" t="inlineStr">
        <is>
          <t>중심상업지역</t>
        </is>
      </c>
      <c r="C2027" s="3" t="inlineStr">
        <is>
          <t>대</t>
        </is>
      </c>
      <c r="D2027" s="3" t="inlineStr">
        <is>
          <t>대</t>
        </is>
      </c>
      <c r="E2027" s="3" t="inlineStr">
        <is>
          <t>매매</t>
        </is>
      </c>
      <c r="F2027" s="4" t="n">
        <v>26500</v>
      </c>
      <c r="G2027" s="4" t="n">
        <v>349</v>
      </c>
      <c r="H2027" s="4" t="n">
        <v>106</v>
      </c>
      <c r="I2027" s="5" t="n">
        <v>250</v>
      </c>
      <c r="J2027" s="4" t="n">
        <v>747.8</v>
      </c>
      <c r="K2027" s="3" t="inlineStr">
        <is>
          <t>대지</t>
        </is>
      </c>
      <c r="L2027" s="6">
        <f>HYPERLINK("https://fin.land.naver.com/articles/2647293558", "매물Link")</f>
        <v/>
      </c>
      <c r="M2027" s="6">
        <f>HYPERLINK("https://map.naver.com/p/search/세종특별자치시 나성동 829", "지도Link")</f>
        <v/>
      </c>
      <c r="N2027" s="6">
        <f>HYPERLINK("http://www.eum.go.kr/web/ar/lu/luLandDet.jsp?pnu=3611010700108290000&amp;isNoScr=script&amp;mode=search", "토지이음")</f>
        <v/>
      </c>
      <c r="O2027" s="3" t="inlineStr">
        <is>
          <t>공주114</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세종특별자치시 나성동 829</t>
        </is>
      </c>
      <c r="B2028" s="3" t="inlineStr">
        <is>
          <t>중심상업지역</t>
        </is>
      </c>
      <c r="C2028" s="3" t="inlineStr">
        <is>
          <t>대</t>
        </is>
      </c>
      <c r="D2028" s="3" t="inlineStr">
        <is>
          <t>전</t>
        </is>
      </c>
      <c r="E2028" s="3" t="inlineStr">
        <is>
          <t>매매</t>
        </is>
      </c>
      <c r="F2028" s="4" t="n">
        <v>31000</v>
      </c>
      <c r="G2028" s="4" t="n">
        <v>2986</v>
      </c>
      <c r="H2028" s="4" t="n">
        <v>903</v>
      </c>
      <c r="I2028" s="5" t="n">
        <v>34.3</v>
      </c>
      <c r="J2028" s="4" t="n">
        <v>747.8</v>
      </c>
      <c r="K2028" s="3" t="inlineStr">
        <is>
          <t>농지분담금없음,좌우도로,세종접근성,창고및주택</t>
        </is>
      </c>
      <c r="L2028" s="6">
        <f>HYPERLINK("https://fin.land.naver.com/articles/2648026299", "매물Link")</f>
        <v/>
      </c>
      <c r="M2028" s="6">
        <f>HYPERLINK("https://map.naver.com/p/search/세종특별자치시 나성동 829", "지도Link")</f>
        <v/>
      </c>
      <c r="N2028" s="6">
        <f>HYPERLINK("http://www.eum.go.kr/web/ar/lu/luLandDet.jsp?pnu=3611010700108290000&amp;isNoScr=script&amp;mode=search", "토지이음")</f>
        <v/>
      </c>
      <c r="O2028" s="3" t="inlineStr">
        <is>
          <t>백억사사무소</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세종특별자치시 나성동 829</t>
        </is>
      </c>
      <c r="B2029" s="3" t="inlineStr">
        <is>
          <t>중심상업지역</t>
        </is>
      </c>
      <c r="C2029" s="3" t="inlineStr">
        <is>
          <t>대</t>
        </is>
      </c>
      <c r="D2029" s="3" t="inlineStr">
        <is>
          <t>전</t>
        </is>
      </c>
      <c r="E2029" s="3" t="inlineStr">
        <is>
          <t>매매</t>
        </is>
      </c>
      <c r="F2029" s="4" t="n">
        <v>195000</v>
      </c>
      <c r="G2029" s="4" t="n">
        <v>99015</v>
      </c>
      <c r="H2029" s="4" t="n">
        <v>29952</v>
      </c>
      <c r="I2029" s="5" t="n">
        <v>6.5</v>
      </c>
      <c r="J2029" s="4" t="n">
        <v>747.8</v>
      </c>
      <c r="K2029" s="3" t="inlineStr">
        <is>
          <t>정부종합 청사 대전광역시인근. 연구소,수련원, 종합요양시설</t>
        </is>
      </c>
      <c r="L2029" s="6">
        <f>HYPERLINK("https://fin.land.naver.com/articles/2645239118", "매물Link")</f>
        <v/>
      </c>
      <c r="M2029" s="6">
        <f>HYPERLINK("https://map.naver.com/p/search/세종특별자치시 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세종특별자치시 나성동 829</t>
        </is>
      </c>
      <c r="B2030" s="3" t="inlineStr">
        <is>
          <t>중심상업지역</t>
        </is>
      </c>
      <c r="C2030" s="3" t="inlineStr">
        <is>
          <t>대</t>
        </is>
      </c>
      <c r="D2030" s="3" t="inlineStr">
        <is>
          <t>답</t>
        </is>
      </c>
      <c r="E2030" s="3" t="inlineStr">
        <is>
          <t>매매</t>
        </is>
      </c>
      <c r="F2030" s="4" t="n">
        <v>195000</v>
      </c>
      <c r="G2030" s="4" t="n">
        <v>4791</v>
      </c>
      <c r="H2030" s="4" t="n">
        <v>1449</v>
      </c>
      <c r="I2030" s="5" t="n">
        <v>134.6</v>
      </c>
      <c r="J2030" s="4" t="n">
        <v>747.8</v>
      </c>
      <c r="K2030" s="3" t="inlineStr">
        <is>
          <t>세종정부종합청사,대전광역시청 공주시청 인근,종합요양센터,물류창고부지 급매</t>
        </is>
      </c>
      <c r="L2030" s="6">
        <f>HYPERLINK("https://fin.land.naver.com/articles/2648935334", "매물Link")</f>
        <v/>
      </c>
      <c r="M2030" s="6">
        <f>HYPERLINK("https://map.naver.com/p/search/세종특별자치시 나성동 829", "지도Link")</f>
        <v/>
      </c>
      <c r="N2030" s="6">
        <f>HYPERLINK("http://www.eum.go.kr/web/ar/lu/luLandDet.jsp?pnu=3611010700108290000&amp;isNoScr=script&amp;mode=search", "토지이음")</f>
        <v/>
      </c>
      <c r="O2030" s="3" t="inlineStr">
        <is>
          <t>딸기(02-848-2300단지내)</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세종특별자치시 나성동 829</t>
        </is>
      </c>
      <c r="B2031" s="3" t="inlineStr">
        <is>
          <t>중심상업지역</t>
        </is>
      </c>
      <c r="C2031" s="3" t="inlineStr">
        <is>
          <t>대</t>
        </is>
      </c>
      <c r="D2031" s="3" t="inlineStr">
        <is>
          <t>대</t>
        </is>
      </c>
      <c r="E2031" s="3" t="inlineStr">
        <is>
          <t>매매</t>
        </is>
      </c>
      <c r="F2031" s="4" t="n">
        <v>10500</v>
      </c>
      <c r="G2031" s="4" t="n">
        <v>141</v>
      </c>
      <c r="H2031" s="4" t="n">
        <v>43</v>
      </c>
      <c r="I2031" s="5" t="n">
        <v>244.2</v>
      </c>
      <c r="J2031" s="4" t="n">
        <v>747.8</v>
      </c>
      <c r="K2031" s="3" t="inlineStr">
        <is>
          <t>nan</t>
        </is>
      </c>
      <c r="L2031" s="6">
        <f>HYPERLINK("https://fin.land.naver.com/articles/2646822475", "매물Link")</f>
        <v/>
      </c>
      <c r="M2031" s="6">
        <f>HYPERLINK("https://map.naver.com/p/search/세종특별자치시 나성동 829", "지도Link")</f>
        <v/>
      </c>
      <c r="N2031" s="6">
        <f>HYPERLINK("http://www.eum.go.kr/web/ar/lu/luLandDet.jsp?pnu=3611010700108290000&amp;isNoScr=script&amp;mode=search", "토지이음")</f>
        <v/>
      </c>
      <c r="O2031" s="3" t="inlineStr">
        <is>
          <t>시원</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세종특별자치시 나성동 829</t>
        </is>
      </c>
      <c r="B2032" s="3" t="inlineStr">
        <is>
          <t>중심상업지역</t>
        </is>
      </c>
      <c r="C2032" s="3" t="inlineStr">
        <is>
          <t>대</t>
        </is>
      </c>
      <c r="D2032" s="3" t="inlineStr">
        <is>
          <t>대</t>
        </is>
      </c>
      <c r="E2032" s="3" t="inlineStr">
        <is>
          <t>매매</t>
        </is>
      </c>
      <c r="F2032" s="4" t="n">
        <v>15000</v>
      </c>
      <c r="G2032" s="4" t="n">
        <v>133</v>
      </c>
      <c r="H2032" s="4" t="n">
        <v>40</v>
      </c>
      <c r="I2032" s="5" t="n">
        <v>375</v>
      </c>
      <c r="J2032" s="4" t="n">
        <v>747.8</v>
      </c>
      <c r="K2032" s="3" t="inlineStr">
        <is>
          <t>주택지매매</t>
        </is>
      </c>
      <c r="L2032" s="6">
        <f>HYPERLINK("https://fin.land.naver.com/articles/2647978102", "매물Link")</f>
        <v/>
      </c>
      <c r="M2032" s="6">
        <f>HYPERLINK("https://map.naver.com/p/search/세종특별자치시 나성동 829", "지도Link")</f>
        <v/>
      </c>
      <c r="N2032" s="6">
        <f>HYPERLINK("http://www.eum.go.kr/web/ar/lu/luLandDet.jsp?pnu=3611010700108290000&amp;isNoScr=script&amp;mode=search", "토지이음")</f>
        <v/>
      </c>
      <c r="O2032" s="3" t="inlineStr">
        <is>
          <t>스카이</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세종특별자치시 나성동 829</t>
        </is>
      </c>
      <c r="B2033" s="3" t="inlineStr">
        <is>
          <t>중심상업지역</t>
        </is>
      </c>
      <c r="C2033" s="3" t="inlineStr">
        <is>
          <t>대</t>
        </is>
      </c>
      <c r="D2033" s="3" t="inlineStr">
        <is>
          <t>임야</t>
        </is>
      </c>
      <c r="E2033" s="3" t="inlineStr">
        <is>
          <t>매매</t>
        </is>
      </c>
      <c r="F2033" s="4" t="n">
        <v>15000</v>
      </c>
      <c r="G2033" s="4" t="n">
        <v>2155</v>
      </c>
      <c r="H2033" s="4" t="n">
        <v>652</v>
      </c>
      <c r="I2033" s="5" t="n">
        <v>23</v>
      </c>
      <c r="J2033" s="4" t="n">
        <v>747.8</v>
      </c>
      <c r="K2033" s="3" t="inlineStr">
        <is>
          <t>nan</t>
        </is>
      </c>
      <c r="L2033" s="6">
        <f>HYPERLINK("https://fin.land.naver.com/articles/2649860371", "매물Link")</f>
        <v/>
      </c>
      <c r="M2033" s="6">
        <f>HYPERLINK("https://map.naver.com/p/search/세종특별자치시 나성동 829", "지도Link")</f>
        <v/>
      </c>
      <c r="N2033" s="6">
        <f>HYPERLINK("http://www.eum.go.kr/web/ar/lu/luLandDet.jsp?pnu=3611010700108290000&amp;isNoScr=script&amp;mode=search", "토지이음")</f>
        <v/>
      </c>
      <c r="O2033" s="3" t="inlineStr">
        <is>
          <t>흙사랑</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세종특별자치시 나성동 829</t>
        </is>
      </c>
      <c r="B2034" s="3" t="inlineStr">
        <is>
          <t>중심상업지역</t>
        </is>
      </c>
      <c r="C2034" s="3" t="inlineStr">
        <is>
          <t>대</t>
        </is>
      </c>
      <c r="D2034" s="3" t="inlineStr">
        <is>
          <t>전</t>
        </is>
      </c>
      <c r="E2034" s="3" t="inlineStr">
        <is>
          <t>매매</t>
        </is>
      </c>
      <c r="F2034" s="4" t="n">
        <v>167530</v>
      </c>
      <c r="G2034" s="4" t="n">
        <v>5034</v>
      </c>
      <c r="H2034" s="4" t="n">
        <v>1523</v>
      </c>
      <c r="I2034" s="5" t="n">
        <v>110</v>
      </c>
      <c r="J2034" s="4" t="n">
        <v>747.8</v>
      </c>
      <c r="K2034" s="3" t="inlineStr">
        <is>
          <t>2차선 도로에 공장.창고부지. 계획관리</t>
        </is>
      </c>
      <c r="L2034" s="6">
        <f>HYPERLINK("https://fin.land.naver.com/articles/2644286143", "매물Link")</f>
        <v/>
      </c>
      <c r="M2034" s="6">
        <f>HYPERLINK("https://map.naver.com/p/search/세종특별자치시 나성동 829", "지도Link")</f>
        <v/>
      </c>
      <c r="N2034" s="6">
        <f>HYPERLINK("http://www.eum.go.kr/web/ar/lu/luLandDet.jsp?pnu=3611010700108290000&amp;isNoScr=script&amp;mode=search", "토지이음")</f>
        <v/>
      </c>
      <c r="O2034" s="3" t="inlineStr">
        <is>
          <t>명당</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세종특별자치시 나성동 829</t>
        </is>
      </c>
      <c r="B2035" s="3" t="inlineStr">
        <is>
          <t>중심상업지역</t>
        </is>
      </c>
      <c r="C2035" s="3" t="inlineStr">
        <is>
          <t>대</t>
        </is>
      </c>
      <c r="D2035" s="3" t="inlineStr">
        <is>
          <t>대</t>
        </is>
      </c>
      <c r="E2035" s="3" t="inlineStr">
        <is>
          <t>매매</t>
        </is>
      </c>
      <c r="F2035" s="4" t="n">
        <v>18870</v>
      </c>
      <c r="G2035" s="4" t="n">
        <v>831</v>
      </c>
      <c r="H2035" s="4" t="n">
        <v>251</v>
      </c>
      <c r="I2035" s="5" t="n">
        <v>75.2</v>
      </c>
      <c r="J2035" s="4" t="n">
        <v>747.8</v>
      </c>
      <c r="K2035" s="3" t="inlineStr">
        <is>
          <t>교통,주변 여가,힐링 전원풍경 두루갖춘 가성비 좋은 전원주택지
교통,주</t>
        </is>
      </c>
      <c r="L2035" s="6">
        <f>HYPERLINK("https://fin.land.naver.com/articles/2644497391", "매물Link")</f>
        <v/>
      </c>
      <c r="M2035" s="6">
        <f>HYPERLINK("https://map.naver.com/p/search/세종특별자치시 나성동 829", "지도Link")</f>
        <v/>
      </c>
      <c r="N2035" s="6">
        <f>HYPERLINK("http://www.eum.go.kr/web/ar/lu/luLandDet.jsp?pnu=3611010700108290000&amp;isNoScr=script&amp;mode=search", "토지이음")</f>
        <v/>
      </c>
      <c r="O2035" s="3" t="inlineStr">
        <is>
          <t>좋은선택</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세종특별자치시 나성동 829</t>
        </is>
      </c>
      <c r="B2036" s="3" t="inlineStr">
        <is>
          <t>중심상업지역</t>
        </is>
      </c>
      <c r="C2036" s="3" t="inlineStr">
        <is>
          <t>대</t>
        </is>
      </c>
      <c r="D2036" s="3" t="inlineStr">
        <is>
          <t>임야</t>
        </is>
      </c>
      <c r="E2036" s="3" t="inlineStr">
        <is>
          <t>매매</t>
        </is>
      </c>
      <c r="F2036" s="4" t="n">
        <v>23000</v>
      </c>
      <c r="G2036" s="4" t="n">
        <v>25785</v>
      </c>
      <c r="H2036" s="4" t="n">
        <v>7800</v>
      </c>
      <c r="I2036" s="5" t="n">
        <v>2.9</v>
      </c>
      <c r="J2036" s="4" t="n">
        <v>747.8</v>
      </c>
      <c r="K2036" s="3" t="inlineStr">
        <is>
          <t>도시지역,자연녹지지역</t>
        </is>
      </c>
      <c r="L2036" s="6">
        <f>HYPERLINK("https://fin.land.naver.com/articles/2650204729", "매물Link")</f>
        <v/>
      </c>
      <c r="M2036" s="6">
        <f>HYPERLINK("https://map.naver.com/p/search/세종특별자치시 나성동 829", "지도Link")</f>
        <v/>
      </c>
      <c r="N2036" s="6">
        <f>HYPERLINK("http://www.eum.go.kr/web/ar/lu/luLandDet.jsp?pnu=3611010700108290000&amp;isNoScr=script&amp;mode=search", "토지이음")</f>
        <v/>
      </c>
      <c r="O2036" s="3" t="inlineStr">
        <is>
          <t>세종힐데스</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세종특별자치시 나성동 829</t>
        </is>
      </c>
      <c r="B2037" s="3" t="inlineStr">
        <is>
          <t>중심상업지역</t>
        </is>
      </c>
      <c r="C2037" s="3" t="inlineStr">
        <is>
          <t>대</t>
        </is>
      </c>
      <c r="D2037" s="3" t="inlineStr">
        <is>
          <t>답</t>
        </is>
      </c>
      <c r="E2037" s="3" t="inlineStr">
        <is>
          <t>매매</t>
        </is>
      </c>
      <c r="F2037" s="4" t="n">
        <v>39000</v>
      </c>
      <c r="G2037" s="4" t="n">
        <v>2330</v>
      </c>
      <c r="H2037" s="4" t="n">
        <v>705</v>
      </c>
      <c r="I2037" s="5" t="n">
        <v>55.3</v>
      </c>
      <c r="J2037" s="4" t="n">
        <v>747.8</v>
      </c>
      <c r="K2037" s="3" t="inlineStr">
        <is>
          <t>nan</t>
        </is>
      </c>
      <c r="L2037" s="6">
        <f>HYPERLINK("https://fin.land.naver.com/articles/2647602517", "매물Link")</f>
        <v/>
      </c>
      <c r="M2037" s="6">
        <f>HYPERLINK("https://map.naver.com/p/search/세종특별자치시 나성동 829", "지도Link")</f>
        <v/>
      </c>
      <c r="N2037" s="6">
        <f>HYPERLINK("http://www.eum.go.kr/web/ar/lu/luLandDet.jsp?pnu=3611010700108290000&amp;isNoScr=script&amp;mode=search", "토지이음")</f>
        <v/>
      </c>
      <c r="O2037" s="3" t="inlineStr">
        <is>
          <t>미르</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세종특별자치시 나성동 829</t>
        </is>
      </c>
      <c r="B2038" s="3" t="inlineStr">
        <is>
          <t>중심상업지역</t>
        </is>
      </c>
      <c r="C2038" s="3" t="inlineStr">
        <is>
          <t>대</t>
        </is>
      </c>
      <c r="D2038" s="3" t="inlineStr">
        <is>
          <t>답</t>
        </is>
      </c>
      <c r="E2038" s="3" t="inlineStr">
        <is>
          <t>매매</t>
        </is>
      </c>
      <c r="F2038" s="4" t="n">
        <v>2500</v>
      </c>
      <c r="G2038" s="4" t="n">
        <v>261</v>
      </c>
      <c r="H2038" s="4" t="n">
        <v>79</v>
      </c>
      <c r="I2038" s="5" t="n">
        <v>31.6</v>
      </c>
      <c r="J2038" s="4" t="n">
        <v>747.8</v>
      </c>
      <c r="K2038" s="3" t="inlineStr">
        <is>
          <t>도로수용후남는삼각형땅</t>
        </is>
      </c>
      <c r="L2038" s="6">
        <f>HYPERLINK("https://fin.land.naver.com/articles/2647437233", "매물Link")</f>
        <v/>
      </c>
      <c r="M2038" s="6">
        <f>HYPERLINK("https://map.naver.com/p/search/세종특별자치시 나성동 829", "지도Link")</f>
        <v/>
      </c>
      <c r="N2038" s="6">
        <f>HYPERLINK("http://www.eum.go.kr/web/ar/lu/luLandDet.jsp?pnu=3611010700108290000&amp;isNoScr=script&amp;mode=search", "토지이음")</f>
        <v/>
      </c>
      <c r="O2038" s="3" t="inlineStr">
        <is>
          <t>공주신세계</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세종특별자치시 나성동 829</t>
        </is>
      </c>
      <c r="B2039" s="3" t="inlineStr">
        <is>
          <t>중심상업지역</t>
        </is>
      </c>
      <c r="C2039" s="3" t="inlineStr">
        <is>
          <t>대</t>
        </is>
      </c>
      <c r="D2039" s="3" t="inlineStr">
        <is>
          <t>답</t>
        </is>
      </c>
      <c r="E2039" s="3" t="inlineStr">
        <is>
          <t>매매</t>
        </is>
      </c>
      <c r="F2039" s="4" t="n">
        <v>55080</v>
      </c>
      <c r="G2039" s="4" t="n">
        <v>3035</v>
      </c>
      <c r="H2039" s="4" t="n">
        <v>918</v>
      </c>
      <c r="I2039" s="5" t="n">
        <v>60</v>
      </c>
      <c r="J2039" s="4" t="n">
        <v>747.8</v>
      </c>
      <c r="K2039" s="3" t="inlineStr">
        <is>
          <t>nan</t>
        </is>
      </c>
      <c r="L2039" s="6">
        <f>HYPERLINK("https://fin.land.naver.com/articles/2644558121", "매물Link")</f>
        <v/>
      </c>
      <c r="M2039" s="6">
        <f>HYPERLINK("https://map.naver.com/p/search/세종특별자치시 나성동 829", "지도Link")</f>
        <v/>
      </c>
      <c r="N2039" s="6">
        <f>HYPERLINK("http://www.eum.go.kr/web/ar/lu/luLandDet.jsp?pnu=3611010700108290000&amp;isNoScr=script&amp;mode=search", "토지이음")</f>
        <v/>
      </c>
      <c r="O2039" s="3" t="inlineStr">
        <is>
          <t>나래</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세종특별자치시 나성동 829</t>
        </is>
      </c>
      <c r="B2040" s="3" t="inlineStr">
        <is>
          <t>중심상업지역</t>
        </is>
      </c>
      <c r="C2040" s="3" t="inlineStr">
        <is>
          <t>대</t>
        </is>
      </c>
      <c r="D2040" s="3" t="inlineStr">
        <is>
          <t>답</t>
        </is>
      </c>
      <c r="E2040" s="3" t="inlineStr">
        <is>
          <t>매매</t>
        </is>
      </c>
      <c r="F2040" s="4" t="n">
        <v>10000</v>
      </c>
      <c r="G2040" s="4" t="n">
        <v>410</v>
      </c>
      <c r="H2040" s="4" t="n">
        <v>124</v>
      </c>
      <c r="I2040" s="5" t="n">
        <v>80.59999999999999</v>
      </c>
      <c r="J2040" s="4" t="n">
        <v>747.8</v>
      </c>
      <c r="K2040" s="3" t="inlineStr">
        <is>
          <t>전기,수도,정화조등 기반시설이 준비 된 계획관리 토지</t>
        </is>
      </c>
      <c r="L2040" s="6">
        <f>HYPERLINK("https://fin.land.naver.com/articles/2649868930", "매물Link")</f>
        <v/>
      </c>
      <c r="M2040" s="6">
        <f>HYPERLINK("https://map.naver.com/p/search/세종특별자치시 나성동 829", "지도Link")</f>
        <v/>
      </c>
      <c r="N2040" s="6">
        <f>HYPERLINK("http://www.eum.go.kr/web/ar/lu/luLandDet.jsp?pnu=3611010700108290000&amp;isNoScr=script&amp;mode=search", "토지이음")</f>
        <v/>
      </c>
      <c r="O2040" s="3" t="inlineStr">
        <is>
          <t>흙사랑</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세종특별자치시 나성동 829</t>
        </is>
      </c>
      <c r="B2041" s="3" t="inlineStr">
        <is>
          <t>중심상업지역</t>
        </is>
      </c>
      <c r="C2041" s="3" t="inlineStr">
        <is>
          <t>대</t>
        </is>
      </c>
      <c r="D2041" s="3" t="inlineStr">
        <is>
          <t>전</t>
        </is>
      </c>
      <c r="E2041" s="3" t="inlineStr">
        <is>
          <t>매매</t>
        </is>
      </c>
      <c r="F2041" s="4" t="n">
        <v>11800</v>
      </c>
      <c r="G2041" s="4" t="n">
        <v>727</v>
      </c>
      <c r="H2041" s="4" t="n">
        <v>220</v>
      </c>
      <c r="I2041" s="5" t="n">
        <v>53.6</v>
      </c>
      <c r="J2041" s="4" t="n">
        <v>747.8</v>
      </c>
      <c r="K2041" s="3" t="inlineStr">
        <is>
          <t>전기, 수도, 농막등 모두 갖추어진 계획관리 주말주택</t>
        </is>
      </c>
      <c r="L2041" s="6">
        <f>HYPERLINK("https://fin.land.naver.com/articles/2649874111", "매물Link")</f>
        <v/>
      </c>
      <c r="M2041" s="6">
        <f>HYPERLINK("https://map.naver.com/p/search/세종특별자치시 나성동 829", "지도Link")</f>
        <v/>
      </c>
      <c r="N2041" s="6">
        <f>HYPERLINK("http://www.eum.go.kr/web/ar/lu/luLandDet.jsp?pnu=3611010700108290000&amp;isNoScr=script&amp;mode=search", "토지이음")</f>
        <v/>
      </c>
      <c r="O2041" s="3" t="inlineStr">
        <is>
          <t>흙사랑</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세종특별자치시 나성동 829</t>
        </is>
      </c>
      <c r="B2042" s="3" t="inlineStr">
        <is>
          <t>중심상업지역</t>
        </is>
      </c>
      <c r="C2042" s="3" t="inlineStr">
        <is>
          <t>대</t>
        </is>
      </c>
      <c r="D2042" s="3" t="inlineStr">
        <is>
          <t>전</t>
        </is>
      </c>
      <c r="E2042" s="3" t="inlineStr">
        <is>
          <t>매매</t>
        </is>
      </c>
      <c r="F2042" s="4" t="n">
        <v>11000</v>
      </c>
      <c r="G2042" s="4" t="n">
        <v>1322</v>
      </c>
      <c r="H2042" s="4" t="n">
        <v>400</v>
      </c>
      <c r="I2042" s="5" t="n">
        <v>27.5</v>
      </c>
      <c r="J2042" s="4" t="n">
        <v>747.8</v>
      </c>
      <c r="K2042" s="3" t="inlineStr">
        <is>
          <t>주말농장에 적합한 농막 포함된 생산관리지역 농지(전)</t>
        </is>
      </c>
      <c r="L2042" s="6">
        <f>HYPERLINK("https://fin.land.naver.com/articles/2645526202", "매물Link")</f>
        <v/>
      </c>
      <c r="M2042" s="6">
        <f>HYPERLINK("https://map.naver.com/p/search/세종특별자치시 나성동 829", "지도Link")</f>
        <v/>
      </c>
      <c r="N2042" s="6">
        <f>HYPERLINK("http://www.eum.go.kr/web/ar/lu/luLandDet.jsp?pnu=3611010700108290000&amp;isNoScr=script&amp;mode=search", "토지이음")</f>
        <v/>
      </c>
      <c r="O2042" s="3" t="inlineStr">
        <is>
          <t>랜드맥스</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세종특별자치시 나성동 829</t>
        </is>
      </c>
      <c r="B2043" s="3" t="inlineStr">
        <is>
          <t>중심상업지역</t>
        </is>
      </c>
      <c r="C2043" s="3" t="inlineStr">
        <is>
          <t>대</t>
        </is>
      </c>
      <c r="D2043" s="3" t="inlineStr">
        <is>
          <t>임야</t>
        </is>
      </c>
      <c r="E2043" s="3" t="inlineStr">
        <is>
          <t>매매</t>
        </is>
      </c>
      <c r="F2043" s="4" t="n">
        <v>150000</v>
      </c>
      <c r="G2043" s="4" t="n">
        <v>38701</v>
      </c>
      <c r="H2043" s="4" t="n">
        <v>11707</v>
      </c>
      <c r="I2043" s="5" t="n">
        <v>12.8</v>
      </c>
      <c r="J2043" s="4" t="n">
        <v>747.8</v>
      </c>
      <c r="K2043" s="3" t="inlineStr">
        <is>
          <t>nan</t>
        </is>
      </c>
      <c r="L2043" s="6">
        <f>HYPERLINK("https://fin.land.naver.com/articles/2645947582", "매물Link")</f>
        <v/>
      </c>
      <c r="M2043" s="6">
        <f>HYPERLINK("https://map.naver.com/p/search/세종특별자치시 나성동 829", "지도Link")</f>
        <v/>
      </c>
      <c r="N2043" s="6">
        <f>HYPERLINK("http://www.eum.go.kr/web/ar/lu/luLandDet.jsp?pnu=3611010700108290000&amp;isNoScr=script&amp;mode=search", "토지이음")</f>
        <v/>
      </c>
      <c r="O2043" s="3" t="inlineStr">
        <is>
          <t>가온</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세종특별자치시 나성동 829</t>
        </is>
      </c>
      <c r="B2044" s="3" t="inlineStr">
        <is>
          <t>중심상업지역</t>
        </is>
      </c>
      <c r="C2044" s="3" t="inlineStr">
        <is>
          <t>대</t>
        </is>
      </c>
      <c r="D2044" s="3" t="inlineStr">
        <is>
          <t>대</t>
        </is>
      </c>
      <c r="E2044" s="3" t="inlineStr">
        <is>
          <t>매매</t>
        </is>
      </c>
      <c r="F2044" s="4" t="n">
        <v>67000</v>
      </c>
      <c r="G2044" s="4" t="n">
        <v>1828</v>
      </c>
      <c r="H2044" s="4" t="n">
        <v>553</v>
      </c>
      <c r="I2044" s="5" t="n">
        <v>121.2</v>
      </c>
      <c r="J2044" s="4" t="n">
        <v>747.8</v>
      </c>
      <c r="K2044" s="3" t="inlineStr">
        <is>
          <t>이인면내위치,저렴,대로변,자연취락지구</t>
        </is>
      </c>
      <c r="L2044" s="6">
        <f>HYPERLINK("https://fin.land.naver.com/articles/2646406285", "매물Link")</f>
        <v/>
      </c>
      <c r="M2044" s="6">
        <f>HYPERLINK("https://map.naver.com/p/search/세종특별자치시 나성동 829", "지도Link")</f>
        <v/>
      </c>
      <c r="N2044" s="6">
        <f>HYPERLINK("http://www.eum.go.kr/web/ar/lu/luLandDet.jsp?pnu=3611010700108290000&amp;isNoScr=script&amp;mode=search", "토지이음")</f>
        <v/>
      </c>
      <c r="O2044" s="3" t="inlineStr">
        <is>
          <t>명동</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세종특별자치시 나성동 829</t>
        </is>
      </c>
      <c r="B2045" s="3" t="inlineStr">
        <is>
          <t>중심상업지역</t>
        </is>
      </c>
      <c r="C2045" s="3" t="inlineStr">
        <is>
          <t>대</t>
        </is>
      </c>
      <c r="D2045" s="3" t="inlineStr">
        <is>
          <t>전</t>
        </is>
      </c>
      <c r="E2045" s="3" t="inlineStr">
        <is>
          <t>매매</t>
        </is>
      </c>
      <c r="F2045" s="4" t="n">
        <v>7600</v>
      </c>
      <c r="G2045" s="4" t="n">
        <v>2096</v>
      </c>
      <c r="H2045" s="4" t="n">
        <v>634</v>
      </c>
      <c r="I2045" s="5" t="n">
        <v>12</v>
      </c>
      <c r="J2045" s="4" t="n">
        <v>747.8</v>
      </c>
      <c r="K2045" s="3" t="inlineStr">
        <is>
          <t>nan</t>
        </is>
      </c>
      <c r="L2045" s="6">
        <f>HYPERLINK("https://fin.land.naver.com/articles/2647186162", "매물Link")</f>
        <v/>
      </c>
      <c r="M2045" s="6">
        <f>HYPERLINK("https://map.naver.com/p/search/세종특별자치시 나성동 829", "지도Link")</f>
        <v/>
      </c>
      <c r="N2045" s="6">
        <f>HYPERLINK("http://www.eum.go.kr/web/ar/lu/luLandDet.jsp?pnu=3611010700108290000&amp;isNoScr=script&amp;mode=search", "토지이음")</f>
        <v/>
      </c>
      <c r="O2045" s="3" t="inlineStr">
        <is>
          <t>중흥</t>
        </is>
      </c>
      <c r="P2045" s="3" t="n">
        <v>1</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세종특별자치시 나성동 829</t>
        </is>
      </c>
      <c r="B2046" s="3" t="inlineStr">
        <is>
          <t>중심상업지역</t>
        </is>
      </c>
      <c r="C2046" s="3" t="inlineStr">
        <is>
          <t>대</t>
        </is>
      </c>
      <c r="D2046" s="3" t="inlineStr">
        <is>
          <t>답</t>
        </is>
      </c>
      <c r="E2046" s="3" t="inlineStr">
        <is>
          <t>매매</t>
        </is>
      </c>
      <c r="F2046" s="4" t="n">
        <v>26900</v>
      </c>
      <c r="G2046" s="4" t="n">
        <v>4443</v>
      </c>
      <c r="H2046" s="4" t="n">
        <v>1344</v>
      </c>
      <c r="I2046" s="5" t="n">
        <v>20</v>
      </c>
      <c r="J2046" s="4" t="n">
        <v>747.8</v>
      </c>
      <c r="K2046" s="3" t="inlineStr">
        <is>
          <t>민가와 떨어져 민원소지 적을듯한 산아래 캠핑장 부지</t>
        </is>
      </c>
      <c r="L2046" s="6">
        <f>HYPERLINK("https://fin.land.naver.com/articles/2649837797", "매물Link")</f>
        <v/>
      </c>
      <c r="M2046" s="6">
        <f>HYPERLINK("https://map.naver.com/p/search/세종특별자치시 나성동 829", "지도Link")</f>
        <v/>
      </c>
      <c r="N2046" s="6">
        <f>HYPERLINK("http://www.eum.go.kr/web/ar/lu/luLandDet.jsp?pnu=3611010700108290000&amp;isNoScr=script&amp;mode=search", "토지이음")</f>
        <v/>
      </c>
      <c r="O2046" s="3" t="inlineStr">
        <is>
          <t>흙사랑</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세종특별자치시 나성동 829</t>
        </is>
      </c>
      <c r="B2047" s="3" t="inlineStr">
        <is>
          <t>중심상업지역</t>
        </is>
      </c>
      <c r="C2047" s="3" t="inlineStr">
        <is>
          <t>대</t>
        </is>
      </c>
      <c r="D2047" s="3" t="inlineStr">
        <is>
          <t>임야</t>
        </is>
      </c>
      <c r="E2047" s="3" t="inlineStr">
        <is>
          <t>매매</t>
        </is>
      </c>
      <c r="F2047" s="4" t="n">
        <v>300000</v>
      </c>
      <c r="G2047" s="4" t="n">
        <v>372386</v>
      </c>
      <c r="H2047" s="4" t="n">
        <v>112647</v>
      </c>
      <c r="I2047" s="5" t="n">
        <v>2.7</v>
      </c>
      <c r="J2047" s="4" t="n">
        <v>747.8</v>
      </c>
      <c r="K2047" s="3" t="inlineStr">
        <is>
          <t>도로접한 임야로 약11만평정도이며 골프장 추천함</t>
        </is>
      </c>
      <c r="L2047" s="6">
        <f>HYPERLINK("https://fin.land.naver.com/articles/2647598145", "매물Link")</f>
        <v/>
      </c>
      <c r="M2047" s="6">
        <f>HYPERLINK("https://map.naver.com/p/search/세종특별자치시 나성동 829", "지도Link")</f>
        <v/>
      </c>
      <c r="N2047" s="6">
        <f>HYPERLINK("http://www.eum.go.kr/web/ar/lu/luLandDet.jsp?pnu=3611010700108290000&amp;isNoScr=script&amp;mode=search", "토지이음")</f>
        <v/>
      </c>
      <c r="O2047" s="3" t="inlineStr">
        <is>
          <t>삼익</t>
        </is>
      </c>
      <c r="P2047" s="3" t="n">
        <v>2</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세종특별자치시 나성동 829</t>
        </is>
      </c>
      <c r="B2048" s="3" t="inlineStr">
        <is>
          <t>중심상업지역</t>
        </is>
      </c>
      <c r="C2048" s="3" t="inlineStr">
        <is>
          <t>대</t>
        </is>
      </c>
      <c r="D2048" s="3" t="inlineStr">
        <is>
          <t>전</t>
        </is>
      </c>
      <c r="E2048" s="3" t="inlineStr">
        <is>
          <t>매매</t>
        </is>
      </c>
      <c r="F2048" s="4" t="n">
        <v>70000</v>
      </c>
      <c r="G2048" s="4" t="n">
        <v>16808</v>
      </c>
      <c r="H2048" s="4" t="n">
        <v>5084</v>
      </c>
      <c r="I2048" s="5" t="n">
        <v>13.8</v>
      </c>
      <c r="J2048" s="4" t="n">
        <v>747.8</v>
      </c>
      <c r="K2048" s="3" t="inlineStr">
        <is>
          <t>현재 축사(노후됨)이나 전원주택 등으로 추천</t>
        </is>
      </c>
      <c r="L2048" s="6">
        <f>HYPERLINK("https://fin.land.naver.com/articles/2648634108", "매물Link")</f>
        <v/>
      </c>
      <c r="M2048" s="6">
        <f>HYPERLINK("https://map.naver.com/p/search/세종특별자치시 나성동 829", "지도Link")</f>
        <v/>
      </c>
      <c r="N2048" s="6">
        <f>HYPERLINK("http://www.eum.go.kr/web/ar/lu/luLandDet.jsp?pnu=3611010700108290000&amp;isNoScr=script&amp;mode=search", "토지이음")</f>
        <v/>
      </c>
      <c r="O2048" s="3" t="inlineStr">
        <is>
          <t>백제</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세종특별자치시 나성동 829</t>
        </is>
      </c>
      <c r="B2049" s="3" t="inlineStr">
        <is>
          <t>중심상업지역</t>
        </is>
      </c>
      <c r="C2049" s="3" t="inlineStr">
        <is>
          <t>대</t>
        </is>
      </c>
      <c r="D2049" s="3" t="inlineStr">
        <is>
          <t>전</t>
        </is>
      </c>
      <c r="E2049" s="3" t="inlineStr">
        <is>
          <t>매매</t>
        </is>
      </c>
      <c r="F2049" s="4" t="n">
        <v>11000</v>
      </c>
      <c r="G2049" s="4" t="n">
        <v>3597</v>
      </c>
      <c r="H2049" s="4" t="n">
        <v>1088</v>
      </c>
      <c r="I2049" s="5" t="n">
        <v>10.1</v>
      </c>
      <c r="J2049" s="4" t="n">
        <v>747.8</v>
      </c>
      <c r="K2049" s="3" t="inlineStr">
        <is>
          <t>본 토지는 계획관리 지역이며 농장 하실분 접합</t>
        </is>
      </c>
      <c r="L2049" s="6">
        <f>HYPERLINK("https://fin.land.naver.com/articles/2649539270", "매물Link")</f>
        <v/>
      </c>
      <c r="M2049" s="6">
        <f>HYPERLINK("https://map.naver.com/p/search/세종특별자치시 나성동 829", "지도Link")</f>
        <v/>
      </c>
      <c r="N2049" s="6">
        <f>HYPERLINK("http://www.eum.go.kr/web/ar/lu/luLandDet.jsp?pnu=3611010700108290000&amp;isNoScr=script&amp;mode=search", "토지이음")</f>
        <v/>
      </c>
      <c r="O2049" s="3" t="inlineStr">
        <is>
          <t>마당발</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세종특별자치시 나성동 829</t>
        </is>
      </c>
      <c r="B2050" s="3" t="inlineStr">
        <is>
          <t>중심상업지역</t>
        </is>
      </c>
      <c r="C2050" s="3" t="inlineStr">
        <is>
          <t>대</t>
        </is>
      </c>
      <c r="D2050" s="3" t="inlineStr">
        <is>
          <t>답</t>
        </is>
      </c>
      <c r="E2050" s="3" t="inlineStr">
        <is>
          <t>매매</t>
        </is>
      </c>
      <c r="F2050" s="4" t="n">
        <v>22000</v>
      </c>
      <c r="G2050" s="4" t="n">
        <v>2257</v>
      </c>
      <c r="H2050" s="4" t="n">
        <v>683</v>
      </c>
      <c r="I2050" s="5" t="n">
        <v>32.2</v>
      </c>
      <c r="J2050" s="4" t="n">
        <v>747.8</v>
      </c>
      <c r="K2050" s="3" t="inlineStr">
        <is>
          <t>공주시 이인면 주봉교차로 인근 주봉초등학교 경계에 접해있는 
토지매매</t>
        </is>
      </c>
      <c r="L2050" s="6">
        <f>HYPERLINK("https://fin.land.naver.com/articles/2650202945", "매물Link")</f>
        <v/>
      </c>
      <c r="M2050" s="6">
        <f>HYPERLINK("https://map.naver.com/p/search/세종특별자치시 나성동 829", "지도Link")</f>
        <v/>
      </c>
      <c r="N2050" s="6">
        <f>HYPERLINK("http://www.eum.go.kr/web/ar/lu/luLandDet.jsp?pnu=3611010700108290000&amp;isNoScr=script&amp;mode=search", "토지이음")</f>
        <v/>
      </c>
      <c r="O2050" s="3" t="inlineStr">
        <is>
          <t>세종공주노심종사무소</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세종특별자치시 나성동 829</t>
        </is>
      </c>
      <c r="B2051" s="3" t="inlineStr">
        <is>
          <t>중심상업지역</t>
        </is>
      </c>
      <c r="C2051" s="3" t="inlineStr">
        <is>
          <t>대</t>
        </is>
      </c>
      <c r="D2051" s="3" t="inlineStr">
        <is>
          <t>임야</t>
        </is>
      </c>
      <c r="E2051" s="3" t="inlineStr">
        <is>
          <t>매매</t>
        </is>
      </c>
      <c r="F2051" s="4" t="n">
        <v>10000</v>
      </c>
      <c r="G2051" s="4" t="n">
        <v>877</v>
      </c>
      <c r="H2051" s="4" t="n">
        <v>265</v>
      </c>
      <c r="I2051" s="5" t="n">
        <v>37.7</v>
      </c>
      <c r="J2051" s="4" t="n">
        <v>747.8</v>
      </c>
      <c r="K2051" s="3" t="inlineStr">
        <is>
          <t>전망좋은 남향의 전원주택부지 매매</t>
        </is>
      </c>
      <c r="L2051" s="6">
        <f>HYPERLINK("https://fin.land.naver.com/articles/2650203027", "매물Link")</f>
        <v/>
      </c>
      <c r="M2051" s="6">
        <f>HYPERLINK("https://map.naver.com/p/search/세종특별자치시 나성동 829", "지도Link")</f>
        <v/>
      </c>
      <c r="N2051" s="6">
        <f>HYPERLINK("http://www.eum.go.kr/web/ar/lu/luLandDet.jsp?pnu=3611010700108290000&amp;isNoScr=script&amp;mode=search", "토지이음")</f>
        <v/>
      </c>
      <c r="O2051" s="3" t="inlineStr">
        <is>
          <t>세종공주노심종사무소</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세종특별자치시 나성동 829</t>
        </is>
      </c>
      <c r="B2052" s="3" t="inlineStr">
        <is>
          <t>중심상업지역</t>
        </is>
      </c>
      <c r="C2052" s="3" t="inlineStr">
        <is>
          <t>대</t>
        </is>
      </c>
      <c r="D2052" s="3" t="inlineStr">
        <is>
          <t>임야</t>
        </is>
      </c>
      <c r="E2052" s="3" t="inlineStr">
        <is>
          <t>매매</t>
        </is>
      </c>
      <c r="F2052" s="4" t="n">
        <v>360000</v>
      </c>
      <c r="G2052" s="4" t="n">
        <v>79537</v>
      </c>
      <c r="H2052" s="4" t="n">
        <v>24060</v>
      </c>
      <c r="I2052" s="5" t="n">
        <v>15</v>
      </c>
      <c r="J2052" s="4" t="n">
        <v>747.8</v>
      </c>
      <c r="K2052" s="3" t="inlineStr">
        <is>
          <t>남공주산업단지인근</t>
        </is>
      </c>
      <c r="L2052" s="6">
        <f>HYPERLINK("https://fin.land.naver.com/articles/2650206086", "매물Link")</f>
        <v/>
      </c>
      <c r="M2052" s="6">
        <f>HYPERLINK("https://map.naver.com/p/search/세종특별자치시 나성동 829", "지도Link")</f>
        <v/>
      </c>
      <c r="N2052" s="6">
        <f>HYPERLINK("http://www.eum.go.kr/web/ar/lu/luLandDet.jsp?pnu=3611010700108290000&amp;isNoScr=script&amp;mode=search", "토지이음")</f>
        <v/>
      </c>
      <c r="O2052" s="3" t="inlineStr">
        <is>
          <t>세종힐데스</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세종특별자치시 나성동 829</t>
        </is>
      </c>
      <c r="B2053" s="3" t="inlineStr">
        <is>
          <t>중심상업지역</t>
        </is>
      </c>
      <c r="C2053" s="3" t="inlineStr">
        <is>
          <t>대</t>
        </is>
      </c>
      <c r="D2053" s="3" t="inlineStr">
        <is>
          <t>임야</t>
        </is>
      </c>
      <c r="E2053" s="3" t="inlineStr">
        <is>
          <t>매매</t>
        </is>
      </c>
      <c r="F2053" s="4" t="n">
        <v>305000</v>
      </c>
      <c r="G2053" s="4" t="n">
        <v>373000</v>
      </c>
      <c r="H2053" s="4" t="n">
        <v>112832</v>
      </c>
      <c r="I2053" s="5" t="n">
        <v>2.7</v>
      </c>
      <c r="J2053" s="4" t="n">
        <v>747.8</v>
      </c>
      <c r="K2053" s="3" t="inlineStr">
        <is>
          <t>nan</t>
        </is>
      </c>
      <c r="L2053" s="6">
        <f>HYPERLINK("https://fin.land.naver.com/articles/2646029227", "매물Link")</f>
        <v/>
      </c>
      <c r="M2053" s="6">
        <f>HYPERLINK("https://map.naver.com/p/search/세종특별자치시 나성동 829", "지도Link")</f>
        <v/>
      </c>
      <c r="N2053" s="6">
        <f>HYPERLINK("http://www.eum.go.kr/web/ar/lu/luLandDet.jsp?pnu=3611010700108290000&amp;isNoScr=script&amp;mode=search", "토지이음")</f>
        <v/>
      </c>
      <c r="O2053" s="3" t="inlineStr">
        <is>
          <t>나래</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세종특별자치시 나성동 829</t>
        </is>
      </c>
      <c r="B2054" s="3" t="inlineStr">
        <is>
          <t>중심상업지역</t>
        </is>
      </c>
      <c r="C2054" s="3" t="inlineStr">
        <is>
          <t>대</t>
        </is>
      </c>
      <c r="D2054" s="3" t="inlineStr">
        <is>
          <t>전</t>
        </is>
      </c>
      <c r="E2054" s="3" t="inlineStr">
        <is>
          <t>매매</t>
        </is>
      </c>
      <c r="F2054" s="4" t="n">
        <v>40000</v>
      </c>
      <c r="G2054" s="4" t="n">
        <v>2839</v>
      </c>
      <c r="H2054" s="4" t="n">
        <v>859</v>
      </c>
      <c r="I2054" s="5" t="n">
        <v>46.6</v>
      </c>
      <c r="J2054" s="4" t="n">
        <v>747.8</v>
      </c>
      <c r="K2054" s="3" t="inlineStr">
        <is>
          <t>희소  공주 축사기득권 완벽 승계대지즉시 건축 가능 통합매매</t>
        </is>
      </c>
      <c r="L2054" s="6">
        <f>HYPERLINK("https://fin.land.naver.com/articles/2646010571", "매물Link")</f>
        <v/>
      </c>
      <c r="M2054" s="6">
        <f>HYPERLINK("https://map.naver.com/p/search/세종특별자치시 나성동 829", "지도Link")</f>
        <v/>
      </c>
      <c r="N2054" s="6">
        <f>HYPERLINK("http://www.eum.go.kr/web/ar/lu/luLandDet.jsp?pnu=3611010700108290000&amp;isNoScr=script&amp;mode=search", "토지이음")</f>
        <v/>
      </c>
      <c r="O2054" s="3" t="inlineStr">
        <is>
          <t>월정</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세종특별자치시 나성동 829</t>
        </is>
      </c>
      <c r="B2055" s="3" t="inlineStr">
        <is>
          <t>중심상업지역</t>
        </is>
      </c>
      <c r="C2055" s="3" t="inlineStr">
        <is>
          <t>대</t>
        </is>
      </c>
      <c r="D2055" s="3" t="inlineStr">
        <is>
          <t>임야</t>
        </is>
      </c>
      <c r="E2055" s="3" t="inlineStr">
        <is>
          <t>매매</t>
        </is>
      </c>
      <c r="F2055" s="4" t="n">
        <v>300000</v>
      </c>
      <c r="G2055" s="4" t="n">
        <v>372668</v>
      </c>
      <c r="H2055" s="4" t="n">
        <v>112732</v>
      </c>
      <c r="I2055" s="5" t="n">
        <v>2.7</v>
      </c>
      <c r="J2055" s="4" t="n">
        <v>747.8</v>
      </c>
      <c r="K2055" s="3" t="inlineStr">
        <is>
          <t>nan</t>
        </is>
      </c>
      <c r="L2055" s="6">
        <f>HYPERLINK("https://fin.land.naver.com/articles/2647677567", "매물Link")</f>
        <v/>
      </c>
      <c r="M2055" s="6">
        <f>HYPERLINK("https://map.naver.com/p/search/세종특별자치시 나성동 829", "지도Link")</f>
        <v/>
      </c>
      <c r="N2055" s="6">
        <f>HYPERLINK("http://www.eum.go.kr/web/ar/lu/luLandDet.jsp?pnu=3611010700108290000&amp;isNoScr=script&amp;mode=search", "토지이음")</f>
        <v/>
      </c>
      <c r="O2055" s="3" t="inlineStr">
        <is>
          <t>백제</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세종특별자치시 나성동 829</t>
        </is>
      </c>
      <c r="B2056" s="3" t="inlineStr">
        <is>
          <t>중심상업지역</t>
        </is>
      </c>
      <c r="C2056" s="3" t="inlineStr">
        <is>
          <t>대</t>
        </is>
      </c>
      <c r="D2056" s="3" t="inlineStr">
        <is>
          <t>대</t>
        </is>
      </c>
      <c r="E2056" s="3" t="inlineStr">
        <is>
          <t>매매</t>
        </is>
      </c>
      <c r="F2056" s="4" t="n">
        <v>4300</v>
      </c>
      <c r="G2056" s="4" t="n">
        <v>518</v>
      </c>
      <c r="H2056" s="4" t="n">
        <v>157</v>
      </c>
      <c r="I2056" s="5" t="n">
        <v>27.4</v>
      </c>
      <c r="J2056" s="4" t="n">
        <v>747.8</v>
      </c>
      <c r="K2056" s="3" t="inlineStr">
        <is>
          <t>금강 인접 청정 마을, 농막 놓고 주말농장 하기 딱 좋은 상급 토지 매매</t>
        </is>
      </c>
      <c r="L2056" s="6">
        <f>HYPERLINK("https://fin.land.naver.com/articles/2646348471", "매물Link")</f>
        <v/>
      </c>
      <c r="M2056" s="6">
        <f>HYPERLINK("https://map.naver.com/p/search/세종특별자치시 나성동 829", "지도Link")</f>
        <v/>
      </c>
      <c r="N2056" s="6">
        <f>HYPERLINK("http://www.eum.go.kr/web/ar/lu/luLandDet.jsp?pnu=3611010700108290000&amp;isNoScr=script&amp;mode=search", "토지이음")</f>
        <v/>
      </c>
      <c r="O2056" s="3" t="inlineStr">
        <is>
          <t>귀빈</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세종특별자치시 나성동 829</t>
        </is>
      </c>
      <c r="B2057" s="3" t="inlineStr">
        <is>
          <t>중심상업지역</t>
        </is>
      </c>
      <c r="C2057" s="3" t="inlineStr">
        <is>
          <t>대</t>
        </is>
      </c>
      <c r="D2057" s="3" t="inlineStr">
        <is>
          <t>답</t>
        </is>
      </c>
      <c r="E2057" s="3" t="inlineStr">
        <is>
          <t>매매</t>
        </is>
      </c>
      <c r="F2057" s="4" t="n">
        <v>28800</v>
      </c>
      <c r="G2057" s="4" t="n">
        <v>1520</v>
      </c>
      <c r="H2057" s="4" t="n">
        <v>460</v>
      </c>
      <c r="I2057" s="5" t="n">
        <v>62.6</v>
      </c>
      <c r="J2057" s="4" t="n">
        <v>747.8</v>
      </c>
      <c r="K2057" s="3" t="inlineStr">
        <is>
          <t>2차로 도로접 남산리 게획관리지역의 저렴하게 나온 전</t>
        </is>
      </c>
      <c r="L2057" s="6">
        <f>HYPERLINK("https://fin.land.naver.com/articles/2645201326", "매물Link")</f>
        <v/>
      </c>
      <c r="M2057" s="6">
        <f>HYPERLINK("https://map.naver.com/p/search/세종특별자치시 나성동 829", "지도Link")</f>
        <v/>
      </c>
      <c r="N2057" s="6">
        <f>HYPERLINK("http://www.eum.go.kr/web/ar/lu/luLandDet.jsp?pnu=3611010700108290000&amp;isNoScr=script&amp;mode=search", "토지이음")</f>
        <v/>
      </c>
      <c r="O2057" s="3" t="inlineStr">
        <is>
          <t>귀빈</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세종특별자치시 나성동 829</t>
        </is>
      </c>
      <c r="B2058" s="3" t="inlineStr">
        <is>
          <t>중심상업지역</t>
        </is>
      </c>
      <c r="C2058" s="3" t="inlineStr">
        <is>
          <t>대</t>
        </is>
      </c>
      <c r="D2058" s="3" t="inlineStr">
        <is>
          <t>전</t>
        </is>
      </c>
      <c r="E2058" s="3" t="inlineStr">
        <is>
          <t>매매</t>
        </is>
      </c>
      <c r="F2058" s="4" t="n">
        <v>16406</v>
      </c>
      <c r="G2058" s="4" t="n">
        <v>2086</v>
      </c>
      <c r="H2058" s="4" t="n">
        <v>631</v>
      </c>
      <c r="I2058" s="5" t="n">
        <v>26</v>
      </c>
      <c r="J2058" s="4" t="n">
        <v>747.8</v>
      </c>
      <c r="K2058" s="3" t="inlineStr">
        <is>
          <t>nan</t>
        </is>
      </c>
      <c r="L2058" s="6">
        <f>HYPERLINK("https://fin.land.naver.com/articles/2646820006", "매물Link")</f>
        <v/>
      </c>
      <c r="M2058" s="6">
        <f>HYPERLINK("https://map.naver.com/p/search/세종특별자치시 나성동 829", "지도Link")</f>
        <v/>
      </c>
      <c r="N2058" s="6">
        <f>HYPERLINK("http://www.eum.go.kr/web/ar/lu/luLandDet.jsp?pnu=3611010700108290000&amp;isNoScr=script&amp;mode=search", "토지이음")</f>
        <v/>
      </c>
      <c r="O2058" s="3" t="inlineStr">
        <is>
          <t>세종대평</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세종특별자치시 나성동 829</t>
        </is>
      </c>
      <c r="B2059" s="3" t="inlineStr">
        <is>
          <t>중심상업지역</t>
        </is>
      </c>
      <c r="C2059" s="3" t="inlineStr">
        <is>
          <t>대</t>
        </is>
      </c>
      <c r="D2059" s="3" t="inlineStr">
        <is>
          <t>전</t>
        </is>
      </c>
      <c r="E2059" s="3" t="inlineStr">
        <is>
          <t>매매</t>
        </is>
      </c>
      <c r="F2059" s="4" t="n">
        <v>24804</v>
      </c>
      <c r="G2059" s="4" t="n">
        <v>3154</v>
      </c>
      <c r="H2059" s="4" t="n">
        <v>954</v>
      </c>
      <c r="I2059" s="5" t="n">
        <v>26</v>
      </c>
      <c r="J2059" s="4" t="n">
        <v>747.8</v>
      </c>
      <c r="K2059" s="3" t="inlineStr">
        <is>
          <t>nan</t>
        </is>
      </c>
      <c r="L2059" s="6">
        <f>HYPERLINK("https://fin.land.naver.com/articles/2646823385", "매물Link")</f>
        <v/>
      </c>
      <c r="M2059" s="6">
        <f>HYPERLINK("https://map.naver.com/p/search/세종특별자치시 나성동 829", "지도Link")</f>
        <v/>
      </c>
      <c r="N2059" s="6">
        <f>HYPERLINK("http://www.eum.go.kr/web/ar/lu/luLandDet.jsp?pnu=3611010700108290000&amp;isNoScr=script&amp;mode=search", "토지이음")</f>
        <v/>
      </c>
      <c r="O2059" s="3" t="inlineStr">
        <is>
          <t>세종대평</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세종특별자치시 나성동 829</t>
        </is>
      </c>
      <c r="B2060" s="3" t="inlineStr">
        <is>
          <t>중심상업지역</t>
        </is>
      </c>
      <c r="C2060" s="3" t="inlineStr">
        <is>
          <t>대</t>
        </is>
      </c>
      <c r="D2060" s="3" t="inlineStr">
        <is>
          <t>전</t>
        </is>
      </c>
      <c r="E2060" s="3" t="inlineStr">
        <is>
          <t>매매</t>
        </is>
      </c>
      <c r="F2060" s="4" t="n">
        <v>65000</v>
      </c>
      <c r="G2060" s="4" t="n">
        <v>1654</v>
      </c>
      <c r="H2060" s="4" t="n">
        <v>500</v>
      </c>
      <c r="I2060" s="5" t="n">
        <v>130</v>
      </c>
      <c r="J2060" s="4" t="n">
        <v>747.8</v>
      </c>
      <c r="K2060" s="3" t="inlineStr">
        <is>
          <t>포장도로인접, 차량진입편리, 주변상권인접하여 편리합니다.</t>
        </is>
      </c>
      <c r="L2060" s="6">
        <f>HYPERLINK("https://fin.land.naver.com/articles/2645891339", "매물Link")</f>
        <v/>
      </c>
      <c r="M2060" s="6">
        <f>HYPERLINK("https://map.naver.com/p/search/세종특별자치시 나성동 829", "지도Link")</f>
        <v/>
      </c>
      <c r="N2060" s="6">
        <f>HYPERLINK("http://www.eum.go.kr/web/ar/lu/luLandDet.jsp?pnu=3611010700108290000&amp;isNoScr=script&amp;mode=search", "토지이음")</f>
        <v/>
      </c>
      <c r="O2060" s="3" t="inlineStr">
        <is>
          <t>세종소담</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세종특별자치시 나성동 829</t>
        </is>
      </c>
      <c r="B2061" s="3" t="inlineStr">
        <is>
          <t>중심상업지역</t>
        </is>
      </c>
      <c r="C2061" s="3" t="inlineStr">
        <is>
          <t>대</t>
        </is>
      </c>
      <c r="D2061" s="3" t="inlineStr">
        <is>
          <t>답</t>
        </is>
      </c>
      <c r="E2061" s="3" t="inlineStr">
        <is>
          <t>매매</t>
        </is>
      </c>
      <c r="F2061" s="4" t="n">
        <v>18000</v>
      </c>
      <c r="G2061" s="4" t="n">
        <v>803</v>
      </c>
      <c r="H2061" s="4" t="n">
        <v>243</v>
      </c>
      <c r="I2061" s="5" t="n">
        <v>74.09999999999999</v>
      </c>
      <c r="J2061" s="4" t="n">
        <v>747.8</v>
      </c>
      <c r="K2061" s="3" t="inlineStr">
        <is>
          <t>계룡산자락 아래 공기 맑고 풍광 좋은 기반시설 완비 된 주말주택</t>
        </is>
      </c>
      <c r="L2061" s="6">
        <f>HYPERLINK("https://fin.land.naver.com/articles/2649838478", "매물Link")</f>
        <v/>
      </c>
      <c r="M2061" s="6">
        <f>HYPERLINK("https://map.naver.com/p/search/세종특별자치시 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세종특별자치시 나성동 829</t>
        </is>
      </c>
      <c r="B2062" s="3" t="inlineStr">
        <is>
          <t>중심상업지역</t>
        </is>
      </c>
      <c r="C2062" s="3" t="inlineStr">
        <is>
          <t>대</t>
        </is>
      </c>
      <c r="D2062" s="3" t="inlineStr">
        <is>
          <t>전</t>
        </is>
      </c>
      <c r="E2062" s="3" t="inlineStr">
        <is>
          <t>매매</t>
        </is>
      </c>
      <c r="F2062" s="4" t="n">
        <v>19000</v>
      </c>
      <c r="G2062" s="4" t="n">
        <v>1287</v>
      </c>
      <c r="H2062" s="4" t="n">
        <v>389</v>
      </c>
      <c r="I2062" s="5" t="n">
        <v>48.8</v>
      </c>
      <c r="J2062" s="4" t="n">
        <v>747.8</v>
      </c>
      <c r="K2062" s="3" t="inlineStr">
        <is>
          <t>계룡산자락 아래 공주,세종,대전과 접근성 좋은 네모반듯한 토지</t>
        </is>
      </c>
      <c r="L2062" s="6">
        <f>HYPERLINK("https://fin.land.naver.com/articles/2649864244", "매물Link")</f>
        <v/>
      </c>
      <c r="M2062" s="6">
        <f>HYPERLINK("https://map.naver.com/p/search/세종특별자치시 나성동 829", "지도Link")</f>
        <v/>
      </c>
      <c r="N2062" s="6">
        <f>HYPERLINK("http://www.eum.go.kr/web/ar/lu/luLandDet.jsp?pnu=3611010700108290000&amp;isNoScr=script&amp;mode=search", "토지이음")</f>
        <v/>
      </c>
      <c r="O2062" s="3" t="inlineStr">
        <is>
          <t>흙사랑</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세종특별자치시 나성동 829</t>
        </is>
      </c>
      <c r="B2063" s="3" t="inlineStr">
        <is>
          <t>중심상업지역</t>
        </is>
      </c>
      <c r="C2063" s="3" t="inlineStr">
        <is>
          <t>대</t>
        </is>
      </c>
      <c r="D2063" s="3" t="inlineStr">
        <is>
          <t>전</t>
        </is>
      </c>
      <c r="E2063" s="3" t="inlineStr">
        <is>
          <t>매매</t>
        </is>
      </c>
      <c r="F2063" s="4" t="n">
        <v>15800</v>
      </c>
      <c r="G2063" s="4" t="n">
        <v>1388</v>
      </c>
      <c r="H2063" s="4" t="n">
        <v>420</v>
      </c>
      <c r="I2063" s="5" t="n">
        <v>37.6</v>
      </c>
      <c r="J2063" s="4" t="n">
        <v>747.8</v>
      </c>
      <c r="K2063" s="3" t="inlineStr">
        <is>
          <t>마을 가생이 상단부 괜찮은 전망의 농막과 텃밭</t>
        </is>
      </c>
      <c r="L2063" s="6">
        <f>HYPERLINK("https://fin.land.naver.com/articles/2649873210", "매물Link")</f>
        <v/>
      </c>
      <c r="M2063" s="6">
        <f>HYPERLINK("https://map.naver.com/p/search/세종특별자치시 나성동 829", "지도Link")</f>
        <v/>
      </c>
      <c r="N2063" s="6">
        <f>HYPERLINK("http://www.eum.go.kr/web/ar/lu/luLandDet.jsp?pnu=3611010700108290000&amp;isNoScr=script&amp;mode=search", "토지이음")</f>
        <v/>
      </c>
      <c r="O2063" s="3" t="inlineStr">
        <is>
          <t>흙사랑</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세종특별자치시 나성동 829</t>
        </is>
      </c>
      <c r="B2064" s="3" t="inlineStr">
        <is>
          <t>중심상업지역</t>
        </is>
      </c>
      <c r="C2064" s="3" t="inlineStr">
        <is>
          <t>대</t>
        </is>
      </c>
      <c r="D2064" s="3" t="inlineStr">
        <is>
          <t>임야</t>
        </is>
      </c>
      <c r="E2064" s="3" t="inlineStr">
        <is>
          <t>매매</t>
        </is>
      </c>
      <c r="F2064" s="4" t="n">
        <v>25000</v>
      </c>
      <c r="G2064" s="4" t="n">
        <v>37306</v>
      </c>
      <c r="H2064" s="4" t="n">
        <v>11285</v>
      </c>
      <c r="I2064" s="5" t="n">
        <v>2.2</v>
      </c>
      <c r="J2064" s="4" t="n">
        <v>747.8</v>
      </c>
      <c r="K2064" s="3" t="inlineStr">
        <is>
          <t>nan</t>
        </is>
      </c>
      <c r="L2064" s="6">
        <f>HYPERLINK("https://fin.land.naver.com/articles/2644553306", "매물Link")</f>
        <v/>
      </c>
      <c r="M2064" s="6">
        <f>HYPERLINK("https://map.naver.com/p/search/세종특별자치시 나성동 829", "지도Link")</f>
        <v/>
      </c>
      <c r="N2064" s="6">
        <f>HYPERLINK("http://www.eum.go.kr/web/ar/lu/luLandDet.jsp?pnu=3611010700108290000&amp;isNoScr=script&amp;mode=search", "토지이음")</f>
        <v/>
      </c>
      <c r="O2064" s="3" t="inlineStr">
        <is>
          <t>거성  사무소</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세종특별자치시 나성동 829</t>
        </is>
      </c>
      <c r="B2065" s="3" t="inlineStr">
        <is>
          <t>중심상업지역</t>
        </is>
      </c>
      <c r="C2065" s="3" t="inlineStr">
        <is>
          <t>대</t>
        </is>
      </c>
      <c r="D2065" s="3" t="inlineStr">
        <is>
          <t>전</t>
        </is>
      </c>
      <c r="E2065" s="3" t="inlineStr">
        <is>
          <t>매매</t>
        </is>
      </c>
      <c r="F2065" s="4" t="n">
        <v>25000</v>
      </c>
      <c r="G2065" s="4" t="n">
        <v>3986</v>
      </c>
      <c r="H2065" s="4" t="n">
        <v>1206</v>
      </c>
      <c r="I2065" s="5" t="n">
        <v>20.7</v>
      </c>
      <c r="J2065" s="4" t="n">
        <v>747.8</v>
      </c>
      <c r="K2065" s="3" t="inlineStr">
        <is>
          <t>2차선도로접, 2면도로접, 마을인접, 전원주택, 태양광, 창고</t>
        </is>
      </c>
      <c r="L2065" s="6">
        <f>HYPERLINK("https://fin.land.naver.com/articles/2644798800", "매물Link")</f>
        <v/>
      </c>
      <c r="M2065" s="6">
        <f>HYPERLINK("https://map.naver.com/p/search/세종특별자치시 나성동 829", "지도Link")</f>
        <v/>
      </c>
      <c r="N2065" s="6">
        <f>HYPERLINK("http://www.eum.go.kr/web/ar/lu/luLandDet.jsp?pnu=3611010700108290000&amp;isNoScr=script&amp;mode=search", "토지이음")</f>
        <v/>
      </c>
      <c r="O2065" s="3" t="inlineStr">
        <is>
          <t>뉴욕</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세종특별자치시 나성동 829</t>
        </is>
      </c>
      <c r="B2066" s="3" t="inlineStr">
        <is>
          <t>중심상업지역</t>
        </is>
      </c>
      <c r="C2066" s="3" t="inlineStr">
        <is>
          <t>대</t>
        </is>
      </c>
      <c r="D2066" s="3" t="inlineStr">
        <is>
          <t>답</t>
        </is>
      </c>
      <c r="E2066" s="3" t="inlineStr">
        <is>
          <t>매매</t>
        </is>
      </c>
      <c r="F2066" s="4" t="n">
        <v>4000</v>
      </c>
      <c r="G2066" s="4" t="n">
        <v>1607</v>
      </c>
      <c r="H2066" s="4" t="n">
        <v>486</v>
      </c>
      <c r="I2066" s="5" t="n">
        <v>8.199999999999999</v>
      </c>
      <c r="J2066" s="4" t="n">
        <v>747.8</v>
      </c>
      <c r="K2066" s="3" t="inlineStr">
        <is>
          <t>급매. 주말농장이나 조그많게 농사짓고싶으신분, 경영체가필요하신분 추천</t>
        </is>
      </c>
      <c r="L2066" s="6">
        <f>HYPERLINK("https://fin.land.naver.com/articles/2644808770", "매물Link")</f>
        <v/>
      </c>
      <c r="M2066" s="6">
        <f>HYPERLINK("https://map.naver.com/p/search/세종특별자치시 나성동 829", "지도Link")</f>
        <v/>
      </c>
      <c r="N2066" s="6">
        <f>HYPERLINK("http://www.eum.go.kr/web/ar/lu/luLandDet.jsp?pnu=3611010700108290000&amp;isNoScr=script&amp;mode=search", "토지이음")</f>
        <v/>
      </c>
      <c r="O2066" s="3" t="inlineStr">
        <is>
          <t>스마트랜드</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세종특별자치시 나성동 829</t>
        </is>
      </c>
      <c r="B2067" s="3" t="inlineStr">
        <is>
          <t>중심상업지역</t>
        </is>
      </c>
      <c r="C2067" s="3" t="inlineStr">
        <is>
          <t>대</t>
        </is>
      </c>
      <c r="D2067" s="3" t="inlineStr">
        <is>
          <t>임야</t>
        </is>
      </c>
      <c r="E2067" s="3" t="inlineStr">
        <is>
          <t>매매</t>
        </is>
      </c>
      <c r="F2067" s="4" t="n">
        <v>23000</v>
      </c>
      <c r="G2067" s="4" t="n">
        <v>27205</v>
      </c>
      <c r="H2067" s="4" t="n">
        <v>8230</v>
      </c>
      <c r="I2067" s="5" t="n">
        <v>2.8</v>
      </c>
      <c r="J2067" s="4" t="n">
        <v>747.8</v>
      </c>
      <c r="K2067" s="3" t="inlineStr">
        <is>
          <t>2차선 도로변 생산관리지역 준보존산지 임야</t>
        </is>
      </c>
      <c r="L2067" s="6">
        <f>HYPERLINK("https://fin.land.naver.com/articles/2645526507", "매물Link")</f>
        <v/>
      </c>
      <c r="M2067" s="6">
        <f>HYPERLINK("https://map.naver.com/p/search/세종특별자치시 나성동 829", "지도Link")</f>
        <v/>
      </c>
      <c r="N2067" s="6">
        <f>HYPERLINK("http://www.eum.go.kr/web/ar/lu/luLandDet.jsp?pnu=3611010700108290000&amp;isNoScr=script&amp;mode=search", "토지이음")</f>
        <v/>
      </c>
      <c r="O2067" s="3" t="inlineStr">
        <is>
          <t>랜드맥스</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세종특별자치시 나성동 829</t>
        </is>
      </c>
      <c r="B2068" s="3" t="inlineStr">
        <is>
          <t>중심상업지역</t>
        </is>
      </c>
      <c r="C2068" s="3" t="inlineStr">
        <is>
          <t>대</t>
        </is>
      </c>
      <c r="D2068" s="3" t="inlineStr">
        <is>
          <t>임야</t>
        </is>
      </c>
      <c r="E2068" s="3" t="inlineStr">
        <is>
          <t>매매</t>
        </is>
      </c>
      <c r="F2068" s="4" t="n">
        <v>32000</v>
      </c>
      <c r="G2068" s="4" t="n">
        <v>21127</v>
      </c>
      <c r="H2068" s="4" t="n">
        <v>6391</v>
      </c>
      <c r="I2068" s="5" t="n">
        <v>5</v>
      </c>
      <c r="J2068" s="4" t="n">
        <v>747.8</v>
      </c>
      <c r="K2068" s="3" t="inlineStr">
        <is>
          <t>nan</t>
        </is>
      </c>
      <c r="L2068" s="6">
        <f>HYPERLINK("https://fin.land.naver.com/articles/2645947417", "매물Link")</f>
        <v/>
      </c>
      <c r="M2068" s="6">
        <f>HYPERLINK("https://map.naver.com/p/search/세종특별자치시 나성동 829", "지도Link")</f>
        <v/>
      </c>
      <c r="N2068" s="6">
        <f>HYPERLINK("http://www.eum.go.kr/web/ar/lu/luLandDet.jsp?pnu=3611010700108290000&amp;isNoScr=script&amp;mode=search", "토지이음")</f>
        <v/>
      </c>
      <c r="O2068" s="3" t="inlineStr">
        <is>
          <t>가온</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세종특별자치시 나성동 829</t>
        </is>
      </c>
      <c r="B2069" s="3" t="inlineStr">
        <is>
          <t>중심상업지역</t>
        </is>
      </c>
      <c r="C2069" s="3" t="inlineStr">
        <is>
          <t>대</t>
        </is>
      </c>
      <c r="D2069" s="3" t="inlineStr">
        <is>
          <t>임야</t>
        </is>
      </c>
      <c r="E2069" s="3" t="inlineStr">
        <is>
          <t>매매</t>
        </is>
      </c>
      <c r="F2069" s="4" t="n">
        <v>30000</v>
      </c>
      <c r="G2069" s="4" t="n">
        <v>50579</v>
      </c>
      <c r="H2069" s="4" t="n">
        <v>15300</v>
      </c>
      <c r="I2069" s="5" t="n">
        <v>2</v>
      </c>
      <c r="J2069" s="4" t="n">
        <v>747.8</v>
      </c>
      <c r="K2069" s="3" t="inlineStr">
        <is>
          <t>대학리 저렴한 임야매물,포장도로접함,관리지역,기타협의</t>
        </is>
      </c>
      <c r="L2069" s="6">
        <f>HYPERLINK("https://fin.land.naver.com/articles/2647674257", "매물Link")</f>
        <v/>
      </c>
      <c r="M2069" s="6">
        <f>HYPERLINK("https://map.naver.com/p/search/세종특별자치시 나성동 829", "지도Link")</f>
        <v/>
      </c>
      <c r="N2069" s="6">
        <f>HYPERLINK("http://www.eum.go.kr/web/ar/lu/luLandDet.jsp?pnu=3611010700108290000&amp;isNoScr=script&amp;mode=search", "토지이음")</f>
        <v/>
      </c>
      <c r="O2069" s="3" t="inlineStr">
        <is>
          <t>도안우미린사랑무소</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세종특별자치시 나성동 829</t>
        </is>
      </c>
      <c r="B2070" s="3" t="inlineStr">
        <is>
          <t>중심상업지역</t>
        </is>
      </c>
      <c r="C2070" s="3" t="inlineStr">
        <is>
          <t>대</t>
        </is>
      </c>
      <c r="D2070" s="3" t="inlineStr">
        <is>
          <t>임야</t>
        </is>
      </c>
      <c r="E2070" s="3" t="inlineStr">
        <is>
          <t>매매</t>
        </is>
      </c>
      <c r="F2070" s="4" t="n">
        <v>19000</v>
      </c>
      <c r="G2070" s="4" t="n">
        <v>33950</v>
      </c>
      <c r="H2070" s="4" t="n">
        <v>10270</v>
      </c>
      <c r="I2070" s="5" t="n">
        <v>1.9</v>
      </c>
      <c r="J2070" s="4" t="n">
        <v>747.8</v>
      </c>
      <c r="K2070" s="3" t="inlineStr">
        <is>
          <t>nan</t>
        </is>
      </c>
      <c r="L2070" s="6">
        <f>HYPERLINK("https://fin.land.naver.com/articles/2648143209", "매물Link")</f>
        <v/>
      </c>
      <c r="M2070" s="6">
        <f>HYPERLINK("https://map.naver.com/p/search/세종특별자치시 나성동 829", "지도Link")</f>
        <v/>
      </c>
      <c r="N2070" s="6">
        <f>HYPERLINK("http://www.eum.go.kr/web/ar/lu/luLandDet.jsp?pnu=3611010700108290000&amp;isNoScr=script&amp;mode=search", "토지이음")</f>
        <v/>
      </c>
      <c r="O2070" s="3" t="inlineStr">
        <is>
          <t>가경</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세종특별자치시 나성동 829</t>
        </is>
      </c>
      <c r="B2071" s="3" t="inlineStr">
        <is>
          <t>중심상업지역</t>
        </is>
      </c>
      <c r="C2071" s="3" t="inlineStr">
        <is>
          <t>대</t>
        </is>
      </c>
      <c r="D2071" s="3" t="inlineStr">
        <is>
          <t>전</t>
        </is>
      </c>
      <c r="E2071" s="3" t="inlineStr">
        <is>
          <t>매매</t>
        </is>
      </c>
      <c r="F2071" s="4" t="n">
        <v>30000</v>
      </c>
      <c r="G2071" s="4" t="n">
        <v>4432</v>
      </c>
      <c r="H2071" s="4" t="n">
        <v>1341</v>
      </c>
      <c r="I2071" s="5" t="n">
        <v>22.4</v>
      </c>
      <c r="J2071" s="4" t="n">
        <v>747.8</v>
      </c>
      <c r="K2071" s="3" t="inlineStr">
        <is>
          <t>공주ktx역 인근 계획관리 농지</t>
        </is>
      </c>
      <c r="L2071" s="6">
        <f>HYPERLINK("https://fin.land.naver.com/articles/2649272613", "매물Link")</f>
        <v/>
      </c>
      <c r="M2071" s="6">
        <f>HYPERLINK("https://map.naver.com/p/search/세종특별자치시 나성동 829", "지도Link")</f>
        <v/>
      </c>
      <c r="N2071" s="6">
        <f>HYPERLINK("http://www.eum.go.kr/web/ar/lu/luLandDet.jsp?pnu=3611010700108290000&amp;isNoScr=script&amp;mode=search", "토지이음")</f>
        <v/>
      </c>
      <c r="O2071" s="3" t="inlineStr">
        <is>
          <t>금강</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세종특별자치시 나성동 829</t>
        </is>
      </c>
      <c r="B2072" s="3" t="inlineStr">
        <is>
          <t>중심상업지역</t>
        </is>
      </c>
      <c r="C2072" s="3" t="inlineStr">
        <is>
          <t>대</t>
        </is>
      </c>
      <c r="D2072" s="3" t="inlineStr">
        <is>
          <t>전</t>
        </is>
      </c>
      <c r="E2072" s="3" t="inlineStr">
        <is>
          <t>매매</t>
        </is>
      </c>
      <c r="F2072" s="4" t="n">
        <v>22000</v>
      </c>
      <c r="G2072" s="4" t="n">
        <v>5184</v>
      </c>
      <c r="H2072" s="4" t="n">
        <v>1568</v>
      </c>
      <c r="I2072" s="5" t="n">
        <v>14</v>
      </c>
      <c r="J2072" s="4" t="n">
        <v>747.8</v>
      </c>
      <c r="K2072" s="3" t="inlineStr">
        <is>
          <t>대지,전,답으로구성,4필지포괄매매,전원주택지와 농장으로 이용추천,도로접</t>
        </is>
      </c>
      <c r="L2072" s="6">
        <f>HYPERLINK("https://fin.land.naver.com/articles/2644517432", "매물Link")</f>
        <v/>
      </c>
      <c r="M2072" s="6">
        <f>HYPERLINK("https://map.naver.com/p/search/세종특별자치시 나성동 829", "지도Link")</f>
        <v/>
      </c>
      <c r="N2072" s="6">
        <f>HYPERLINK("http://www.eum.go.kr/web/ar/lu/luLandDet.jsp?pnu=3611010700108290000&amp;isNoScr=script&amp;mode=search", "토지이음")</f>
        <v/>
      </c>
      <c r="O2072" s="3" t="inlineStr">
        <is>
          <t>담뜰</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세종특별자치시 나성동 829</t>
        </is>
      </c>
      <c r="B2073" s="3" t="inlineStr">
        <is>
          <t>중심상업지역</t>
        </is>
      </c>
      <c r="C2073" s="3" t="inlineStr">
        <is>
          <t>대</t>
        </is>
      </c>
      <c r="D2073" s="3" t="inlineStr">
        <is>
          <t>임야</t>
        </is>
      </c>
      <c r="E2073" s="3" t="inlineStr">
        <is>
          <t>매매</t>
        </is>
      </c>
      <c r="F2073" s="4" t="n">
        <v>300000</v>
      </c>
      <c r="G2073" s="4" t="n">
        <v>372517</v>
      </c>
      <c r="H2073" s="4" t="n">
        <v>112686</v>
      </c>
      <c r="I2073" s="5" t="n">
        <v>2.7</v>
      </c>
      <c r="J2073" s="4" t="n">
        <v>747.8</v>
      </c>
      <c r="K2073" s="3" t="inlineStr">
        <is>
          <t>이인면 만수리 임야, 남공주IC에서 가까우며 철탑, 분묘 없음</t>
        </is>
      </c>
      <c r="L2073" s="6">
        <f>HYPERLINK("https://fin.land.naver.com/articles/2649085971", "매물Link")</f>
        <v/>
      </c>
      <c r="M2073" s="6">
        <f>HYPERLINK("https://map.naver.com/p/search/세종특별자치시 나성동 829", "지도Link")</f>
        <v/>
      </c>
      <c r="N2073" s="6">
        <f>HYPERLINK("http://www.eum.go.kr/web/ar/lu/luLandDet.jsp?pnu=3611010700108290000&amp;isNoScr=script&amp;mode=search", "토지이음")</f>
        <v/>
      </c>
      <c r="O2073" s="3" t="inlineStr">
        <is>
          <t>(주)미르</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세종특별자치시 나성동 829</t>
        </is>
      </c>
      <c r="B2074" s="3" t="inlineStr">
        <is>
          <t>중심상업지역</t>
        </is>
      </c>
      <c r="C2074" s="3" t="inlineStr">
        <is>
          <t>대</t>
        </is>
      </c>
      <c r="D2074" s="3" t="inlineStr">
        <is>
          <t>대</t>
        </is>
      </c>
      <c r="E2074" s="3" t="inlineStr">
        <is>
          <t>매매</t>
        </is>
      </c>
      <c r="F2074" s="4" t="n">
        <v>25000</v>
      </c>
      <c r="G2074" s="4" t="n">
        <v>1312</v>
      </c>
      <c r="H2074" s="4" t="n">
        <v>397</v>
      </c>
      <c r="I2074" s="5" t="n">
        <v>63</v>
      </c>
      <c r="J2074" s="4" t="n">
        <v>747.8</v>
      </c>
      <c r="K2074" s="3" t="inlineStr">
        <is>
          <t>nan</t>
        </is>
      </c>
      <c r="L2074" s="6">
        <f>HYPERLINK("https://fin.land.naver.com/articles/2644499008", "매물Link")</f>
        <v/>
      </c>
      <c r="M2074" s="6">
        <f>HYPERLINK("https://map.naver.com/p/search/세종특별자치시 나성동 829", "지도Link")</f>
        <v/>
      </c>
      <c r="N2074" s="6">
        <f>HYPERLINK("http://www.eum.go.kr/web/ar/lu/luLandDet.jsp?pnu=3611010700108290000&amp;isNoScr=script&amp;mode=search", "토지이음")</f>
        <v/>
      </c>
      <c r="O2074" s="3" t="inlineStr">
        <is>
          <t>좋은선택</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세종특별자치시 나성동 829</t>
        </is>
      </c>
      <c r="B2075" s="3" t="inlineStr">
        <is>
          <t>중심상업지역</t>
        </is>
      </c>
      <c r="C2075" s="3" t="inlineStr">
        <is>
          <t>대</t>
        </is>
      </c>
      <c r="D2075" s="3" t="inlineStr">
        <is>
          <t>전</t>
        </is>
      </c>
      <c r="E2075" s="3" t="inlineStr">
        <is>
          <t>매매</t>
        </is>
      </c>
      <c r="F2075" s="4" t="n">
        <v>3500</v>
      </c>
      <c r="G2075" s="4" t="n">
        <v>1137</v>
      </c>
      <c r="H2075" s="4" t="n">
        <v>344</v>
      </c>
      <c r="I2075" s="5" t="n">
        <v>10.2</v>
      </c>
      <c r="J2075" s="4" t="n">
        <v>747.8</v>
      </c>
      <c r="K2075" s="3" t="inlineStr">
        <is>
          <t>현 비포장 도로 약 20미터</t>
        </is>
      </c>
      <c r="L2075" s="6">
        <f>HYPERLINK("https://fin.land.naver.com/articles/2646783876", "매물Link")</f>
        <v/>
      </c>
      <c r="M2075" s="6">
        <f>HYPERLINK("https://map.naver.com/p/search/세종특별자치시 나성동 829", "지도Link")</f>
        <v/>
      </c>
      <c r="N2075" s="6">
        <f>HYPERLINK("http://www.eum.go.kr/web/ar/lu/luLandDet.jsp?pnu=3611010700108290000&amp;isNoScr=script&amp;mode=search", "토지이음")</f>
        <v/>
      </c>
      <c r="O2075" s="3" t="inlineStr">
        <is>
          <t>동행 공인중개 사무소</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세종특별자치시 나성동 829</t>
        </is>
      </c>
      <c r="B2076" s="3" t="inlineStr">
        <is>
          <t>중심상업지역</t>
        </is>
      </c>
      <c r="C2076" s="3" t="inlineStr">
        <is>
          <t>대</t>
        </is>
      </c>
      <c r="D2076" s="3" t="inlineStr">
        <is>
          <t>답</t>
        </is>
      </c>
      <c r="E2076" s="3" t="inlineStr">
        <is>
          <t>매매</t>
        </is>
      </c>
      <c r="F2076" s="4" t="n">
        <v>8300</v>
      </c>
      <c r="G2076" s="4" t="n">
        <v>4549</v>
      </c>
      <c r="H2076" s="4" t="n">
        <v>1376</v>
      </c>
      <c r="I2076" s="5" t="n">
        <v>6</v>
      </c>
      <c r="J2076" s="4" t="n">
        <v>747.8</v>
      </c>
      <c r="K2076" s="3" t="inlineStr">
        <is>
          <t>계획관리지역이며 평지이고 완경사함.</t>
        </is>
      </c>
      <c r="L2076" s="6">
        <f>HYPERLINK("https://fin.land.naver.com/articles/2647081095", "매물Link")</f>
        <v/>
      </c>
      <c r="M2076" s="6">
        <f>HYPERLINK("https://map.naver.com/p/search/세종특별자치시 나성동 829", "지도Link")</f>
        <v/>
      </c>
      <c r="N2076" s="6">
        <f>HYPERLINK("http://www.eum.go.kr/web/ar/lu/luLandDet.jsp?pnu=3611010700108290000&amp;isNoScr=script&amp;mode=search", "토지이음")</f>
        <v/>
      </c>
      <c r="O2076" s="3" t="inlineStr">
        <is>
          <t>석교</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세종특별자치시 나성동 829</t>
        </is>
      </c>
      <c r="B2077" s="3" t="inlineStr">
        <is>
          <t>중심상업지역</t>
        </is>
      </c>
      <c r="C2077" s="3" t="inlineStr">
        <is>
          <t>대</t>
        </is>
      </c>
      <c r="D2077" s="3" t="inlineStr">
        <is>
          <t>임야</t>
        </is>
      </c>
      <c r="E2077" s="3" t="inlineStr">
        <is>
          <t>매매</t>
        </is>
      </c>
      <c r="F2077" s="4" t="n">
        <v>35000</v>
      </c>
      <c r="G2077" s="4" t="n">
        <v>561</v>
      </c>
      <c r="H2077" s="4" t="n">
        <v>170</v>
      </c>
      <c r="I2077" s="5" t="n">
        <v>205.9</v>
      </c>
      <c r="J2077" s="4" t="n">
        <v>747.8</v>
      </c>
      <c r="K2077" s="3" t="inlineStr">
        <is>
          <t>nan</t>
        </is>
      </c>
      <c r="L2077" s="6">
        <f>HYPERLINK("https://fin.land.naver.com/articles/2645601301", "매물Link")</f>
        <v/>
      </c>
      <c r="M2077" s="6">
        <f>HYPERLINK("https://map.naver.com/p/search/세종특별자치시 나성동 829", "지도Link")</f>
        <v/>
      </c>
      <c r="N2077" s="6">
        <f>HYPERLINK("http://www.eum.go.kr/web/ar/lu/luLandDet.jsp?pnu=3611010700108290000&amp;isNoScr=script&amp;mode=search", "토지이음")</f>
        <v/>
      </c>
      <c r="O2077" s="3" t="inlineStr">
        <is>
          <t>대동</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세종특별자치시 나성동 829</t>
        </is>
      </c>
      <c r="B2078" s="3" t="inlineStr">
        <is>
          <t>중심상업지역</t>
        </is>
      </c>
      <c r="C2078" s="3" t="inlineStr">
        <is>
          <t>대</t>
        </is>
      </c>
      <c r="D2078" s="3" t="inlineStr">
        <is>
          <t>대</t>
        </is>
      </c>
      <c r="E2078" s="3" t="inlineStr">
        <is>
          <t>매매</t>
        </is>
      </c>
      <c r="F2078" s="4" t="n">
        <v>35000</v>
      </c>
      <c r="G2078" s="4" t="n">
        <v>743</v>
      </c>
      <c r="H2078" s="4" t="n">
        <v>225</v>
      </c>
      <c r="I2078" s="5" t="n">
        <v>155.6</v>
      </c>
      <c r="J2078" s="4" t="n">
        <v>747.8</v>
      </c>
      <c r="K2078" s="3" t="inlineStr">
        <is>
          <t>세종시 가까운 투자가능한 땅</t>
        </is>
      </c>
      <c r="L2078" s="6">
        <f>HYPERLINK("https://fin.land.naver.com/articles/2646675090", "매물Link")</f>
        <v/>
      </c>
      <c r="M2078" s="6">
        <f>HYPERLINK("https://map.naver.com/p/search/세종특별자치시 나성동 829", "지도Link")</f>
        <v/>
      </c>
      <c r="N2078" s="6">
        <f>HYPERLINK("http://www.eum.go.kr/web/ar/lu/luLandDet.jsp?pnu=3611010700108290000&amp;isNoScr=script&amp;mode=search", "토지이음")</f>
        <v/>
      </c>
      <c r="O2078" s="3" t="inlineStr">
        <is>
          <t>세상을여는</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세종특별자치시 나성동 829</t>
        </is>
      </c>
      <c r="B2079" s="3" t="inlineStr">
        <is>
          <t>중심상업지역</t>
        </is>
      </c>
      <c r="C2079" s="3" t="inlineStr">
        <is>
          <t>대</t>
        </is>
      </c>
      <c r="D2079" s="3" t="inlineStr">
        <is>
          <t>전</t>
        </is>
      </c>
      <c r="E2079" s="3" t="inlineStr">
        <is>
          <t>매매</t>
        </is>
      </c>
      <c r="F2079" s="4" t="n">
        <v>98700</v>
      </c>
      <c r="G2079" s="4" t="n">
        <v>932</v>
      </c>
      <c r="H2079" s="4" t="n">
        <v>282</v>
      </c>
      <c r="I2079" s="5" t="n">
        <v>350</v>
      </c>
      <c r="J2079" s="4" t="n">
        <v>747.8</v>
      </c>
      <c r="K2079" s="3" t="inlineStr">
        <is>
          <t>송선동 4m 도로에 접한 토지</t>
        </is>
      </c>
      <c r="L2079" s="6">
        <f>HYPERLINK("https://fin.land.naver.com/articles/2647111729", "매물Link")</f>
        <v/>
      </c>
      <c r="M2079" s="6">
        <f>HYPERLINK("https://map.naver.com/p/search/세종특별자치시 나성동 829", "지도Link")</f>
        <v/>
      </c>
      <c r="N2079" s="6">
        <f>HYPERLINK("http://www.eum.go.kr/web/ar/lu/luLandDet.jsp?pnu=3611010700108290000&amp;isNoScr=script&amp;mode=search", "토지이음")</f>
        <v/>
      </c>
      <c r="O2079" s="3" t="inlineStr">
        <is>
          <t>도안7단지 예미지</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세종특별자치시 나성동 829</t>
        </is>
      </c>
      <c r="B2080" s="3" t="inlineStr">
        <is>
          <t>중심상업지역</t>
        </is>
      </c>
      <c r="C2080" s="3" t="inlineStr">
        <is>
          <t>대</t>
        </is>
      </c>
      <c r="D2080" s="3" t="inlineStr">
        <is>
          <t>전</t>
        </is>
      </c>
      <c r="E2080" s="3" t="inlineStr">
        <is>
          <t>매매</t>
        </is>
      </c>
      <c r="F2080" s="4" t="n">
        <v>55000</v>
      </c>
      <c r="G2080" s="4" t="n">
        <v>1448</v>
      </c>
      <c r="H2080" s="4" t="n">
        <v>438</v>
      </c>
      <c r="I2080" s="5" t="n">
        <v>125.6</v>
      </c>
      <c r="J2080" s="4" t="n">
        <v>747.8</v>
      </c>
      <c r="K2080" s="3" t="inlineStr">
        <is>
          <t>고향칼국수옆에 있는 땅, 송선지구 바로옆에 땅,투자가치 너무 좋은 땅</t>
        </is>
      </c>
      <c r="L2080" s="6">
        <f>HYPERLINK("https://fin.land.naver.com/articles/2648743681", "매물Link")</f>
        <v/>
      </c>
      <c r="M2080" s="6">
        <f>HYPERLINK("https://map.naver.com/p/search/세종특별자치시 나성동 829", "지도Link")</f>
        <v/>
      </c>
      <c r="N2080" s="6">
        <f>HYPERLINK("http://www.eum.go.kr/web/ar/lu/luLandDet.jsp?pnu=3611010700108290000&amp;isNoScr=script&amp;mode=search", "토지이음")</f>
        <v/>
      </c>
      <c r="O2080" s="3" t="inlineStr">
        <is>
          <t>하이스트정원</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세종특별자치시 나성동 829</t>
        </is>
      </c>
      <c r="B2081" s="3" t="inlineStr">
        <is>
          <t>중심상업지역</t>
        </is>
      </c>
      <c r="C2081" s="3" t="inlineStr">
        <is>
          <t>대</t>
        </is>
      </c>
      <c r="D2081" s="3" t="inlineStr">
        <is>
          <t>대</t>
        </is>
      </c>
      <c r="E2081" s="3" t="inlineStr">
        <is>
          <t>매매</t>
        </is>
      </c>
      <c r="F2081" s="4" t="n">
        <v>135000</v>
      </c>
      <c r="G2081" s="4" t="n">
        <v>1953</v>
      </c>
      <c r="H2081" s="4" t="n">
        <v>591</v>
      </c>
      <c r="I2081" s="5" t="n">
        <v>228.4</v>
      </c>
      <c r="J2081" s="4" t="n">
        <v>747.8</v>
      </c>
      <c r="K2081" s="3" t="inlineStr">
        <is>
          <t>공주시 송선동 세종공주아울렛옆 부지 매매</t>
        </is>
      </c>
      <c r="L2081" s="6">
        <f>HYPERLINK("https://fin.land.naver.com/articles/2650203332", "매물Link")</f>
        <v/>
      </c>
      <c r="M2081" s="6">
        <f>HYPERLINK("https://map.naver.com/p/search/세종특별자치시 나성동 829", "지도Link")</f>
        <v/>
      </c>
      <c r="N2081" s="6">
        <f>HYPERLINK("http://www.eum.go.kr/web/ar/lu/luLandDet.jsp?pnu=3611010700108290000&amp;isNoScr=script&amp;mode=search", "토지이음")</f>
        <v/>
      </c>
      <c r="O2081" s="3" t="inlineStr">
        <is>
          <t>세종공주노심종사무소</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세종특별자치시 나성동 829</t>
        </is>
      </c>
      <c r="B2082" s="3" t="inlineStr">
        <is>
          <t>중심상업지역</t>
        </is>
      </c>
      <c r="C2082" s="3" t="inlineStr">
        <is>
          <t>대</t>
        </is>
      </c>
      <c r="D2082" s="3" t="inlineStr">
        <is>
          <t>전</t>
        </is>
      </c>
      <c r="E2082" s="3" t="inlineStr">
        <is>
          <t>매매</t>
        </is>
      </c>
      <c r="F2082" s="4" t="n">
        <v>93000</v>
      </c>
      <c r="G2082" s="4" t="n">
        <v>1246</v>
      </c>
      <c r="H2082" s="4" t="n">
        <v>377</v>
      </c>
      <c r="I2082" s="5" t="n">
        <v>246.7</v>
      </c>
      <c r="J2082" s="4" t="n">
        <v>747.8</v>
      </c>
      <c r="K2082" s="3" t="inlineStr">
        <is>
          <t>금강 바라보는 귀한 토지 매매(식당, 판매시설, 사옥부지 추천)</t>
        </is>
      </c>
      <c r="L2082" s="6">
        <f>HYPERLINK("https://fin.land.naver.com/articles/2647120044", "매물Link")</f>
        <v/>
      </c>
      <c r="M2082" s="6">
        <f>HYPERLINK("https://map.naver.com/p/search/세종특별자치시 나성동 829", "지도Link")</f>
        <v/>
      </c>
      <c r="N2082" s="6">
        <f>HYPERLINK("http://www.eum.go.kr/web/ar/lu/luLandDet.jsp?pnu=3611010700108290000&amp;isNoScr=script&amp;mode=search", "토지이음")</f>
        <v/>
      </c>
      <c r="O2082" s="3" t="inlineStr">
        <is>
          <t>삼성사무소</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세종특별자치시 나성동 829</t>
        </is>
      </c>
      <c r="B2083" s="3" t="inlineStr">
        <is>
          <t>중심상업지역</t>
        </is>
      </c>
      <c r="C2083" s="3" t="inlineStr">
        <is>
          <t>대</t>
        </is>
      </c>
      <c r="D2083" s="3" t="inlineStr">
        <is>
          <t>임야</t>
        </is>
      </c>
      <c r="E2083" s="3" t="inlineStr">
        <is>
          <t>매매</t>
        </is>
      </c>
      <c r="F2083" s="4" t="n">
        <v>45000</v>
      </c>
      <c r="G2083" s="4" t="n">
        <v>32654</v>
      </c>
      <c r="H2083" s="4" t="n">
        <v>9878</v>
      </c>
      <c r="I2083" s="5" t="n">
        <v>4.6</v>
      </c>
      <c r="J2083" s="4" t="n">
        <v>747.8</v>
      </c>
      <c r="K2083" s="3" t="inlineStr">
        <is>
          <t>금강뷰 남향 세종시청10분, 공주시 서장리동 금강이내려다보임</t>
        </is>
      </c>
      <c r="L2083" s="6">
        <f>HYPERLINK("https://fin.land.naver.com/articles/2647168835", "매물Link")</f>
        <v/>
      </c>
      <c r="M2083" s="6">
        <f>HYPERLINK("https://map.naver.com/p/search/세종특별자치시 나성동 829", "지도Link")</f>
        <v/>
      </c>
      <c r="N2083" s="6">
        <f>HYPERLINK("http://www.eum.go.kr/web/ar/lu/luLandDet.jsp?pnu=3611010700108290000&amp;isNoScr=script&amp;mode=search", "토지이음")</f>
        <v/>
      </c>
      <c r="O2083" s="3" t="inlineStr">
        <is>
          <t>마메종</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세종특별자치시 나성동 829</t>
        </is>
      </c>
      <c r="B2084" s="3" t="inlineStr">
        <is>
          <t>중심상업지역</t>
        </is>
      </c>
      <c r="C2084" s="3" t="inlineStr">
        <is>
          <t>대</t>
        </is>
      </c>
      <c r="D2084" s="3" t="inlineStr">
        <is>
          <t>전</t>
        </is>
      </c>
      <c r="E2084" s="3" t="inlineStr">
        <is>
          <t>매매</t>
        </is>
      </c>
      <c r="F2084" s="4" t="n">
        <v>9000</v>
      </c>
      <c r="G2084" s="4" t="n">
        <v>363</v>
      </c>
      <c r="H2084" s="4" t="n">
        <v>110</v>
      </c>
      <c r="I2084" s="5" t="n">
        <v>81.8</v>
      </c>
      <c r="J2084" s="4" t="n">
        <v>747.8</v>
      </c>
      <c r="K2084" s="3" t="inlineStr">
        <is>
          <t>농막촌집단지역으로 주말농장겸 농막지역</t>
        </is>
      </c>
      <c r="L2084" s="6">
        <f>HYPERLINK("https://fin.land.naver.com/articles/2649315962", "매물Link")</f>
        <v/>
      </c>
      <c r="M2084" s="6">
        <f>HYPERLINK("https://map.naver.com/p/search/세종특별자치시 나성동 829", "지도Link")</f>
        <v/>
      </c>
      <c r="N2084" s="6">
        <f>HYPERLINK("http://www.eum.go.kr/web/ar/lu/luLandDet.jsp?pnu=3611010700108290000&amp;isNoScr=script&amp;mode=search", "토지이음")</f>
        <v/>
      </c>
      <c r="O2084" s="3" t="inlineStr">
        <is>
          <t>새일</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세종특별자치시 나성동 829</t>
        </is>
      </c>
      <c r="B2085" s="3" t="inlineStr">
        <is>
          <t>중심상업지역</t>
        </is>
      </c>
      <c r="C2085" s="3" t="inlineStr">
        <is>
          <t>대</t>
        </is>
      </c>
      <c r="D2085" s="3" t="inlineStr">
        <is>
          <t>전</t>
        </is>
      </c>
      <c r="E2085" s="3" t="inlineStr">
        <is>
          <t>매매</t>
        </is>
      </c>
      <c r="F2085" s="4" t="n">
        <v>10800</v>
      </c>
      <c r="G2085" s="4" t="n">
        <v>891</v>
      </c>
      <c r="H2085" s="4" t="n">
        <v>270</v>
      </c>
      <c r="I2085" s="5" t="n">
        <v>40</v>
      </c>
      <c r="J2085" s="4" t="n">
        <v>747.8</v>
      </c>
      <c r="K2085" s="3" t="inlineStr">
        <is>
          <t>공주시내 인근 금강변의 네모반듯 한 도로 옆 도시지역 전</t>
        </is>
      </c>
      <c r="L2085" s="6">
        <f>HYPERLINK("https://fin.land.naver.com/articles/2649836556", "매물Link")</f>
        <v/>
      </c>
      <c r="M2085" s="6">
        <f>HYPERLINK("https://map.naver.com/p/search/세종특별자치시 나성동 829", "지도Link")</f>
        <v/>
      </c>
      <c r="N2085" s="6">
        <f>HYPERLINK("http://www.eum.go.kr/web/ar/lu/luLandDet.jsp?pnu=3611010700108290000&amp;isNoScr=script&amp;mode=search", "토지이음")</f>
        <v/>
      </c>
      <c r="O2085" s="3" t="inlineStr">
        <is>
          <t>흙사랑</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세종특별자치시 나성동 829</t>
        </is>
      </c>
      <c r="B2086" s="3" t="inlineStr">
        <is>
          <t>중심상업지역</t>
        </is>
      </c>
      <c r="C2086" s="3" t="inlineStr">
        <is>
          <t>대</t>
        </is>
      </c>
      <c r="D2086" s="3" t="inlineStr">
        <is>
          <t>임야</t>
        </is>
      </c>
      <c r="E2086" s="3" t="inlineStr">
        <is>
          <t>매매</t>
        </is>
      </c>
      <c r="F2086" s="4" t="n">
        <v>12000</v>
      </c>
      <c r="G2086" s="4" t="n">
        <v>726</v>
      </c>
      <c r="H2086" s="4" t="n">
        <v>220</v>
      </c>
      <c r="I2086" s="5" t="n">
        <v>54.5</v>
      </c>
      <c r="J2086" s="4" t="n">
        <v>747.8</v>
      </c>
      <c r="K2086" s="3" t="inlineStr">
        <is>
          <t>공주시내 인접 언덕 위 금강 조망 고급 전원주택단지내 토지</t>
        </is>
      </c>
      <c r="L2086" s="6">
        <f>HYPERLINK("https://fin.land.naver.com/articles/2649845748", "매물Link")</f>
        <v/>
      </c>
      <c r="M2086" s="6">
        <f>HYPERLINK("https://map.naver.com/p/search/세종특별자치시 나성동 829", "지도Link")</f>
        <v/>
      </c>
      <c r="N2086" s="6">
        <f>HYPERLINK("http://www.eum.go.kr/web/ar/lu/luLandDet.jsp?pnu=3611010700108290000&amp;isNoScr=script&amp;mode=search", "토지이음")</f>
        <v/>
      </c>
      <c r="O2086" s="3" t="inlineStr">
        <is>
          <t>흙사랑</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세종특별자치시 나성동 829</t>
        </is>
      </c>
      <c r="B2087" s="3" t="inlineStr">
        <is>
          <t>중심상업지역</t>
        </is>
      </c>
      <c r="C2087" s="3" t="inlineStr">
        <is>
          <t>대</t>
        </is>
      </c>
      <c r="D2087" s="3" t="inlineStr">
        <is>
          <t>전</t>
        </is>
      </c>
      <c r="E2087" s="3" t="inlineStr">
        <is>
          <t>매매</t>
        </is>
      </c>
      <c r="F2087" s="4" t="n">
        <v>37000</v>
      </c>
      <c r="G2087" s="4" t="n">
        <v>3529</v>
      </c>
      <c r="H2087" s="4" t="n">
        <v>1068</v>
      </c>
      <c r="I2087" s="5" t="n">
        <v>34.6</v>
      </c>
      <c r="J2087" s="4" t="n">
        <v>747.8</v>
      </c>
      <c r="K2087" s="3" t="inlineStr">
        <is>
          <t>nan</t>
        </is>
      </c>
      <c r="L2087" s="6">
        <f>HYPERLINK("https://fin.land.naver.com/articles/2645773432", "매물Link")</f>
        <v/>
      </c>
      <c r="M2087" s="6">
        <f>HYPERLINK("https://map.naver.com/p/search/세종특별자치시 나성동 829", "지도Link")</f>
        <v/>
      </c>
      <c r="N2087" s="6">
        <f>HYPERLINK("http://www.eum.go.kr/web/ar/lu/luLandDet.jsp?pnu=3611010700108290000&amp;isNoScr=script&amp;mode=search", "토지이음")</f>
        <v/>
      </c>
      <c r="O2087" s="3" t="inlineStr">
        <is>
          <t>오성</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세종특별자치시 나성동 829</t>
        </is>
      </c>
      <c r="B2088" s="3" t="inlineStr">
        <is>
          <t>중심상업지역</t>
        </is>
      </c>
      <c r="C2088" s="3" t="inlineStr">
        <is>
          <t>대</t>
        </is>
      </c>
      <c r="D2088" s="3" t="inlineStr">
        <is>
          <t>전</t>
        </is>
      </c>
      <c r="E2088" s="3" t="inlineStr">
        <is>
          <t>매매</t>
        </is>
      </c>
      <c r="F2088" s="4" t="n">
        <v>90000</v>
      </c>
      <c r="G2088" s="4" t="n">
        <v>5021</v>
      </c>
      <c r="H2088" s="4" t="n">
        <v>1519</v>
      </c>
      <c r="I2088" s="5" t="n">
        <v>59.2</v>
      </c>
      <c r="J2088" s="4" t="n">
        <v>747.8</v>
      </c>
      <c r="K2088" s="3" t="inlineStr">
        <is>
          <t>nan</t>
        </is>
      </c>
      <c r="L2088" s="6">
        <f>HYPERLINK("https://fin.land.naver.com/articles/2647425707", "매물Link")</f>
        <v/>
      </c>
      <c r="M2088" s="6">
        <f>HYPERLINK("https://map.naver.com/p/search/세종특별자치시 나성동 829", "지도Link")</f>
        <v/>
      </c>
      <c r="N2088" s="6">
        <f>HYPERLINK("http://www.eum.go.kr/web/ar/lu/luLandDet.jsp?pnu=3611010700108290000&amp;isNoScr=script&amp;mode=search", "토지이음")</f>
        <v/>
      </c>
      <c r="O2088" s="3" t="inlineStr">
        <is>
          <t>백제</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세종특별자치시 나성동 829</t>
        </is>
      </c>
      <c r="B2089" s="3" t="inlineStr">
        <is>
          <t>중심상업지역</t>
        </is>
      </c>
      <c r="C2089" s="3" t="inlineStr">
        <is>
          <t>대</t>
        </is>
      </c>
      <c r="D2089" s="3" t="inlineStr">
        <is>
          <t>전</t>
        </is>
      </c>
      <c r="E2089" s="3" t="inlineStr">
        <is>
          <t>매매</t>
        </is>
      </c>
      <c r="F2089" s="4" t="n">
        <v>39500</v>
      </c>
      <c r="G2089" s="4" t="n">
        <v>1614</v>
      </c>
      <c r="H2089" s="4" t="n">
        <v>488</v>
      </c>
      <c r="I2089" s="5" t="n">
        <v>80.90000000000001</v>
      </c>
      <c r="J2089" s="4" t="n">
        <v>747.8</v>
      </c>
      <c r="K2089" s="3" t="inlineStr">
        <is>
          <t>개발 임박한 공주시 동현동 토지입니다.</t>
        </is>
      </c>
      <c r="L2089" s="6">
        <f>HYPERLINK("https://fin.land.naver.com/articles/2646625690", "매물Link")</f>
        <v/>
      </c>
      <c r="M2089" s="6">
        <f>HYPERLINK("https://map.naver.com/p/search/세종특별자치시 나성동 829", "지도Link")</f>
        <v/>
      </c>
      <c r="N2089" s="6">
        <f>HYPERLINK("http://www.eum.go.kr/web/ar/lu/luLandDet.jsp?pnu=3611010700108290000&amp;isNoScr=script&amp;mode=search", "토지이음")</f>
        <v/>
      </c>
      <c r="O2089" s="3" t="inlineStr">
        <is>
          <t>새땅</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세종특별자치시 나성동 829</t>
        </is>
      </c>
      <c r="B2090" s="3" t="inlineStr">
        <is>
          <t>중심상업지역</t>
        </is>
      </c>
      <c r="C2090" s="3" t="inlineStr">
        <is>
          <t>대</t>
        </is>
      </c>
      <c r="D2090" s="3" t="inlineStr">
        <is>
          <t>잡종지</t>
        </is>
      </c>
      <c r="E2090" s="3" t="inlineStr">
        <is>
          <t>매매</t>
        </is>
      </c>
      <c r="F2090" s="4" t="n">
        <v>165000</v>
      </c>
      <c r="G2090" s="4" t="n">
        <v>4006</v>
      </c>
      <c r="H2090" s="4" t="n">
        <v>1212</v>
      </c>
      <c r="I2090" s="5" t="n">
        <v>136.1</v>
      </c>
      <c r="J2090" s="4" t="n">
        <v>747.8</v>
      </c>
      <c r="K2090" s="3" t="inlineStr">
        <is>
          <t>공주시 동현동 동현일반산업단지 창고용지 매매</t>
        </is>
      </c>
      <c r="L2090" s="6">
        <f>HYPERLINK("https://fin.land.naver.com/articles/2650203467", "매물Link")</f>
        <v/>
      </c>
      <c r="M2090" s="6">
        <f>HYPERLINK("https://map.naver.com/p/search/세종특별자치시 나성동 829", "지도Link")</f>
        <v/>
      </c>
      <c r="N2090" s="6">
        <f>HYPERLINK("http://www.eum.go.kr/web/ar/lu/luLandDet.jsp?pnu=3611010700108290000&amp;isNoScr=script&amp;mode=search", "토지이음")</f>
        <v/>
      </c>
      <c r="O2090" s="3" t="inlineStr">
        <is>
          <t>세종공주노심종사무소</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세종특별자치시 나성동 829</t>
        </is>
      </c>
      <c r="B2091" s="3" t="inlineStr">
        <is>
          <t>중심상업지역</t>
        </is>
      </c>
      <c r="C2091" s="3" t="inlineStr">
        <is>
          <t>대</t>
        </is>
      </c>
      <c r="D2091" s="3" t="inlineStr">
        <is>
          <t>답</t>
        </is>
      </c>
      <c r="E2091" s="3" t="inlineStr">
        <is>
          <t>매매</t>
        </is>
      </c>
      <c r="F2091" s="4" t="n">
        <v>14900</v>
      </c>
      <c r="G2091" s="4" t="n">
        <v>1246</v>
      </c>
      <c r="H2091" s="4" t="n">
        <v>377</v>
      </c>
      <c r="I2091" s="5" t="n">
        <v>39.5</v>
      </c>
      <c r="J2091" s="4" t="n">
        <v>747.8</v>
      </c>
      <c r="K2091" s="3" t="inlineStr">
        <is>
          <t>nan</t>
        </is>
      </c>
      <c r="L2091" s="6">
        <f>HYPERLINK("https://fin.land.naver.com/articles/2649890213", "매물Link")</f>
        <v/>
      </c>
      <c r="M2091" s="6">
        <f>HYPERLINK("https://map.naver.com/p/search/세종특별자치시 나성동 829", "지도Link")</f>
        <v/>
      </c>
      <c r="N2091" s="6">
        <f>HYPERLINK("http://www.eum.go.kr/web/ar/lu/luLandDet.jsp?pnu=3611010700108290000&amp;isNoScr=script&amp;mode=search", "토지이음")</f>
        <v/>
      </c>
      <c r="O2091" s="3" t="inlineStr">
        <is>
          <t>컨설팅박사</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세종특별자치시 나성동 829</t>
        </is>
      </c>
      <c r="B2092" s="3" t="inlineStr">
        <is>
          <t>중심상업지역</t>
        </is>
      </c>
      <c r="C2092" s="3" t="inlineStr">
        <is>
          <t>대</t>
        </is>
      </c>
      <c r="D2092" s="3" t="inlineStr">
        <is>
          <t>전</t>
        </is>
      </c>
      <c r="E2092" s="3" t="inlineStr">
        <is>
          <t>매매</t>
        </is>
      </c>
      <c r="F2092" s="4" t="n">
        <v>22000</v>
      </c>
      <c r="G2092" s="4" t="n">
        <v>2224</v>
      </c>
      <c r="H2092" s="4" t="n">
        <v>673</v>
      </c>
      <c r="I2092" s="5" t="n">
        <v>32.7</v>
      </c>
      <c r="J2092" s="4" t="n">
        <v>747.8</v>
      </c>
      <c r="K2092" s="3" t="inlineStr">
        <is>
          <t>nan</t>
        </is>
      </c>
      <c r="L2092" s="6">
        <f>HYPERLINK("https://fin.land.naver.com/articles/2647119937", "매물Link")</f>
        <v/>
      </c>
      <c r="M2092" s="6">
        <f>HYPERLINK("https://map.naver.com/p/search/세종특별자치시 나성동 829", "지도Link")</f>
        <v/>
      </c>
      <c r="N2092" s="6">
        <f>HYPERLINK("http://www.eum.go.kr/web/ar/lu/luLandDet.jsp?pnu=3611010700108290000&amp;isNoScr=script&amp;mode=search", "토지이음")</f>
        <v/>
      </c>
      <c r="O2092" s="3" t="inlineStr">
        <is>
          <t>가온</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세종특별자치시 나성동 829</t>
        </is>
      </c>
      <c r="B2093" s="3" t="inlineStr">
        <is>
          <t>중심상업지역</t>
        </is>
      </c>
      <c r="C2093" s="3" t="inlineStr">
        <is>
          <t>대</t>
        </is>
      </c>
      <c r="D2093" s="3" t="inlineStr">
        <is>
          <t>전</t>
        </is>
      </c>
      <c r="E2093" s="3" t="inlineStr">
        <is>
          <t>매매</t>
        </is>
      </c>
      <c r="F2093" s="4" t="n">
        <v>6000</v>
      </c>
      <c r="G2093" s="4" t="n">
        <v>853</v>
      </c>
      <c r="H2093" s="4" t="n">
        <v>258</v>
      </c>
      <c r="I2093" s="5" t="n">
        <v>23.3</v>
      </c>
      <c r="J2093" s="4" t="n">
        <v>747.8</v>
      </c>
      <c r="K2093" s="3" t="inlineStr">
        <is>
          <t>nan</t>
        </is>
      </c>
      <c r="L2093" s="6">
        <f>HYPERLINK("https://fin.land.naver.com/articles/2647177386", "매물Link")</f>
        <v/>
      </c>
      <c r="M2093" s="6">
        <f>HYPERLINK("https://map.naver.com/p/search/세종특별자치시 나성동 829", "지도Link")</f>
        <v/>
      </c>
      <c r="N2093" s="6">
        <f>HYPERLINK("http://www.eum.go.kr/web/ar/lu/luLandDet.jsp?pnu=3611010700108290000&amp;isNoScr=script&amp;mode=search", "토지이음")</f>
        <v/>
      </c>
      <c r="O2093" s="3" t="inlineStr">
        <is>
          <t>진솔한</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세종특별자치시 나성동 829</t>
        </is>
      </c>
      <c r="B2094" s="3" t="inlineStr">
        <is>
          <t>중심상업지역</t>
        </is>
      </c>
      <c r="C2094" s="3" t="inlineStr">
        <is>
          <t>대</t>
        </is>
      </c>
      <c r="D2094" s="3" t="inlineStr">
        <is>
          <t>전</t>
        </is>
      </c>
      <c r="E2094" s="3" t="inlineStr">
        <is>
          <t>매매</t>
        </is>
      </c>
      <c r="F2094" s="4" t="n">
        <v>20000</v>
      </c>
      <c r="G2094" s="4" t="n">
        <v>2740</v>
      </c>
      <c r="H2094" s="4" t="n">
        <v>829</v>
      </c>
      <c r="I2094" s="5" t="n">
        <v>24.1</v>
      </c>
      <c r="J2094" s="4" t="n">
        <v>747.8</v>
      </c>
      <c r="K2094" s="3" t="inlineStr">
        <is>
          <t>1.소유자가 연세가 있으셔서 매매원함 
2.대지 413제곱미터 동시진행</t>
        </is>
      </c>
      <c r="L2094" s="6">
        <f>HYPERLINK("https://fin.land.naver.com/articles/2647425328", "매물Link")</f>
        <v/>
      </c>
      <c r="M2094" s="6">
        <f>HYPERLINK("https://map.naver.com/p/search/세종특별자치시 나성동 829", "지도Link")</f>
        <v/>
      </c>
      <c r="N2094" s="6">
        <f>HYPERLINK("http://www.eum.go.kr/web/ar/lu/luLandDet.jsp?pnu=3611010700108290000&amp;isNoScr=script&amp;mode=search", "토지이음")</f>
        <v/>
      </c>
      <c r="O2094" s="3" t="inlineStr">
        <is>
          <t>뉴위너스</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세종특별자치시 나성동 829</t>
        </is>
      </c>
      <c r="B2095" s="3" t="inlineStr">
        <is>
          <t>중심상업지역</t>
        </is>
      </c>
      <c r="C2095" s="3" t="inlineStr">
        <is>
          <t>대</t>
        </is>
      </c>
      <c r="D2095" s="3" t="inlineStr">
        <is>
          <t>전</t>
        </is>
      </c>
      <c r="E2095" s="3" t="inlineStr">
        <is>
          <t>매매</t>
        </is>
      </c>
      <c r="F2095" s="4" t="n">
        <v>250000</v>
      </c>
      <c r="G2095" s="4" t="n">
        <v>20000</v>
      </c>
      <c r="H2095" s="4" t="n">
        <v>6050</v>
      </c>
      <c r="I2095" s="5" t="n">
        <v>41.3</v>
      </c>
      <c r="J2095" s="4" t="n">
        <v>747.8</v>
      </c>
      <c r="K2095" s="3" t="inlineStr">
        <is>
          <t>멋진캠핑장 사이트 25개 연수익 25000만원정도나옴</t>
        </is>
      </c>
      <c r="L2095" s="6">
        <f>HYPERLINK("https://fin.land.naver.com/articles/2648574067", "매물Link")</f>
        <v/>
      </c>
      <c r="M2095" s="6">
        <f>HYPERLINK("https://map.naver.com/p/search/세종특별자치시 나성동 829", "지도Link")</f>
        <v/>
      </c>
      <c r="N2095" s="6">
        <f>HYPERLINK("http://www.eum.go.kr/web/ar/lu/luLandDet.jsp?pnu=3611010700108290000&amp;isNoScr=script&amp;mode=search", "토지이음")</f>
        <v/>
      </c>
      <c r="O2095" s="3" t="inlineStr">
        <is>
          <t>설화</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세종특별자치시 나성동 829</t>
        </is>
      </c>
      <c r="B2096" s="3" t="inlineStr">
        <is>
          <t>중심상업지역</t>
        </is>
      </c>
      <c r="C2096" s="3" t="inlineStr">
        <is>
          <t>대</t>
        </is>
      </c>
      <c r="D2096" s="3" t="inlineStr">
        <is>
          <t>대</t>
        </is>
      </c>
      <c r="E2096" s="3" t="inlineStr">
        <is>
          <t>매매</t>
        </is>
      </c>
      <c r="F2096" s="4" t="n">
        <v>70000</v>
      </c>
      <c r="G2096" s="4" t="n">
        <v>18218</v>
      </c>
      <c r="H2096" s="4" t="n">
        <v>5511</v>
      </c>
      <c r="I2096" s="5" t="n">
        <v>12.7</v>
      </c>
      <c r="J2096" s="4" t="n">
        <v>747.8</v>
      </c>
      <c r="K2096" s="3" t="inlineStr">
        <is>
          <t>대지, 전, 임야,하천 등 일괄매매.</t>
        </is>
      </c>
      <c r="L2096" s="6">
        <f>HYPERLINK("https://fin.land.naver.com/articles/2648833155", "매물Link")</f>
        <v/>
      </c>
      <c r="M2096" s="6">
        <f>HYPERLINK("https://map.naver.com/p/search/세종특별자치시 나성동 829", "지도Link")</f>
        <v/>
      </c>
      <c r="N2096" s="6">
        <f>HYPERLINK("http://www.eum.go.kr/web/ar/lu/luLandDet.jsp?pnu=3611010700108290000&amp;isNoScr=script&amp;mode=search", "토지이음")</f>
        <v/>
      </c>
      <c r="O2096" s="3" t="inlineStr">
        <is>
          <t>백제</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세종특별자치시 나성동 829</t>
        </is>
      </c>
      <c r="B2097" s="3" t="inlineStr">
        <is>
          <t>중심상업지역</t>
        </is>
      </c>
      <c r="C2097" s="3" t="inlineStr">
        <is>
          <t>대</t>
        </is>
      </c>
      <c r="D2097" s="3" t="inlineStr">
        <is>
          <t>임야</t>
        </is>
      </c>
      <c r="E2097" s="3" t="inlineStr">
        <is>
          <t>매매</t>
        </is>
      </c>
      <c r="F2097" s="4" t="n">
        <v>900000</v>
      </c>
      <c r="G2097" s="4" t="n">
        <v>34129</v>
      </c>
      <c r="H2097" s="4" t="n">
        <v>10324</v>
      </c>
      <c r="I2097" s="5" t="n">
        <v>87.2</v>
      </c>
      <c r="J2097" s="4" t="n">
        <v>747.8</v>
      </c>
      <c r="K2097" s="3" t="inlineStr">
        <is>
          <t>석산.바로50미터앞공장있음 접근성좋음 개발이익기대</t>
        </is>
      </c>
      <c r="L2097" s="6">
        <f>HYPERLINK("https://fin.land.naver.com/articles/2649078563", "매물Link")</f>
        <v/>
      </c>
      <c r="M2097" s="6">
        <f>HYPERLINK("https://map.naver.com/p/search/세종특별자치시 나성동 829", "지도Link")</f>
        <v/>
      </c>
      <c r="N2097" s="6">
        <f>HYPERLINK("http://www.eum.go.kr/web/ar/lu/luLandDet.jsp?pnu=3611010700108290000&amp;isNoScr=script&amp;mode=search", "토지이음")</f>
        <v/>
      </c>
      <c r="O2097" s="3" t="inlineStr">
        <is>
          <t>김도희</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세종특별자치시 나성동 829</t>
        </is>
      </c>
      <c r="B2098" s="3" t="inlineStr">
        <is>
          <t>중심상업지역</t>
        </is>
      </c>
      <c r="C2098" s="3" t="inlineStr">
        <is>
          <t>대</t>
        </is>
      </c>
      <c r="D2098" s="3" t="inlineStr">
        <is>
          <t>임야</t>
        </is>
      </c>
      <c r="E2098" s="3" t="inlineStr">
        <is>
          <t>매매</t>
        </is>
      </c>
      <c r="F2098" s="4" t="n">
        <v>75000</v>
      </c>
      <c r="G2098" s="4" t="n">
        <v>71735</v>
      </c>
      <c r="H2098" s="4" t="n">
        <v>21700</v>
      </c>
      <c r="I2098" s="5" t="n">
        <v>3.5</v>
      </c>
      <c r="J2098" s="4" t="n">
        <v>747.8</v>
      </c>
      <c r="K2098" s="3" t="inlineStr">
        <is>
          <t>낮은임야.</t>
        </is>
      </c>
      <c r="L2098" s="6">
        <f>HYPERLINK("https://fin.land.naver.com/articles/2649367225", "매물Link")</f>
        <v/>
      </c>
      <c r="M2098" s="6">
        <f>HYPERLINK("https://map.naver.com/p/search/세종특별자치시 나성동 829", "지도Link")</f>
        <v/>
      </c>
      <c r="N2098" s="6">
        <f>HYPERLINK("http://www.eum.go.kr/web/ar/lu/luLandDet.jsp?pnu=3611010700108290000&amp;isNoScr=script&amp;mode=search", "토지이음")</f>
        <v/>
      </c>
      <c r="O2098" s="3" t="inlineStr">
        <is>
          <t>신동아</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세종특별자치시 나성동 829</t>
        </is>
      </c>
      <c r="B2099" s="3" t="inlineStr">
        <is>
          <t>중심상업지역</t>
        </is>
      </c>
      <c r="C2099" s="3" t="inlineStr">
        <is>
          <t>대</t>
        </is>
      </c>
      <c r="D2099" s="3" t="inlineStr">
        <is>
          <t>임야</t>
        </is>
      </c>
      <c r="E2099" s="3" t="inlineStr">
        <is>
          <t>매매</t>
        </is>
      </c>
      <c r="F2099" s="4" t="n">
        <v>30000</v>
      </c>
      <c r="G2099" s="4" t="n">
        <v>49000</v>
      </c>
      <c r="H2099" s="4" t="n">
        <v>14822</v>
      </c>
      <c r="I2099" s="5" t="n">
        <v>2</v>
      </c>
      <c r="J2099" s="4" t="n">
        <v>747.8</v>
      </c>
      <c r="K2099" s="3" t="inlineStr">
        <is>
          <t>도로접한 임야</t>
        </is>
      </c>
      <c r="L2099" s="6">
        <f>HYPERLINK("https://fin.land.naver.com/articles/2649532709", "매물Link")</f>
        <v/>
      </c>
      <c r="M2099" s="6">
        <f>HYPERLINK("https://map.naver.com/p/search/세종특별자치시 나성동 829", "지도Link")</f>
        <v/>
      </c>
      <c r="N2099" s="6">
        <f>HYPERLINK("http://www.eum.go.kr/web/ar/lu/luLandDet.jsp?pnu=3611010700108290000&amp;isNoScr=script&amp;mode=search", "토지이음")</f>
        <v/>
      </c>
      <c r="O2099" s="3" t="inlineStr">
        <is>
          <t>천안도시무소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세종특별자치시 나성동 829</t>
        </is>
      </c>
      <c r="B2100" s="3" t="inlineStr">
        <is>
          <t>중심상업지역</t>
        </is>
      </c>
      <c r="C2100" s="3" t="inlineStr">
        <is>
          <t>대</t>
        </is>
      </c>
      <c r="D2100" s="3" t="inlineStr">
        <is>
          <t>임야</t>
        </is>
      </c>
      <c r="E2100" s="3" t="inlineStr">
        <is>
          <t>매매</t>
        </is>
      </c>
      <c r="F2100" s="4" t="n">
        <v>5900</v>
      </c>
      <c r="G2100" s="4" t="n">
        <v>796</v>
      </c>
      <c r="H2100" s="4" t="n">
        <v>241</v>
      </c>
      <c r="I2100" s="5" t="n">
        <v>24.5</v>
      </c>
      <c r="J2100" s="4" t="n">
        <v>747.8</v>
      </c>
      <c r="K2100" s="3" t="inlineStr">
        <is>
          <t>공주시 유구읍 금계산 기슭 자연쉼터,캠핑부지 매매</t>
        </is>
      </c>
      <c r="L2100" s="6">
        <f>HYPERLINK("https://fin.land.naver.com/articles/2650203119", "매물Link")</f>
        <v/>
      </c>
      <c r="M2100" s="6">
        <f>HYPERLINK("https://map.naver.com/p/search/세종특별자치시 나성동 829", "지도Link")</f>
        <v/>
      </c>
      <c r="N2100" s="6">
        <f>HYPERLINK("http://www.eum.go.kr/web/ar/lu/luLandDet.jsp?pnu=3611010700108290000&amp;isNoScr=script&amp;mode=search", "토지이음")</f>
        <v/>
      </c>
      <c r="O2100" s="3" t="inlineStr">
        <is>
          <t>세종공주노심종사무소</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세종특별자치시 나성동 829</t>
        </is>
      </c>
      <c r="B2101" s="3" t="inlineStr">
        <is>
          <t>중심상업지역</t>
        </is>
      </c>
      <c r="C2101" s="3" t="inlineStr">
        <is>
          <t>대</t>
        </is>
      </c>
      <c r="D2101" s="3" t="inlineStr">
        <is>
          <t>임야</t>
        </is>
      </c>
      <c r="E2101" s="3" t="inlineStr">
        <is>
          <t>매매</t>
        </is>
      </c>
      <c r="F2101" s="4" t="n">
        <v>20000</v>
      </c>
      <c r="G2101" s="4" t="n">
        <v>9933</v>
      </c>
      <c r="H2101" s="4" t="n">
        <v>3005</v>
      </c>
      <c r="I2101" s="5" t="n">
        <v>6.7</v>
      </c>
      <c r="J2101" s="4" t="n">
        <v>747.8</v>
      </c>
      <c r="K2101" s="3" t="inlineStr">
        <is>
          <t>저렴한가격,유구ic인접,투자추천,2필지,</t>
        </is>
      </c>
      <c r="L2101" s="6">
        <f>HYPERLINK("https://fin.land.naver.com/articles/2650213302", "매물Link")</f>
        <v/>
      </c>
      <c r="M2101" s="6">
        <f>HYPERLINK("https://map.naver.com/p/search/세종특별자치시 나성동 829", "지도Link")</f>
        <v/>
      </c>
      <c r="N2101" s="6">
        <f>HYPERLINK("http://www.eum.go.kr/web/ar/lu/luLandDet.jsp?pnu=3611010700108290000&amp;isNoScr=script&amp;mode=search", "토지이음")</f>
        <v/>
      </c>
      <c r="O2101" s="3" t="inlineStr">
        <is>
          <t>북수원</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세종특별자치시 나성동 829</t>
        </is>
      </c>
      <c r="B2102" s="3" t="inlineStr">
        <is>
          <t>중심상업지역</t>
        </is>
      </c>
      <c r="C2102" s="3" t="inlineStr">
        <is>
          <t>대</t>
        </is>
      </c>
      <c r="D2102" s="3" t="inlineStr">
        <is>
          <t>답</t>
        </is>
      </c>
      <c r="E2102" s="3" t="inlineStr">
        <is>
          <t>매매</t>
        </is>
      </c>
      <c r="F2102" s="4" t="n">
        <v>63800</v>
      </c>
      <c r="G2102" s="4" t="n">
        <v>2814</v>
      </c>
      <c r="H2102" s="4" t="n">
        <v>851</v>
      </c>
      <c r="I2102" s="5" t="n">
        <v>75</v>
      </c>
      <c r="J2102" s="4" t="n">
        <v>747.8</v>
      </c>
      <c r="K2102" s="3" t="inlineStr">
        <is>
          <t>공주시유구읍석남리토지매매</t>
        </is>
      </c>
      <c r="L2102" s="6">
        <f>HYPERLINK("https://fin.land.naver.com/articles/2644390471", "매물Link")</f>
        <v/>
      </c>
      <c r="M2102" s="6">
        <f>HYPERLINK("https://map.naver.com/p/search/세종특별자치시 나성동 829", "지도Link")</f>
        <v/>
      </c>
      <c r="N2102" s="6">
        <f>HYPERLINK("http://www.eum.go.kr/web/ar/lu/luLandDet.jsp?pnu=3611010700108290000&amp;isNoScr=script&amp;mode=search", "토지이음")</f>
        <v/>
      </c>
      <c r="O2102" s="3" t="inlineStr">
        <is>
          <t>컨설팅박사</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세종특별자치시 나성동 829</t>
        </is>
      </c>
      <c r="B2103" s="3" t="inlineStr">
        <is>
          <t>중심상업지역</t>
        </is>
      </c>
      <c r="C2103" s="3" t="inlineStr">
        <is>
          <t>대</t>
        </is>
      </c>
      <c r="D2103" s="3" t="inlineStr">
        <is>
          <t>대</t>
        </is>
      </c>
      <c r="E2103" s="3" t="inlineStr">
        <is>
          <t>매매</t>
        </is>
      </c>
      <c r="F2103" s="4" t="n">
        <v>18000</v>
      </c>
      <c r="G2103" s="4" t="n">
        <v>813</v>
      </c>
      <c r="H2103" s="4" t="n">
        <v>246</v>
      </c>
      <c r="I2103" s="5" t="n">
        <v>73.2</v>
      </c>
      <c r="J2103" s="4" t="n">
        <v>747.8</v>
      </c>
      <c r="K2103" s="3" t="inlineStr">
        <is>
          <t>nan</t>
        </is>
      </c>
      <c r="L2103" s="6">
        <f>HYPERLINK("https://fin.land.naver.com/articles/2644261916", "매물Link")</f>
        <v/>
      </c>
      <c r="M2103" s="6">
        <f>HYPERLINK("https://map.naver.com/p/search/세종특별자치시 나성동 829", "지도Link")</f>
        <v/>
      </c>
      <c r="N2103" s="6">
        <f>HYPERLINK("http://www.eum.go.kr/web/ar/lu/luLandDet.jsp?pnu=3611010700108290000&amp;isNoScr=script&amp;mode=search", "토지이음")</f>
        <v/>
      </c>
      <c r="O2103" s="3" t="inlineStr">
        <is>
          <t>정문리슈빌</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세종특별자치시 나성동 829</t>
        </is>
      </c>
      <c r="B2104" s="3" t="inlineStr">
        <is>
          <t>중심상업지역</t>
        </is>
      </c>
      <c r="C2104" s="3" t="inlineStr">
        <is>
          <t>대</t>
        </is>
      </c>
      <c r="D2104" s="3" t="inlineStr">
        <is>
          <t>임야</t>
        </is>
      </c>
      <c r="E2104" s="3" t="inlineStr">
        <is>
          <t>매매</t>
        </is>
      </c>
      <c r="F2104" s="4" t="n">
        <v>16500</v>
      </c>
      <c r="G2104" s="4" t="n">
        <v>52463</v>
      </c>
      <c r="H2104" s="4" t="n">
        <v>15870</v>
      </c>
      <c r="I2104" s="5" t="n">
        <v>1</v>
      </c>
      <c r="J2104" s="4" t="n">
        <v>747.8</v>
      </c>
      <c r="K2104" s="3" t="inlineStr">
        <is>
          <t>Point 자연인 추천 토지, 구거 접한 농림지역 임업용, 계획관리 일부</t>
        </is>
      </c>
      <c r="L2104" s="6">
        <f>HYPERLINK("https://fin.land.naver.com/articles/2646864266", "매물Link")</f>
        <v/>
      </c>
      <c r="M2104" s="6">
        <f>HYPERLINK("https://map.naver.com/p/search/세종특별자치시 나성동 829", "지도Link")</f>
        <v/>
      </c>
      <c r="N2104" s="6">
        <f>HYPERLINK("http://www.eum.go.kr/web/ar/lu/luLandDet.jsp?pnu=3611010700108290000&amp;isNoScr=script&amp;mode=search", "토지이음")</f>
        <v/>
      </c>
      <c r="O2104" s="3" t="inlineStr">
        <is>
          <t>도마호반</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세종특별자치시 나성동 829</t>
        </is>
      </c>
      <c r="B2105" s="3" t="inlineStr">
        <is>
          <t>중심상업지역</t>
        </is>
      </c>
      <c r="C2105" s="3" t="inlineStr">
        <is>
          <t>대</t>
        </is>
      </c>
      <c r="D2105" s="3" t="inlineStr">
        <is>
          <t>답</t>
        </is>
      </c>
      <c r="E2105" s="3" t="inlineStr">
        <is>
          <t>매매</t>
        </is>
      </c>
      <c r="F2105" s="4" t="n">
        <v>5625</v>
      </c>
      <c r="G2105" s="4" t="n">
        <v>1240</v>
      </c>
      <c r="H2105" s="4" t="n">
        <v>375</v>
      </c>
      <c r="I2105" s="5" t="n">
        <v>15</v>
      </c>
      <c r="J2105" s="4" t="n">
        <v>747.8</v>
      </c>
      <c r="K2105" s="3" t="inlineStr">
        <is>
          <t>계획관리지역 성장관리계획구역</t>
        </is>
      </c>
      <c r="L2105" s="6">
        <f>HYPERLINK("https://fin.land.naver.com/articles/2646396954", "매물Link")</f>
        <v/>
      </c>
      <c r="M2105" s="6">
        <f>HYPERLINK("https://map.naver.com/p/search/세종특별자치시 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세종특별자치시 나성동 829</t>
        </is>
      </c>
      <c r="B2106" s="3" t="inlineStr">
        <is>
          <t>중심상업지역</t>
        </is>
      </c>
      <c r="C2106" s="3" t="inlineStr">
        <is>
          <t>대</t>
        </is>
      </c>
      <c r="D2106" s="3" t="inlineStr">
        <is>
          <t>답</t>
        </is>
      </c>
      <c r="E2106" s="3" t="inlineStr">
        <is>
          <t>매매</t>
        </is>
      </c>
      <c r="F2106" s="4" t="n">
        <v>3870</v>
      </c>
      <c r="G2106" s="4" t="n">
        <v>853</v>
      </c>
      <c r="H2106" s="4" t="n">
        <v>258</v>
      </c>
      <c r="I2106" s="5" t="n">
        <v>15</v>
      </c>
      <c r="J2106" s="4" t="n">
        <v>747.8</v>
      </c>
      <c r="K2106" s="3" t="inlineStr">
        <is>
          <t>계획관리지역 성장관리계획구역</t>
        </is>
      </c>
      <c r="L2106" s="6">
        <f>HYPERLINK("https://fin.land.naver.com/articles/2646397522", "매물Link")</f>
        <v/>
      </c>
      <c r="M2106" s="6">
        <f>HYPERLINK("https://map.naver.com/p/search/세종특별자치시 나성동 829", "지도Link")</f>
        <v/>
      </c>
      <c r="N2106" s="6">
        <f>HYPERLINK("http://www.eum.go.kr/web/ar/lu/luLandDet.jsp?pnu=3611010700108290000&amp;isNoScr=script&amp;mode=search", "토지이음")</f>
        <v/>
      </c>
      <c r="O2106" s="3" t="inlineStr">
        <is>
          <t>SM</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세종특별자치시 나성동 829</t>
        </is>
      </c>
      <c r="B2107" s="3" t="inlineStr">
        <is>
          <t>중심상업지역</t>
        </is>
      </c>
      <c r="C2107" s="3" t="inlineStr">
        <is>
          <t>대</t>
        </is>
      </c>
      <c r="D2107" s="3" t="inlineStr">
        <is>
          <t>전</t>
        </is>
      </c>
      <c r="E2107" s="3" t="inlineStr">
        <is>
          <t>매매</t>
        </is>
      </c>
      <c r="F2107" s="4" t="n">
        <v>6000</v>
      </c>
      <c r="G2107" s="4" t="n">
        <v>989</v>
      </c>
      <c r="H2107" s="4" t="n">
        <v>299</v>
      </c>
      <c r="I2107" s="5" t="n">
        <v>20.1</v>
      </c>
      <c r="J2107" s="4" t="n">
        <v>747.8</v>
      </c>
      <c r="K2107" s="3" t="inlineStr">
        <is>
          <t>혐오시설 없는 청정마을, 저렴한 금액의 계획관리지역 토지</t>
        </is>
      </c>
      <c r="L2107" s="6">
        <f>HYPERLINK("https://fin.land.naver.com/articles/2649837405", "매물Link")</f>
        <v/>
      </c>
      <c r="M2107" s="6">
        <f>HYPERLINK("https://map.naver.com/p/search/세종특별자치시 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세종특별자치시 나성동 829</t>
        </is>
      </c>
      <c r="B2108" s="3" t="inlineStr">
        <is>
          <t>중심상업지역</t>
        </is>
      </c>
      <c r="C2108" s="3" t="inlineStr">
        <is>
          <t>대</t>
        </is>
      </c>
      <c r="D2108" s="3" t="inlineStr">
        <is>
          <t>답</t>
        </is>
      </c>
      <c r="E2108" s="3" t="inlineStr">
        <is>
          <t>매매</t>
        </is>
      </c>
      <c r="F2108" s="4" t="n">
        <v>3400</v>
      </c>
      <c r="G2108" s="4" t="n">
        <v>458</v>
      </c>
      <c r="H2108" s="4" t="n">
        <v>139</v>
      </c>
      <c r="I2108" s="5" t="n">
        <v>24.5</v>
      </c>
      <c r="J2108" s="4" t="n">
        <v>747.8</v>
      </c>
      <c r="K2108" s="3" t="inlineStr">
        <is>
          <t>마을 안 산골마을에 위치한 작고 저렴한 금액의 계획관리 토지</t>
        </is>
      </c>
      <c r="L2108" s="6">
        <f>HYPERLINK("https://fin.land.naver.com/articles/2649861224", "매물Link")</f>
        <v/>
      </c>
      <c r="M2108" s="6">
        <f>HYPERLINK("https://map.naver.com/p/search/세종특별자치시 나성동 829", "지도Link")</f>
        <v/>
      </c>
      <c r="N2108" s="6">
        <f>HYPERLINK("http://www.eum.go.kr/web/ar/lu/luLandDet.jsp?pnu=3611010700108290000&amp;isNoScr=script&amp;mode=search", "토지이음")</f>
        <v/>
      </c>
      <c r="O2108" s="3" t="inlineStr">
        <is>
          <t>흙사랑</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세종특별자치시 나성동 829</t>
        </is>
      </c>
      <c r="B2109" s="3" t="inlineStr">
        <is>
          <t>중심상업지역</t>
        </is>
      </c>
      <c r="C2109" s="3" t="inlineStr">
        <is>
          <t>대</t>
        </is>
      </c>
      <c r="D2109" s="3" t="inlineStr">
        <is>
          <t>전</t>
        </is>
      </c>
      <c r="E2109" s="3" t="inlineStr">
        <is>
          <t>매매</t>
        </is>
      </c>
      <c r="F2109" s="4" t="n">
        <v>20000</v>
      </c>
      <c r="G2109" s="4" t="n">
        <v>995</v>
      </c>
      <c r="H2109" s="4" t="n">
        <v>301</v>
      </c>
      <c r="I2109" s="5" t="n">
        <v>66.40000000000001</v>
      </c>
      <c r="J2109" s="4" t="n">
        <v>747.8</v>
      </c>
      <c r="K2109" s="3" t="inlineStr">
        <is>
          <t>nan</t>
        </is>
      </c>
      <c r="L2109" s="6">
        <f>HYPERLINK("https://fin.land.naver.com/articles/2647677857", "매물Link")</f>
        <v/>
      </c>
      <c r="M2109" s="6">
        <f>HYPERLINK("https://map.naver.com/p/search/세종특별자치시 나성동 829", "지도Link")</f>
        <v/>
      </c>
      <c r="N2109" s="6">
        <f>HYPERLINK("http://www.eum.go.kr/web/ar/lu/luLandDet.jsp?pnu=3611010700108290000&amp;isNoScr=script&amp;mode=search", "토지이음")</f>
        <v/>
      </c>
      <c r="O2109" s="3" t="inlineStr">
        <is>
          <t>백제</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세종특별자치시 나성동 829</t>
        </is>
      </c>
      <c r="B2110" s="3" t="inlineStr">
        <is>
          <t>중심상업지역</t>
        </is>
      </c>
      <c r="C2110" s="3" t="inlineStr">
        <is>
          <t>대</t>
        </is>
      </c>
      <c r="D2110" s="3" t="inlineStr">
        <is>
          <t>대</t>
        </is>
      </c>
      <c r="E2110" s="3" t="inlineStr">
        <is>
          <t>매매</t>
        </is>
      </c>
      <c r="F2110" s="4" t="n">
        <v>48400</v>
      </c>
      <c r="G2110" s="4" t="n">
        <v>1454</v>
      </c>
      <c r="H2110" s="4" t="n">
        <v>440</v>
      </c>
      <c r="I2110" s="5" t="n">
        <v>110</v>
      </c>
      <c r="J2110" s="4" t="n">
        <v>747.8</v>
      </c>
      <c r="K2110" s="3" t="inlineStr">
        <is>
          <t>오창i,c 10분 인,허가 토목공사완료된 제조업소부지</t>
        </is>
      </c>
      <c r="L2110" s="6">
        <f>HYPERLINK("https://fin.land.naver.com/articles/2644563255", "매물Link")</f>
        <v/>
      </c>
      <c r="M2110" s="6">
        <f>HYPERLINK("https://map.naver.com/p/search/세종특별자치시 나성동 829", "지도Link")</f>
        <v/>
      </c>
      <c r="N2110" s="6">
        <f>HYPERLINK("http://www.eum.go.kr/web/ar/lu/luLandDet.jsp?pnu=3611010700108290000&amp;isNoScr=script&amp;mode=search", "토지이음")</f>
        <v/>
      </c>
      <c r="O2110" s="3" t="inlineStr">
        <is>
          <t>공장365</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세종특별자치시 나성동 829</t>
        </is>
      </c>
      <c r="B2111" s="3" t="inlineStr">
        <is>
          <t>중심상업지역</t>
        </is>
      </c>
      <c r="C2111" s="3" t="inlineStr">
        <is>
          <t>대</t>
        </is>
      </c>
      <c r="D2111" s="3" t="inlineStr">
        <is>
          <t>대</t>
        </is>
      </c>
      <c r="E2111" s="3" t="inlineStr">
        <is>
          <t>매매</t>
        </is>
      </c>
      <c r="F2111" s="4" t="n">
        <v>24500</v>
      </c>
      <c r="G2111" s="4" t="n">
        <v>228</v>
      </c>
      <c r="H2111" s="4" t="n">
        <v>69</v>
      </c>
      <c r="I2111" s="5" t="n">
        <v>355.1</v>
      </c>
      <c r="J2111" s="4" t="n">
        <v>747.8</v>
      </c>
      <c r="K2111" s="3" t="inlineStr">
        <is>
          <t>다가구건축가능한 나대지이며 입지최상임</t>
        </is>
      </c>
      <c r="L2111" s="6">
        <f>HYPERLINK("https://fin.land.naver.com/articles/2647246276", "매물Link")</f>
        <v/>
      </c>
      <c r="M2111" s="6">
        <f>HYPERLINK("https://map.naver.com/p/search/세종특별자치시 나성동 829", "지도Link")</f>
        <v/>
      </c>
      <c r="N2111" s="6">
        <f>HYPERLINK("http://www.eum.go.kr/web/ar/lu/luLandDet.jsp?pnu=3611010700108290000&amp;isNoScr=script&amp;mode=search", "토지이음")</f>
        <v/>
      </c>
      <c r="O2111" s="3" t="inlineStr">
        <is>
          <t>도안트리풀행운</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세종특별자치시 나성동 829</t>
        </is>
      </c>
      <c r="B2112" s="3" t="inlineStr">
        <is>
          <t>중심상업지역</t>
        </is>
      </c>
      <c r="C2112" s="3" t="inlineStr">
        <is>
          <t>대</t>
        </is>
      </c>
      <c r="D2112" s="3" t="inlineStr">
        <is>
          <t>전</t>
        </is>
      </c>
      <c r="E2112" s="3" t="inlineStr">
        <is>
          <t>매매</t>
        </is>
      </c>
      <c r="F2112" s="4" t="n">
        <v>120000</v>
      </c>
      <c r="G2112" s="4" t="n">
        <v>6925</v>
      </c>
      <c r="H2112" s="4" t="n">
        <v>2095</v>
      </c>
      <c r="I2112" s="5" t="n">
        <v>57.3</v>
      </c>
      <c r="J2112" s="4" t="n">
        <v>747.8</v>
      </c>
      <c r="K2112" s="3" t="inlineStr">
        <is>
          <t>중부고속도로JC근접 및 중부대로에 근접한 용도 다양한 토지</t>
        </is>
      </c>
      <c r="L2112" s="6">
        <f>HYPERLINK("https://fin.land.naver.com/articles/2647771316", "매물Link")</f>
        <v/>
      </c>
      <c r="M2112" s="6">
        <f>HYPERLINK("https://map.naver.com/p/search/세종특별자치시 나성동 829", "지도Link")</f>
        <v/>
      </c>
      <c r="N2112" s="6">
        <f>HYPERLINK("http://www.eum.go.kr/web/ar/lu/luLandDet.jsp?pnu=3611010700108290000&amp;isNoScr=script&amp;mode=search", "토지이음")</f>
        <v/>
      </c>
      <c r="O2112" s="3" t="inlineStr">
        <is>
          <t>좋은</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세종특별자치시 나성동 829</t>
        </is>
      </c>
      <c r="B2113" s="3" t="inlineStr">
        <is>
          <t>중심상업지역</t>
        </is>
      </c>
      <c r="C2113" s="3" t="inlineStr">
        <is>
          <t>대</t>
        </is>
      </c>
      <c r="D2113" s="3" t="inlineStr">
        <is>
          <t>임야</t>
        </is>
      </c>
      <c r="E2113" s="3" t="inlineStr">
        <is>
          <t>매매</t>
        </is>
      </c>
      <c r="F2113" s="4" t="n">
        <v>220000</v>
      </c>
      <c r="G2113" s="4" t="n">
        <v>41452</v>
      </c>
      <c r="H2113" s="4" t="n">
        <v>12539</v>
      </c>
      <c r="I2113" s="5" t="n">
        <v>17.5</v>
      </c>
      <c r="J2113" s="4" t="n">
        <v>747.8</v>
      </c>
      <c r="K2113" s="3" t="inlineStr">
        <is>
          <t>성산저수지 인근 호수가 보이는 임야로 관광농원,카페,숙박,전원주택개발추천</t>
        </is>
      </c>
      <c r="L2113" s="6">
        <f>HYPERLINK("https://fin.land.naver.com/articles/2647833632", "매물Link")</f>
        <v/>
      </c>
      <c r="M2113" s="6">
        <f>HYPERLINK("https://map.naver.com/p/search/세종특별자치시 나성동 829", "지도Link")</f>
        <v/>
      </c>
      <c r="N2113" s="6">
        <f>HYPERLINK("http://www.eum.go.kr/web/ar/lu/luLandDet.jsp?pnu=3611010700108290000&amp;isNoScr=script&amp;mode=search", "토지이음")</f>
        <v/>
      </c>
      <c r="O2113" s="3" t="inlineStr">
        <is>
          <t>모아</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세종특별자치시 나성동 829</t>
        </is>
      </c>
      <c r="B2114" s="3" t="inlineStr">
        <is>
          <t>중심상업지역</t>
        </is>
      </c>
      <c r="C2114" s="3" t="inlineStr">
        <is>
          <t>대</t>
        </is>
      </c>
      <c r="D2114" s="3" t="inlineStr">
        <is>
          <t>답</t>
        </is>
      </c>
      <c r="E2114" s="3" t="inlineStr">
        <is>
          <t>매매</t>
        </is>
      </c>
      <c r="F2114" s="4" t="n">
        <v>118000</v>
      </c>
      <c r="G2114" s="4" t="n">
        <v>12958</v>
      </c>
      <c r="H2114" s="4" t="n">
        <v>3920</v>
      </c>
      <c r="I2114" s="5" t="n">
        <v>30.1</v>
      </c>
      <c r="J2114" s="4" t="n">
        <v>747.8</v>
      </c>
      <c r="K2114" s="3" t="inlineStr">
        <is>
          <t>오창읍 석우뜰로서  미호강 제방 인접 농지</t>
        </is>
      </c>
      <c r="L2114" s="6">
        <f>HYPERLINK("https://fin.land.naver.com/articles/2647734662", "매물Link")</f>
        <v/>
      </c>
      <c r="M2114" s="6">
        <f>HYPERLINK("https://map.naver.com/p/search/세종특별자치시 나성동 829", "지도Link")</f>
        <v/>
      </c>
      <c r="N2114" s="6">
        <f>HYPERLINK("http://www.eum.go.kr/web/ar/lu/luLandDet.jsp?pnu=3611010700108290000&amp;isNoScr=script&amp;mode=search", "토지이음")</f>
        <v/>
      </c>
      <c r="O2114" s="3" t="inlineStr">
        <is>
          <t>좋은</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세종특별자치시 나성동 829</t>
        </is>
      </c>
      <c r="B2115" s="3" t="inlineStr">
        <is>
          <t>중심상업지역</t>
        </is>
      </c>
      <c r="C2115" s="3" t="inlineStr">
        <is>
          <t>대</t>
        </is>
      </c>
      <c r="D2115" s="3" t="inlineStr">
        <is>
          <t>대</t>
        </is>
      </c>
      <c r="E2115" s="3" t="inlineStr">
        <is>
          <t>매매</t>
        </is>
      </c>
      <c r="F2115" s="4" t="n">
        <v>70000</v>
      </c>
      <c r="G2115" s="4" t="n">
        <v>1215</v>
      </c>
      <c r="H2115" s="4" t="n">
        <v>368</v>
      </c>
      <c r="I2115" s="5" t="n">
        <v>190.2</v>
      </c>
      <c r="J2115" s="4" t="n">
        <v>747.8</v>
      </c>
      <c r="K2115" s="3" t="inlineStr">
        <is>
          <t>방사광가속기가 구축되는 오창테크노폴리스의 주도로에 접한 나대지</t>
        </is>
      </c>
      <c r="L2115" s="6">
        <f>HYPERLINK("https://fin.land.naver.com/articles/2646654665", "매물Link")</f>
        <v/>
      </c>
      <c r="M2115" s="6">
        <f>HYPERLINK("https://map.naver.com/p/search/세종특별자치시 나성동 829", "지도Link")</f>
        <v/>
      </c>
      <c r="N2115" s="6">
        <f>HYPERLINK("http://www.eum.go.kr/web/ar/lu/luLandDet.jsp?pnu=3611010700108290000&amp;isNoScr=script&amp;mode=search", "토지이음")</f>
        <v/>
      </c>
      <c r="O2115" s="3" t="inlineStr">
        <is>
          <t>강문구</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세종특별자치시 나성동 829</t>
        </is>
      </c>
      <c r="B2116" s="3" t="inlineStr">
        <is>
          <t>중심상업지역</t>
        </is>
      </c>
      <c r="C2116" s="3" t="inlineStr">
        <is>
          <t>대</t>
        </is>
      </c>
      <c r="D2116" s="3" t="inlineStr">
        <is>
          <t>임야</t>
        </is>
      </c>
      <c r="E2116" s="3" t="inlineStr">
        <is>
          <t>매매</t>
        </is>
      </c>
      <c r="F2116" s="4" t="n">
        <v>514800</v>
      </c>
      <c r="G2116" s="4" t="n">
        <v>170182</v>
      </c>
      <c r="H2116" s="4" t="n">
        <v>51480</v>
      </c>
      <c r="I2116" s="5" t="n">
        <v>10</v>
      </c>
      <c r="J2116" s="4" t="n">
        <v>747.8</v>
      </c>
      <c r="K2116" s="3" t="inlineStr">
        <is>
          <t>오창테크노폴리스 일반산업단지 인근 투자용 적합</t>
        </is>
      </c>
      <c r="L2116" s="6">
        <f>HYPERLINK("https://fin.land.naver.com/articles/2649662128", "매물Link")</f>
        <v/>
      </c>
      <c r="M2116" s="6">
        <f>HYPERLINK("https://map.naver.com/p/search/세종특별자치시 나성동 829", "지도Link")</f>
        <v/>
      </c>
      <c r="N2116" s="6">
        <f>HYPERLINK("http://www.eum.go.kr/web/ar/lu/luLandDet.jsp?pnu=3611010700108290000&amp;isNoScr=script&amp;mode=search", "토지이음")</f>
        <v/>
      </c>
      <c r="O2116" s="3" t="inlineStr">
        <is>
          <t>더원</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세종특별자치시 나성동 829</t>
        </is>
      </c>
      <c r="B2117" s="3" t="inlineStr">
        <is>
          <t>중심상업지역</t>
        </is>
      </c>
      <c r="C2117" s="3" t="inlineStr">
        <is>
          <t>대</t>
        </is>
      </c>
      <c r="D2117" s="3" t="inlineStr">
        <is>
          <t>전</t>
        </is>
      </c>
      <c r="E2117" s="3" t="inlineStr">
        <is>
          <t>매매</t>
        </is>
      </c>
      <c r="F2117" s="4" t="n">
        <v>30000</v>
      </c>
      <c r="G2117" s="4" t="n">
        <v>2025</v>
      </c>
      <c r="H2117" s="4" t="n">
        <v>613</v>
      </c>
      <c r="I2117" s="5" t="n">
        <v>48.9</v>
      </c>
      <c r="J2117" s="4" t="n">
        <v>747.8</v>
      </c>
      <c r="K2117" s="3" t="inlineStr">
        <is>
          <t>전원주택지최적, 투자,텃밭농사,오창4산단인근</t>
        </is>
      </c>
      <c r="L2117" s="6">
        <f>HYPERLINK("https://fin.land.naver.com/articles/2649775897", "매물Link")</f>
        <v/>
      </c>
      <c r="M2117" s="6">
        <f>HYPERLINK("https://map.naver.com/p/search/세종특별자치시 나성동 829", "지도Link")</f>
        <v/>
      </c>
      <c r="N2117" s="6">
        <f>HYPERLINK("http://www.eum.go.kr/web/ar/lu/luLandDet.jsp?pnu=3611010700108290000&amp;isNoScr=script&amp;mode=search", "토지이음")</f>
        <v/>
      </c>
      <c r="O2117" s="3" t="inlineStr">
        <is>
          <t>이박사</t>
        </is>
      </c>
      <c r="P2117" s="3" t="n">
        <v>1</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세종특별자치시 나성동 829</t>
        </is>
      </c>
      <c r="B2118" s="3" t="inlineStr">
        <is>
          <t>중심상업지역</t>
        </is>
      </c>
      <c r="C2118" s="3" t="inlineStr">
        <is>
          <t>대</t>
        </is>
      </c>
      <c r="D2118" s="3" t="inlineStr">
        <is>
          <t>대</t>
        </is>
      </c>
      <c r="E2118" s="3" t="inlineStr">
        <is>
          <t>매매</t>
        </is>
      </c>
      <c r="F2118" s="4" t="n">
        <v>1450000</v>
      </c>
      <c r="G2118" s="4" t="n">
        <v>1991</v>
      </c>
      <c r="H2118" s="4" t="n">
        <v>602</v>
      </c>
      <c r="I2118" s="5" t="n">
        <v>2408.6</v>
      </c>
      <c r="J2118" s="4" t="n">
        <v>747.8</v>
      </c>
      <c r="K2118" s="3" t="inlineStr">
        <is>
          <t>오창중심상가.용적율1,000,호텔,오피스텔추천,오피허가득,투자</t>
        </is>
      </c>
      <c r="L2118" s="6">
        <f>HYPERLINK("https://fin.land.naver.com/articles/2649776436", "매물Link")</f>
        <v/>
      </c>
      <c r="M2118" s="6">
        <f>HYPERLINK("https://map.naver.com/p/search/세종특별자치시 나성동 829", "지도Link")</f>
        <v/>
      </c>
      <c r="N2118" s="6">
        <f>HYPERLINK("http://www.eum.go.kr/web/ar/lu/luLandDet.jsp?pnu=3611010700108290000&amp;isNoScr=script&amp;mode=search", "토지이음")</f>
        <v/>
      </c>
      <c r="O2118" s="3" t="inlineStr">
        <is>
          <t>이박사</t>
        </is>
      </c>
      <c r="P2118" s="3" t="n">
        <v>3</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세종특별자치시 나성동 829</t>
        </is>
      </c>
      <c r="B2119" s="3" t="inlineStr">
        <is>
          <t>중심상업지역</t>
        </is>
      </c>
      <c r="C2119" s="3" t="inlineStr">
        <is>
          <t>대</t>
        </is>
      </c>
      <c r="D2119" s="3" t="inlineStr">
        <is>
          <t>전</t>
        </is>
      </c>
      <c r="E2119" s="3" t="inlineStr">
        <is>
          <t>매매</t>
        </is>
      </c>
      <c r="F2119" s="4" t="n">
        <v>30000</v>
      </c>
      <c r="G2119" s="4" t="n">
        <v>1653</v>
      </c>
      <c r="H2119" s="4" t="n">
        <v>500</v>
      </c>
      <c r="I2119" s="5" t="n">
        <v>60</v>
      </c>
      <c r="J2119" s="4" t="n">
        <v>747.8</v>
      </c>
      <c r="K2119" s="3" t="inlineStr">
        <is>
          <t>nan</t>
        </is>
      </c>
      <c r="L2119" s="6">
        <f>HYPERLINK("https://fin.land.naver.com/articles/2644356538", "매물Link")</f>
        <v/>
      </c>
      <c r="M2119" s="6">
        <f>HYPERLINK("https://map.naver.com/p/search/세종특별자치시 나성동 829", "지도Link")</f>
        <v/>
      </c>
      <c r="N2119" s="6">
        <f>HYPERLINK("http://www.eum.go.kr/web/ar/lu/luLandDet.jsp?pnu=3611010700108290000&amp;isNoScr=script&amp;mode=search", "토지이음")</f>
        <v/>
      </c>
      <c r="O2119" s="3" t="inlineStr">
        <is>
          <t>대한</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세종특별자치시 나성동 829</t>
        </is>
      </c>
      <c r="B2120" s="3" t="inlineStr">
        <is>
          <t>중심상업지역</t>
        </is>
      </c>
      <c r="C2120" s="3" t="inlineStr">
        <is>
          <t>대</t>
        </is>
      </c>
      <c r="D2120" s="3" t="inlineStr">
        <is>
          <t>대</t>
        </is>
      </c>
      <c r="E2120" s="3" t="inlineStr">
        <is>
          <t>매매</t>
        </is>
      </c>
      <c r="F2120" s="4" t="n">
        <v>6500</v>
      </c>
      <c r="G2120" s="4" t="n">
        <v>213</v>
      </c>
      <c r="H2120" s="4" t="n">
        <v>64</v>
      </c>
      <c r="I2120" s="5" t="n">
        <v>101.6</v>
      </c>
      <c r="J2120" s="4" t="n">
        <v>747.8</v>
      </c>
      <c r="K2120" s="3" t="inlineStr">
        <is>
          <t>포장도로에 접한 대지 귀한매물입니다 주택 창고 근생등 다양한 활용가능</t>
        </is>
      </c>
      <c r="L2120" s="6">
        <f>HYPERLINK("https://fin.land.naver.com/articles/2644517971", "매물Link")</f>
        <v/>
      </c>
      <c r="M2120" s="6">
        <f>HYPERLINK("https://map.naver.com/p/search/세종특별자치시 나성동 829", "지도Link")</f>
        <v/>
      </c>
      <c r="N2120" s="6">
        <f>HYPERLINK("http://www.eum.go.kr/web/ar/lu/luLandDet.jsp?pnu=3611010700108290000&amp;isNoScr=script&amp;mode=search", "토지이음")</f>
        <v/>
      </c>
      <c r="O2120" s="3" t="inlineStr">
        <is>
          <t>미래</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세종특별자치시 나성동 829</t>
        </is>
      </c>
      <c r="B2121" s="3" t="inlineStr">
        <is>
          <t>중심상업지역</t>
        </is>
      </c>
      <c r="C2121" s="3" t="inlineStr">
        <is>
          <t>대</t>
        </is>
      </c>
      <c r="D2121" s="3" t="inlineStr">
        <is>
          <t>답</t>
        </is>
      </c>
      <c r="E2121" s="3" t="inlineStr">
        <is>
          <t>매매</t>
        </is>
      </c>
      <c r="F2121" s="4" t="n">
        <v>20000</v>
      </c>
      <c r="G2121" s="4" t="n">
        <v>693</v>
      </c>
      <c r="H2121" s="4" t="n">
        <v>210</v>
      </c>
      <c r="I2121" s="5" t="n">
        <v>95.2</v>
      </c>
      <c r="J2121" s="4" t="n">
        <v>747.8</v>
      </c>
      <c r="K2121" s="3" t="inlineStr">
        <is>
          <t>nan</t>
        </is>
      </c>
      <c r="L2121" s="6">
        <f>HYPERLINK("https://fin.land.naver.com/articles/2645493309", "매물Link")</f>
        <v/>
      </c>
      <c r="M2121" s="6">
        <f>HYPERLINK("https://map.naver.com/p/search/세종특별자치시 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세종특별자치시 나성동 829</t>
        </is>
      </c>
      <c r="B2122" s="3" t="inlineStr">
        <is>
          <t>중심상업지역</t>
        </is>
      </c>
      <c r="C2122" s="3" t="inlineStr">
        <is>
          <t>대</t>
        </is>
      </c>
      <c r="D2122" s="3" t="inlineStr">
        <is>
          <t>전</t>
        </is>
      </c>
      <c r="E2122" s="3" t="inlineStr">
        <is>
          <t>매매</t>
        </is>
      </c>
      <c r="F2122" s="4" t="n">
        <v>21480</v>
      </c>
      <c r="G2122" s="4" t="n">
        <v>2366</v>
      </c>
      <c r="H2122" s="4" t="n">
        <v>716</v>
      </c>
      <c r="I2122" s="5" t="n">
        <v>30</v>
      </c>
      <c r="J2122" s="4" t="n">
        <v>747.8</v>
      </c>
      <c r="K2122" s="3" t="inlineStr">
        <is>
          <t>nan</t>
        </is>
      </c>
      <c r="L2122" s="6">
        <f>HYPERLINK("https://fin.land.naver.com/articles/2645493969", "매물Link")</f>
        <v/>
      </c>
      <c r="M2122" s="6">
        <f>HYPERLINK("https://map.naver.com/p/search/세종특별자치시 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세종특별자치시 나성동 829</t>
        </is>
      </c>
      <c r="B2123" s="3" t="inlineStr">
        <is>
          <t>중심상업지역</t>
        </is>
      </c>
      <c r="C2123" s="3" t="inlineStr">
        <is>
          <t>대</t>
        </is>
      </c>
      <c r="D2123" s="3" t="inlineStr">
        <is>
          <t>전</t>
        </is>
      </c>
      <c r="E2123" s="3" t="inlineStr">
        <is>
          <t>매매</t>
        </is>
      </c>
      <c r="F2123" s="4" t="n">
        <v>72000</v>
      </c>
      <c r="G2123" s="4" t="n">
        <v>1834</v>
      </c>
      <c r="H2123" s="4" t="n">
        <v>555</v>
      </c>
      <c r="I2123" s="5" t="n">
        <v>129.7</v>
      </c>
      <c r="J2123" s="4" t="n">
        <v>747.8</v>
      </c>
      <c r="K2123" s="3" t="inlineStr">
        <is>
          <t>nan</t>
        </is>
      </c>
      <c r="L2123" s="6">
        <f>HYPERLINK("https://fin.land.naver.com/articles/2645494621", "매물Link")</f>
        <v/>
      </c>
      <c r="M2123" s="6">
        <f>HYPERLINK("https://map.naver.com/p/search/세종특별자치시 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세종특별자치시 나성동 829</t>
        </is>
      </c>
      <c r="B2124" s="3" t="inlineStr">
        <is>
          <t>중심상업지역</t>
        </is>
      </c>
      <c r="C2124" s="3" t="inlineStr">
        <is>
          <t>대</t>
        </is>
      </c>
      <c r="D2124" s="3" t="inlineStr">
        <is>
          <t>대</t>
        </is>
      </c>
      <c r="E2124" s="3" t="inlineStr">
        <is>
          <t>매매</t>
        </is>
      </c>
      <c r="F2124" s="4" t="n">
        <v>20000</v>
      </c>
      <c r="G2124" s="4" t="n">
        <v>694</v>
      </c>
      <c r="H2124" s="4" t="n">
        <v>210</v>
      </c>
      <c r="I2124" s="5" t="n">
        <v>95.2</v>
      </c>
      <c r="J2124" s="4" t="n">
        <v>747.8</v>
      </c>
      <c r="K2124" s="3" t="inlineStr">
        <is>
          <t>nan</t>
        </is>
      </c>
      <c r="L2124" s="6">
        <f>HYPERLINK("https://fin.land.naver.com/articles/2645494847", "매물Link")</f>
        <v/>
      </c>
      <c r="M2124" s="6">
        <f>HYPERLINK("https://map.naver.com/p/search/세종특별자치시 나성동 829", "지도Link")</f>
        <v/>
      </c>
      <c r="N2124" s="6">
        <f>HYPERLINK("http://www.eum.go.kr/web/ar/lu/luLandDet.jsp?pnu=3611010700108290000&amp;isNoScr=script&amp;mode=search", "토지이음")</f>
        <v/>
      </c>
      <c r="O2124" s="3" t="inlineStr">
        <is>
          <t>규담무소</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세종특별자치시 나성동 829</t>
        </is>
      </c>
      <c r="B2125" s="3" t="inlineStr">
        <is>
          <t>중심상업지역</t>
        </is>
      </c>
      <c r="C2125" s="3" t="inlineStr">
        <is>
          <t>대</t>
        </is>
      </c>
      <c r="D2125" s="3" t="inlineStr">
        <is>
          <t>대</t>
        </is>
      </c>
      <c r="E2125" s="3" t="inlineStr">
        <is>
          <t>매매</t>
        </is>
      </c>
      <c r="F2125" s="4" t="n">
        <v>11900</v>
      </c>
      <c r="G2125" s="4" t="n">
        <v>357</v>
      </c>
      <c r="H2125" s="4" t="n">
        <v>108</v>
      </c>
      <c r="I2125" s="5" t="n">
        <v>110.2</v>
      </c>
      <c r="J2125" s="4" t="n">
        <v>747.8</v>
      </c>
      <c r="K2125" s="3" t="inlineStr">
        <is>
          <t>수름재 삼거리 근접한 주택지 입니다.</t>
        </is>
      </c>
      <c r="L2125" s="6">
        <f>HYPERLINK("https://fin.land.naver.com/articles/2645696942", "매물Link")</f>
        <v/>
      </c>
      <c r="M2125" s="6">
        <f>HYPERLINK("https://map.naver.com/p/search/세종특별자치시 나성동 829", "지도Link")</f>
        <v/>
      </c>
      <c r="N2125" s="6">
        <f>HYPERLINK("http://www.eum.go.kr/web/ar/lu/luLandDet.jsp?pnu=3611010700108290000&amp;isNoScr=script&amp;mode=search", "토지이음")</f>
        <v/>
      </c>
      <c r="O2125" s="3" t="inlineStr">
        <is>
          <t>굿모닝합동</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세종특별자치시 나성동 829</t>
        </is>
      </c>
      <c r="B2126" s="3" t="inlineStr">
        <is>
          <t>중심상업지역</t>
        </is>
      </c>
      <c r="C2126" s="3" t="inlineStr">
        <is>
          <t>대</t>
        </is>
      </c>
      <c r="D2126" s="3" t="inlineStr">
        <is>
          <t>전</t>
        </is>
      </c>
      <c r="E2126" s="3" t="inlineStr">
        <is>
          <t>매매</t>
        </is>
      </c>
      <c r="F2126" s="4" t="n">
        <v>23000</v>
      </c>
      <c r="G2126" s="4" t="n">
        <v>1273</v>
      </c>
      <c r="H2126" s="4" t="n">
        <v>385</v>
      </c>
      <c r="I2126" s="5" t="n">
        <v>59.7</v>
      </c>
      <c r="J2126" s="4" t="n">
        <v>747.8</v>
      </c>
      <c r="K2126" s="3" t="inlineStr">
        <is>
          <t>충북보건전문대학교 인근에 위치</t>
        </is>
      </c>
      <c r="L2126" s="6">
        <f>HYPERLINK("https://fin.land.naver.com/articles/2645774884", "매물Link")</f>
        <v/>
      </c>
      <c r="M2126" s="6">
        <f>HYPERLINK("https://map.naver.com/p/search/세종특별자치시 나성동 829", "지도Link")</f>
        <v/>
      </c>
      <c r="N2126" s="6">
        <f>HYPERLINK("http://www.eum.go.kr/web/ar/lu/luLandDet.jsp?pnu=3611010700108290000&amp;isNoScr=script&amp;mode=search", "토지이음")</f>
        <v/>
      </c>
      <c r="O2126" s="3" t="inlineStr">
        <is>
          <t>일조</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세종특별자치시 나성동 829</t>
        </is>
      </c>
      <c r="B2127" s="3" t="inlineStr">
        <is>
          <t>중심상업지역</t>
        </is>
      </c>
      <c r="C2127" s="3" t="inlineStr">
        <is>
          <t>대</t>
        </is>
      </c>
      <c r="D2127" s="3" t="inlineStr">
        <is>
          <t>임야</t>
        </is>
      </c>
      <c r="E2127" s="3" t="inlineStr">
        <is>
          <t>매매</t>
        </is>
      </c>
      <c r="F2127" s="4" t="n">
        <v>285000</v>
      </c>
      <c r="G2127" s="4" t="n">
        <v>17116</v>
      </c>
      <c r="H2127" s="4" t="n">
        <v>5178</v>
      </c>
      <c r="I2127" s="5" t="n">
        <v>55</v>
      </c>
      <c r="J2127" s="4" t="n">
        <v>747.8</v>
      </c>
      <c r="K2127" s="3" t="inlineStr">
        <is>
          <t>전원주택용지 추천 현재 토목공사진행중</t>
        </is>
      </c>
      <c r="L2127" s="6">
        <f>HYPERLINK("https://fin.land.naver.com/articles/2645839911", "매물Link")</f>
        <v/>
      </c>
      <c r="M2127" s="6">
        <f>HYPERLINK("https://map.naver.com/p/search/세종특별자치시 나성동 829", "지도Link")</f>
        <v/>
      </c>
      <c r="N2127" s="6">
        <f>HYPERLINK("http://www.eum.go.kr/web/ar/lu/luLandDet.jsp?pnu=3611010700108290000&amp;isNoScr=script&amp;mode=search", "토지이음")</f>
        <v/>
      </c>
      <c r="O2127" s="3" t="inlineStr">
        <is>
          <t>테크노지웰탑</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세종특별자치시 나성동 829</t>
        </is>
      </c>
      <c r="B2128" s="3" t="inlineStr">
        <is>
          <t>중심상업지역</t>
        </is>
      </c>
      <c r="C2128" s="3" t="inlineStr">
        <is>
          <t>대</t>
        </is>
      </c>
      <c r="D2128" s="3" t="inlineStr">
        <is>
          <t>답</t>
        </is>
      </c>
      <c r="E2128" s="3" t="inlineStr">
        <is>
          <t>매매</t>
        </is>
      </c>
      <c r="F2128" s="4" t="n">
        <v>42000</v>
      </c>
      <c r="G2128" s="4" t="n">
        <v>2763</v>
      </c>
      <c r="H2128" s="4" t="n">
        <v>836</v>
      </c>
      <c r="I2128" s="5" t="n">
        <v>50.2</v>
      </c>
      <c r="J2128" s="4" t="n">
        <v>747.8</v>
      </c>
      <c r="K2128" s="3" t="inlineStr">
        <is>
          <t>투자용 매42000만원 현황 답</t>
        </is>
      </c>
      <c r="L2128" s="6">
        <f>HYPERLINK("https://fin.land.naver.com/articles/2646480264", "매물Link")</f>
        <v/>
      </c>
      <c r="M2128" s="6">
        <f>HYPERLINK("https://map.naver.com/p/search/세종특별자치시 나성동 829", "지도Link")</f>
        <v/>
      </c>
      <c r="N2128" s="6">
        <f>HYPERLINK("http://www.eum.go.kr/web/ar/lu/luLandDet.jsp?pnu=3611010700108290000&amp;isNoScr=script&amp;mode=search", "토지이음")</f>
        <v/>
      </c>
      <c r="O2128" s="3" t="inlineStr">
        <is>
          <t>열린호반  사무소</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세종특별자치시 나성동 829</t>
        </is>
      </c>
      <c r="B2129" s="3" t="inlineStr">
        <is>
          <t>중심상업지역</t>
        </is>
      </c>
      <c r="C2129" s="3" t="inlineStr">
        <is>
          <t>대</t>
        </is>
      </c>
      <c r="D2129" s="3" t="inlineStr">
        <is>
          <t>임야</t>
        </is>
      </c>
      <c r="E2129" s="3" t="inlineStr">
        <is>
          <t>매매</t>
        </is>
      </c>
      <c r="F2129" s="4" t="n">
        <v>43000</v>
      </c>
      <c r="G2129" s="4" t="n">
        <v>4769</v>
      </c>
      <c r="H2129" s="4" t="n">
        <v>1443</v>
      </c>
      <c r="I2129" s="5" t="n">
        <v>29.8</v>
      </c>
      <c r="J2129" s="4" t="n">
        <v>747.8</v>
      </c>
      <c r="K2129" s="3" t="inlineStr">
        <is>
          <t>nan</t>
        </is>
      </c>
      <c r="L2129" s="6">
        <f>HYPERLINK("https://fin.land.naver.com/articles/2646499500", "매물Link")</f>
        <v/>
      </c>
      <c r="M2129" s="6">
        <f>HYPERLINK("https://map.naver.com/p/search/세종특별자치시 나성동 829", "지도Link")</f>
        <v/>
      </c>
      <c r="N2129" s="6">
        <f>HYPERLINK("http://www.eum.go.kr/web/ar/lu/luLandDet.jsp?pnu=3611010700108290000&amp;isNoScr=script&amp;mode=search", "토지이음")</f>
        <v/>
      </c>
      <c r="O2129" s="3" t="inlineStr">
        <is>
          <t>국제</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세종특별자치시 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HYPERLINK("https://map.naver.com/p/search/세종특별자치시 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세종특별자치시 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HYPERLINK("https://map.naver.com/p/search/세종특별자치시 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세종특별자치시 나성동 829</t>
        </is>
      </c>
      <c r="B2132" s="3" t="inlineStr">
        <is>
          <t>중심상업지역</t>
        </is>
      </c>
      <c r="C2132" s="3" t="inlineStr">
        <is>
          <t>대</t>
        </is>
      </c>
      <c r="D2132" s="3" t="inlineStr">
        <is>
          <t>전</t>
        </is>
      </c>
      <c r="E2132" s="3" t="inlineStr">
        <is>
          <t>매매</t>
        </is>
      </c>
      <c r="F2132" s="4" t="n">
        <v>80000</v>
      </c>
      <c r="G2132" s="4" t="n">
        <v>4078</v>
      </c>
      <c r="H2132" s="4" t="n">
        <v>1234</v>
      </c>
      <c r="I2132" s="5" t="n">
        <v>64.8</v>
      </c>
      <c r="J2132" s="4" t="n">
        <v>747.8</v>
      </c>
      <c r="K2132" s="3" t="inlineStr">
        <is>
          <t>마산리 위치 좋음 용도 다양</t>
        </is>
      </c>
      <c r="L2132" s="6">
        <f>HYPERLINK("https://fin.land.naver.com/articles/2646773745", "매물Link")</f>
        <v/>
      </c>
      <c r="M2132" s="6">
        <f>HYPERLINK("https://map.naver.com/p/search/세종특별자치시 나성동 829", "지도Link")</f>
        <v/>
      </c>
      <c r="N2132" s="6">
        <f>HYPERLINK("http://www.eum.go.kr/web/ar/lu/luLandDet.jsp?pnu=3611010700108290000&amp;isNoScr=script&amp;mode=search", "토지이음")</f>
        <v/>
      </c>
      <c r="O2132" s="3" t="inlineStr">
        <is>
          <t>시티</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세종특별자치시 나성동 829</t>
        </is>
      </c>
      <c r="B2133" s="3" t="inlineStr">
        <is>
          <t>중심상업지역</t>
        </is>
      </c>
      <c r="C2133" s="3" t="inlineStr">
        <is>
          <t>대</t>
        </is>
      </c>
      <c r="D2133" s="3" t="inlineStr">
        <is>
          <t>대</t>
        </is>
      </c>
      <c r="E2133" s="3" t="inlineStr">
        <is>
          <t>매매</t>
        </is>
      </c>
      <c r="F2133" s="4" t="n">
        <v>12000</v>
      </c>
      <c r="G2133" s="4" t="n">
        <v>1137</v>
      </c>
      <c r="H2133" s="4" t="n">
        <v>344</v>
      </c>
      <c r="I2133" s="5" t="n">
        <v>34.9</v>
      </c>
      <c r="J2133" s="4" t="n">
        <v>747.8</v>
      </c>
      <c r="K2133" s="3" t="inlineStr">
        <is>
          <t>급매.전원주택추천.공기좋은마을.초정약수터1키로.시원한뷰.마을안버스</t>
        </is>
      </c>
      <c r="L2133" s="6">
        <f>HYPERLINK("https://fin.land.naver.com/articles/2647963281", "매물Link")</f>
        <v/>
      </c>
      <c r="M2133" s="6">
        <f>HYPERLINK("https://map.naver.com/p/search/세종특별자치시 나성동 829", "지도Link")</f>
        <v/>
      </c>
      <c r="N2133" s="6">
        <f>HYPERLINK("http://www.eum.go.kr/web/ar/lu/luLandDet.jsp?pnu=3611010700108290000&amp;isNoScr=script&amp;mode=search", "토지이음")</f>
        <v/>
      </c>
      <c r="O2133" s="3" t="inlineStr">
        <is>
          <t>중흥랜드(294-3999)</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세종특별자치시 나성동 829</t>
        </is>
      </c>
      <c r="B2134" s="3" t="inlineStr">
        <is>
          <t>중심상업지역</t>
        </is>
      </c>
      <c r="C2134" s="3" t="inlineStr">
        <is>
          <t>대</t>
        </is>
      </c>
      <c r="D2134" s="3" t="inlineStr">
        <is>
          <t>전</t>
        </is>
      </c>
      <c r="E2134" s="3" t="inlineStr">
        <is>
          <t>매매</t>
        </is>
      </c>
      <c r="F2134" s="4" t="n">
        <v>37000</v>
      </c>
      <c r="G2134" s="4" t="n">
        <v>2735</v>
      </c>
      <c r="H2134" s="4" t="n">
        <v>827</v>
      </c>
      <c r="I2134" s="5" t="n">
        <v>44.7</v>
      </c>
      <c r="J2134" s="4" t="n">
        <v>747.8</v>
      </c>
      <c r="K2134" s="3" t="inlineStr">
        <is>
          <t>계획관리지역 매실수80그루있어요.</t>
        </is>
      </c>
      <c r="L2134" s="6">
        <f>HYPERLINK("https://fin.land.naver.com/articles/2648781343", "매물Link")</f>
        <v/>
      </c>
      <c r="M2134" s="6">
        <f>HYPERLINK("https://map.naver.com/p/search/세종특별자치시 나성동 829", "지도Link")</f>
        <v/>
      </c>
      <c r="N2134" s="6">
        <f>HYPERLINK("http://www.eum.go.kr/web/ar/lu/luLandDet.jsp?pnu=3611010700108290000&amp;isNoScr=script&amp;mode=search", "토지이음")</f>
        <v/>
      </c>
      <c r="O2134" s="3" t="inlineStr">
        <is>
          <t>밝은해</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세종특별자치시 나성동 829</t>
        </is>
      </c>
      <c r="B2135" s="3" t="inlineStr">
        <is>
          <t>중심상업지역</t>
        </is>
      </c>
      <c r="C2135" s="3" t="inlineStr">
        <is>
          <t>대</t>
        </is>
      </c>
      <c r="D2135" s="3" t="inlineStr">
        <is>
          <t>대</t>
        </is>
      </c>
      <c r="E2135" s="3" t="inlineStr">
        <is>
          <t>매매</t>
        </is>
      </c>
      <c r="F2135" s="4" t="n">
        <v>28500</v>
      </c>
      <c r="G2135" s="4" t="n">
        <v>610</v>
      </c>
      <c r="H2135" s="4" t="n">
        <v>185</v>
      </c>
      <c r="I2135" s="5" t="n">
        <v>154.1</v>
      </c>
      <c r="J2135" s="4" t="n">
        <v>747.8</v>
      </c>
      <c r="K2135" s="3" t="inlineStr">
        <is>
          <t>청주,증평4차선인근.2차선접.1종근린시설있음</t>
        </is>
      </c>
      <c r="L2135" s="6">
        <f>HYPERLINK("https://fin.land.naver.com/articles/2648996116", "매물Link")</f>
        <v/>
      </c>
      <c r="M2135" s="6">
        <f>HYPERLINK("https://map.naver.com/p/search/세종특별자치시 나성동 829", "지도Link")</f>
        <v/>
      </c>
      <c r="N2135" s="6">
        <f>HYPERLINK("http://www.eum.go.kr/web/ar/lu/luLandDet.jsp?pnu=3611010700108290000&amp;isNoScr=script&amp;mode=search", "토지이음")</f>
        <v/>
      </c>
      <c r="O2135" s="3" t="inlineStr">
        <is>
          <t>강변</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세종특별자치시 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HYPERLINK("https://map.naver.com/p/search/세종특별자치시 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세종특별자치시 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HYPERLINK("https://map.naver.com/p/search/세종특별자치시 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세종특별자치시 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HYPERLINK("https://map.naver.com/p/search/세종특별자치시 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세종특별자치시 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HYPERLINK("https://map.naver.com/p/search/세종특별자치시 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세종특별자치시 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HYPERLINK("https://map.naver.com/p/search/세종특별자치시 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세종특별자치시 나성동 829</t>
        </is>
      </c>
      <c r="B2141" s="3" t="inlineStr">
        <is>
          <t>중심상업지역</t>
        </is>
      </c>
      <c r="C2141" s="3" t="inlineStr">
        <is>
          <t>대</t>
        </is>
      </c>
      <c r="D2141" s="3" t="inlineStr">
        <is>
          <t>임야</t>
        </is>
      </c>
      <c r="E2141" s="3" t="inlineStr">
        <is>
          <t>매매</t>
        </is>
      </c>
      <c r="F2141" s="4" t="n">
        <v>180000</v>
      </c>
      <c r="G2141" s="4" t="n">
        <v>3750</v>
      </c>
      <c r="H2141" s="4" t="n">
        <v>1134</v>
      </c>
      <c r="I2141" s="5" t="n">
        <v>158.7</v>
      </c>
      <c r="J2141" s="4" t="n">
        <v>747.8</v>
      </c>
      <c r="K2141" s="3" t="inlineStr">
        <is>
          <t>nan</t>
        </is>
      </c>
      <c r="L2141" s="6">
        <f>HYPERLINK("https://fin.land.naver.com/articles/2648688519", "매물Link")</f>
        <v/>
      </c>
      <c r="M2141" s="6">
        <f>HYPERLINK("https://map.naver.com/p/search/세종특별자치시 나성동 829", "지도Link")</f>
        <v/>
      </c>
      <c r="N2141" s="6">
        <f>HYPERLINK("http://www.eum.go.kr/web/ar/lu/luLandDet.jsp?pnu=3611010700108290000&amp;isNoScr=script&amp;mode=search", "토지이음")</f>
        <v/>
      </c>
      <c r="O2141" s="3" t="inlineStr">
        <is>
          <t>상생</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세종특별자치시 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HYPERLINK("https://map.naver.com/p/search/세종특별자치시 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세종특별자치시 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HYPERLINK("https://map.naver.com/p/search/세종특별자치시 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세종특별자치시 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HYPERLINK("https://map.naver.com/p/search/세종특별자치시 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세종특별자치시 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HYPERLINK("https://map.naver.com/p/search/세종특별자치시 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세종특별자치시 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HYPERLINK("https://map.naver.com/p/search/세종특별자치시 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세종특별자치시 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HYPERLINK("https://map.naver.com/p/search/세종특별자치시 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세종특별자치시 나성동 829</t>
        </is>
      </c>
      <c r="B2148" s="3" t="inlineStr">
        <is>
          <t>중심상업지역</t>
        </is>
      </c>
      <c r="C2148" s="3" t="inlineStr">
        <is>
          <t>대</t>
        </is>
      </c>
      <c r="D2148" s="3" t="inlineStr">
        <is>
          <t>대</t>
        </is>
      </c>
      <c r="E2148" s="3" t="inlineStr">
        <is>
          <t>매매</t>
        </is>
      </c>
      <c r="F2148" s="4" t="n">
        <v>135000</v>
      </c>
      <c r="G2148" s="4" t="n">
        <v>820</v>
      </c>
      <c r="H2148" s="4" t="n">
        <v>248</v>
      </c>
      <c r="I2148" s="5" t="n">
        <v>544.4</v>
      </c>
      <c r="J2148" s="4" t="n">
        <v>747.8</v>
      </c>
      <c r="K2148" s="3" t="inlineStr">
        <is>
          <t>nan</t>
        </is>
      </c>
      <c r="L2148" s="6">
        <f>HYPERLINK("https://fin.land.naver.com/articles/2648688167", "매물Link")</f>
        <v/>
      </c>
      <c r="M2148" s="6">
        <f>HYPERLINK("https://map.naver.com/p/search/세종특별자치시 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세종특별자치시 나성동 829</t>
        </is>
      </c>
      <c r="B2149" s="3" t="inlineStr">
        <is>
          <t>중심상업지역</t>
        </is>
      </c>
      <c r="C2149" s="3" t="inlineStr">
        <is>
          <t>대</t>
        </is>
      </c>
      <c r="D2149" s="3" t="inlineStr">
        <is>
          <t>임야</t>
        </is>
      </c>
      <c r="E2149" s="3" t="inlineStr">
        <is>
          <t>매매</t>
        </is>
      </c>
      <c r="F2149" s="4" t="n">
        <v>46000</v>
      </c>
      <c r="G2149" s="4" t="n">
        <v>25064</v>
      </c>
      <c r="H2149" s="4" t="n">
        <v>7582</v>
      </c>
      <c r="I2149" s="5" t="n">
        <v>6.1</v>
      </c>
      <c r="J2149" s="4" t="n">
        <v>747.8</v>
      </c>
      <c r="K2149" s="3" t="inlineStr">
        <is>
          <t>급매매</t>
        </is>
      </c>
      <c r="L2149" s="6">
        <f>HYPERLINK("https://fin.land.naver.com/articles/2648653377", "매물Link")</f>
        <v/>
      </c>
      <c r="M2149" s="6">
        <f>HYPERLINK("https://map.naver.com/p/search/세종특별자치시 나성동 829", "지도Link")</f>
        <v/>
      </c>
      <c r="N2149" s="6">
        <f>HYPERLINK("http://www.eum.go.kr/web/ar/lu/luLandDet.jsp?pnu=3611010700108290000&amp;isNoScr=script&amp;mode=search", "토지이음")</f>
        <v/>
      </c>
      <c r="O2149" s="3" t="inlineStr">
        <is>
          <t>일등</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세종특별자치시 나성동 829</t>
        </is>
      </c>
      <c r="B2150" s="3" t="inlineStr">
        <is>
          <t>중심상업지역</t>
        </is>
      </c>
      <c r="C2150" s="3" t="inlineStr">
        <is>
          <t>대</t>
        </is>
      </c>
      <c r="D2150" s="3" t="inlineStr">
        <is>
          <t>잡종지</t>
        </is>
      </c>
      <c r="E2150" s="3" t="inlineStr">
        <is>
          <t>매매</t>
        </is>
      </c>
      <c r="F2150" s="4" t="n">
        <v>39200</v>
      </c>
      <c r="G2150" s="4" t="n">
        <v>1418</v>
      </c>
      <c r="H2150" s="4" t="n">
        <v>429</v>
      </c>
      <c r="I2150" s="5" t="n">
        <v>91.40000000000001</v>
      </c>
      <c r="J2150" s="4" t="n">
        <v>747.8</v>
      </c>
      <c r="K2150" s="3" t="inlineStr">
        <is>
          <t>엘리트 전원마을 인근 잡종지 매매</t>
        </is>
      </c>
      <c r="L2150" s="6">
        <f>HYPERLINK("https://fin.land.naver.com/articles/2648640402", "매물Link")</f>
        <v/>
      </c>
      <c r="M2150" s="6">
        <f>HYPERLINK("https://map.naver.com/p/search/세종특별자치시 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세종특별자치시 나성동 829</t>
        </is>
      </c>
      <c r="B2151" s="3" t="inlineStr">
        <is>
          <t>중심상업지역</t>
        </is>
      </c>
      <c r="C2151" s="3" t="inlineStr">
        <is>
          <t>대</t>
        </is>
      </c>
      <c r="D2151" s="3" t="inlineStr">
        <is>
          <t>답</t>
        </is>
      </c>
      <c r="E2151" s="3" t="inlineStr">
        <is>
          <t>매매</t>
        </is>
      </c>
      <c r="F2151" s="4" t="n">
        <v>40000</v>
      </c>
      <c r="G2151" s="4" t="n">
        <v>4096</v>
      </c>
      <c r="H2151" s="4" t="n">
        <v>1239</v>
      </c>
      <c r="I2151" s="5" t="n">
        <v>32.3</v>
      </c>
      <c r="J2151" s="4" t="n">
        <v>747.8</v>
      </c>
      <c r="K2151" s="3" t="inlineStr">
        <is>
          <t>nan</t>
        </is>
      </c>
      <c r="L2151" s="6">
        <f>HYPERLINK("https://fin.land.naver.com/articles/2645151582", "매물Link")</f>
        <v/>
      </c>
      <c r="M2151" s="6">
        <f>HYPERLINK("https://map.naver.com/p/search/세종특별자치시 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세종특별자치시 나성동 829</t>
        </is>
      </c>
      <c r="B2152" s="3" t="inlineStr">
        <is>
          <t>중심상업지역</t>
        </is>
      </c>
      <c r="C2152" s="3" t="inlineStr">
        <is>
          <t>대</t>
        </is>
      </c>
      <c r="D2152" s="3" t="inlineStr">
        <is>
          <t>대</t>
        </is>
      </c>
      <c r="E2152" s="3" t="inlineStr">
        <is>
          <t>매매</t>
        </is>
      </c>
      <c r="F2152" s="4" t="n">
        <v>35000</v>
      </c>
      <c r="G2152" s="4" t="n">
        <v>739</v>
      </c>
      <c r="H2152" s="4" t="n">
        <v>224</v>
      </c>
      <c r="I2152" s="5" t="n">
        <v>156.2</v>
      </c>
      <c r="J2152" s="4" t="n">
        <v>747.8</v>
      </c>
      <c r="K2152" s="3" t="inlineStr">
        <is>
          <t>호수공원 인접 전원주택부지</t>
        </is>
      </c>
      <c r="L2152" s="6">
        <f>HYPERLINK("https://fin.land.naver.com/articles/2645151604", "매물Link")</f>
        <v/>
      </c>
      <c r="M2152" s="6">
        <f>HYPERLINK("https://map.naver.com/p/search/세종특별자치시 나성동 829", "지도Link")</f>
        <v/>
      </c>
      <c r="N2152" s="6">
        <f>HYPERLINK("http://www.eum.go.kr/web/ar/lu/luLandDet.jsp?pnu=3611010700108290000&amp;isNoScr=script&amp;mode=search", "토지이음")</f>
        <v/>
      </c>
      <c r="O2152" s="3" t="inlineStr">
        <is>
          <t>드리다</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세종특별자치시 나성동 829</t>
        </is>
      </c>
      <c r="B2153" s="3" t="inlineStr">
        <is>
          <t>중심상업지역</t>
        </is>
      </c>
      <c r="C2153" s="3" t="inlineStr">
        <is>
          <t>대</t>
        </is>
      </c>
      <c r="D2153" s="3" t="inlineStr">
        <is>
          <t>답</t>
        </is>
      </c>
      <c r="E2153" s="3" t="inlineStr">
        <is>
          <t>매매</t>
        </is>
      </c>
      <c r="F2153" s="4" t="n">
        <v>51000</v>
      </c>
      <c r="G2153" s="4" t="n">
        <v>406</v>
      </c>
      <c r="H2153" s="4" t="n">
        <v>123</v>
      </c>
      <c r="I2153" s="5" t="n">
        <v>414.6</v>
      </c>
      <c r="J2153" s="4" t="n">
        <v>747.8</v>
      </c>
      <c r="K2153" s="3" t="inlineStr">
        <is>
          <t>아파트예정지정문앞 근린생활시설 창고등(현재 나대지)</t>
        </is>
      </c>
      <c r="L2153" s="6">
        <f>HYPERLINK("https://fin.land.naver.com/articles/2645834042", "매물Link")</f>
        <v/>
      </c>
      <c r="M2153" s="6">
        <f>HYPERLINK("https://map.naver.com/p/search/세종특별자치시 나성동 829", "지도Link")</f>
        <v/>
      </c>
      <c r="N2153" s="6">
        <f>HYPERLINK("http://www.eum.go.kr/web/ar/lu/luLandDet.jsp?pnu=3611010700108290000&amp;isNoScr=script&amp;mode=search", "토지이음")</f>
        <v/>
      </c>
      <c r="O2153" s="3" t="inlineStr">
        <is>
          <t>명문</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세종특별자치시 나성동 829</t>
        </is>
      </c>
      <c r="B2154" s="3" t="inlineStr">
        <is>
          <t>중심상업지역</t>
        </is>
      </c>
      <c r="C2154" s="3" t="inlineStr">
        <is>
          <t>대</t>
        </is>
      </c>
      <c r="D2154" s="3" t="inlineStr">
        <is>
          <t>대</t>
        </is>
      </c>
      <c r="E2154" s="3" t="inlineStr">
        <is>
          <t>매매</t>
        </is>
      </c>
      <c r="F2154" s="4" t="n">
        <v>365000</v>
      </c>
      <c r="G2154" s="4" t="n">
        <v>1206</v>
      </c>
      <c r="H2154" s="4" t="n">
        <v>365</v>
      </c>
      <c r="I2154" s="5" t="n">
        <v>1000</v>
      </c>
      <c r="J2154" s="4" t="n">
        <v>747.8</v>
      </c>
      <c r="K2154" s="3" t="inlineStr">
        <is>
          <t>일반상업용지 나대지 상태임.</t>
        </is>
      </c>
      <c r="L2154" s="6">
        <f>HYPERLINK("https://fin.land.naver.com/articles/2646998664", "매물Link")</f>
        <v/>
      </c>
      <c r="M2154" s="6">
        <f>HYPERLINK("https://map.naver.com/p/search/세종특별자치시 나성동 829", "지도Link")</f>
        <v/>
      </c>
      <c r="N2154" s="6">
        <f>HYPERLINK("http://www.eum.go.kr/web/ar/lu/luLandDet.jsp?pnu=3611010700108290000&amp;isNoScr=script&amp;mode=search", "토지이음")</f>
        <v/>
      </c>
      <c r="O2154" s="3" t="inlineStr">
        <is>
          <t>임광</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세종특별자치시 나성동 829</t>
        </is>
      </c>
      <c r="B2155" s="3" t="inlineStr">
        <is>
          <t>중심상업지역</t>
        </is>
      </c>
      <c r="C2155" s="3" t="inlineStr">
        <is>
          <t>대</t>
        </is>
      </c>
      <c r="D2155" s="3" t="inlineStr">
        <is>
          <t>답</t>
        </is>
      </c>
      <c r="E2155" s="3" t="inlineStr">
        <is>
          <t>매매</t>
        </is>
      </c>
      <c r="F2155" s="4" t="n">
        <v>39000</v>
      </c>
      <c r="G2155" s="4" t="n">
        <v>3173</v>
      </c>
      <c r="H2155" s="4" t="n">
        <v>960</v>
      </c>
      <c r="I2155" s="5" t="n">
        <v>40.6</v>
      </c>
      <c r="J2155" s="4" t="n">
        <v>747.8</v>
      </c>
      <c r="K2155" s="3" t="inlineStr">
        <is>
          <t>증평 톨게이트 가까운 토지</t>
        </is>
      </c>
      <c r="L2155" s="6">
        <f>HYPERLINK("https://fin.land.naver.com/articles/2647276582", "매물Link")</f>
        <v/>
      </c>
      <c r="M2155" s="6">
        <f>HYPERLINK("https://map.naver.com/p/search/세종특별자치시 나성동 829", "지도Link")</f>
        <v/>
      </c>
      <c r="N2155" s="6">
        <f>HYPERLINK("http://www.eum.go.kr/web/ar/lu/luLandDet.jsp?pnu=3611010700108290000&amp;isNoScr=script&amp;mode=search", "토지이음")</f>
        <v/>
      </c>
      <c r="O2155" s="3" t="inlineStr">
        <is>
          <t>청주114</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세종특별자치시 나성동 829</t>
        </is>
      </c>
      <c r="B2156" s="3" t="inlineStr">
        <is>
          <t>중심상업지역</t>
        </is>
      </c>
      <c r="C2156" s="3" t="inlineStr">
        <is>
          <t>대</t>
        </is>
      </c>
      <c r="D2156" s="3" t="inlineStr">
        <is>
          <t>답</t>
        </is>
      </c>
      <c r="E2156" s="3" t="inlineStr">
        <is>
          <t>매매</t>
        </is>
      </c>
      <c r="F2156" s="4" t="n">
        <v>20200</v>
      </c>
      <c r="G2156" s="4" t="n">
        <v>2225</v>
      </c>
      <c r="H2156" s="4" t="n">
        <v>673</v>
      </c>
      <c r="I2156" s="5" t="n">
        <v>30</v>
      </c>
      <c r="J2156" s="4" t="n">
        <v>747.8</v>
      </c>
      <c r="K2156" s="3" t="inlineStr">
        <is>
          <t>서향의 종모양의 농지임</t>
        </is>
      </c>
      <c r="L2156" s="6">
        <f>HYPERLINK("https://fin.land.naver.com/articles/2647681288", "매물Link")</f>
        <v/>
      </c>
      <c r="M2156" s="6">
        <f>HYPERLINK("https://map.naver.com/p/search/세종특별자치시 나성동 829", "지도Link")</f>
        <v/>
      </c>
      <c r="N2156" s="6">
        <f>HYPERLINK("http://www.eum.go.kr/web/ar/lu/luLandDet.jsp?pnu=3611010700108290000&amp;isNoScr=script&amp;mode=search", "토지이음")</f>
        <v/>
      </c>
      <c r="O2156" s="3" t="inlineStr">
        <is>
          <t>교차로</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세종특별자치시 나성동 829</t>
        </is>
      </c>
      <c r="B2157" s="3" t="inlineStr">
        <is>
          <t>중심상업지역</t>
        </is>
      </c>
      <c r="C2157" s="3" t="inlineStr">
        <is>
          <t>대</t>
        </is>
      </c>
      <c r="D2157" s="3" t="inlineStr">
        <is>
          <t>대</t>
        </is>
      </c>
      <c r="E2157" s="3" t="inlineStr">
        <is>
          <t>매매</t>
        </is>
      </c>
      <c r="F2157" s="4" t="n">
        <v>65000</v>
      </c>
      <c r="G2157" s="4" t="n">
        <v>1222</v>
      </c>
      <c r="H2157" s="4" t="n">
        <v>370</v>
      </c>
      <c r="I2157" s="5" t="n">
        <v>175.7</v>
      </c>
      <c r="J2157" s="4" t="n">
        <v>747.8</v>
      </c>
      <c r="K2157" s="3" t="inlineStr">
        <is>
          <t>양지리 2차선 근접 대지입니다.</t>
        </is>
      </c>
      <c r="L2157" s="6">
        <f>HYPERLINK("https://fin.land.naver.com/articles/2647686687", "매물Link")</f>
        <v/>
      </c>
      <c r="M2157" s="6">
        <f>HYPERLINK("https://map.naver.com/p/search/세종특별자치시 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세종특별자치시 나성동 829</t>
        </is>
      </c>
      <c r="B2158" s="3" t="inlineStr">
        <is>
          <t>중심상업지역</t>
        </is>
      </c>
      <c r="C2158" s="3" t="inlineStr">
        <is>
          <t>대</t>
        </is>
      </c>
      <c r="D2158" s="3" t="inlineStr">
        <is>
          <t>대</t>
        </is>
      </c>
      <c r="E2158" s="3" t="inlineStr">
        <is>
          <t>매매</t>
        </is>
      </c>
      <c r="F2158" s="4" t="n">
        <v>170000</v>
      </c>
      <c r="G2158" s="4" t="n">
        <v>810</v>
      </c>
      <c r="H2158" s="4" t="n">
        <v>245</v>
      </c>
      <c r="I2158" s="5" t="n">
        <v>693.9</v>
      </c>
      <c r="J2158" s="4" t="n">
        <v>747.8</v>
      </c>
      <c r="K2158" s="3" t="inlineStr">
        <is>
          <t>LG화학인근 일반상업용지에 단층건물입니다.</t>
        </is>
      </c>
      <c r="L2158" s="6">
        <f>HYPERLINK("https://fin.land.naver.com/articles/2647688138", "매물Link")</f>
        <v/>
      </c>
      <c r="M2158" s="6">
        <f>HYPERLINK("https://map.naver.com/p/search/세종특별자치시 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세종특별자치시 나성동 829</t>
        </is>
      </c>
      <c r="B2159" s="3" t="inlineStr">
        <is>
          <t>중심상업지역</t>
        </is>
      </c>
      <c r="C2159" s="3" t="inlineStr">
        <is>
          <t>대</t>
        </is>
      </c>
      <c r="D2159" s="3" t="inlineStr">
        <is>
          <t>대</t>
        </is>
      </c>
      <c r="E2159" s="3" t="inlineStr">
        <is>
          <t>매매</t>
        </is>
      </c>
      <c r="F2159" s="4" t="n">
        <v>34000</v>
      </c>
      <c r="G2159" s="4" t="n">
        <v>561</v>
      </c>
      <c r="H2159" s="4" t="n">
        <v>170</v>
      </c>
      <c r="I2159" s="5" t="n">
        <v>200</v>
      </c>
      <c r="J2159" s="4" t="n">
        <v>747.8</v>
      </c>
      <c r="K2159" s="3" t="inlineStr">
        <is>
          <t>양청리 송대공원옆 전원주택지 입니다.</t>
        </is>
      </c>
      <c r="L2159" s="6">
        <f>HYPERLINK("https://fin.land.naver.com/articles/2647688726", "매물Link")</f>
        <v/>
      </c>
      <c r="M2159" s="6">
        <f>HYPERLINK("https://map.naver.com/p/search/세종특별자치시 나성동 829", "지도Link")</f>
        <v/>
      </c>
      <c r="N2159" s="6">
        <f>HYPERLINK("http://www.eum.go.kr/web/ar/lu/luLandDet.jsp?pnu=3611010700108290000&amp;isNoScr=script&amp;mode=search", "토지이음")</f>
        <v/>
      </c>
      <c r="O2159" s="3" t="inlineStr">
        <is>
          <t>중앙</t>
        </is>
      </c>
      <c r="P2159" s="3" t="n">
        <v>1</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세종특별자치시 나성동 829</t>
        </is>
      </c>
      <c r="B2160" s="3" t="inlineStr">
        <is>
          <t>중심상업지역</t>
        </is>
      </c>
      <c r="C2160" s="3" t="inlineStr">
        <is>
          <t>대</t>
        </is>
      </c>
      <c r="D2160" s="3" t="inlineStr">
        <is>
          <t>답</t>
        </is>
      </c>
      <c r="E2160" s="3" t="inlineStr">
        <is>
          <t>매매</t>
        </is>
      </c>
      <c r="F2160" s="4" t="n">
        <v>33000</v>
      </c>
      <c r="G2160" s="4" t="n">
        <v>3645</v>
      </c>
      <c r="H2160" s="4" t="n">
        <v>1103</v>
      </c>
      <c r="I2160" s="5" t="n">
        <v>29.9</v>
      </c>
      <c r="J2160" s="4" t="n">
        <v>747.8</v>
      </c>
      <c r="K2160" s="3" t="inlineStr">
        <is>
          <t>경지정리된 논 2차선 인접</t>
        </is>
      </c>
      <c r="L2160" s="6">
        <f>HYPERLINK("https://fin.land.naver.com/articles/2647711150", "매물Link")</f>
        <v/>
      </c>
      <c r="M2160" s="6">
        <f>HYPERLINK("https://map.naver.com/p/search/세종특별자치시 나성동 829", "지도Link")</f>
        <v/>
      </c>
      <c r="N2160" s="6">
        <f>HYPERLINK("http://www.eum.go.kr/web/ar/lu/luLandDet.jsp?pnu=3611010700108290000&amp;isNoScr=script&amp;mode=search", "토지이음")</f>
        <v/>
      </c>
      <c r="O2160" s="3" t="inlineStr">
        <is>
          <t>한우리</t>
        </is>
      </c>
      <c r="P2160" s="3" t="n">
        <v>2</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세종특별자치시 나성동 829</t>
        </is>
      </c>
      <c r="B2161" s="3" t="inlineStr">
        <is>
          <t>중심상업지역</t>
        </is>
      </c>
      <c r="C2161" s="3" t="inlineStr">
        <is>
          <t>대</t>
        </is>
      </c>
      <c r="D2161" s="3" t="inlineStr">
        <is>
          <t>대</t>
        </is>
      </c>
      <c r="E2161" s="3" t="inlineStr">
        <is>
          <t>매매</t>
        </is>
      </c>
      <c r="F2161" s="4" t="n">
        <v>25000</v>
      </c>
      <c r="G2161" s="4" t="n">
        <v>227</v>
      </c>
      <c r="H2161" s="4" t="n">
        <v>69</v>
      </c>
      <c r="I2161" s="5" t="n">
        <v>362.3</v>
      </c>
      <c r="J2161" s="4" t="n">
        <v>747.8</v>
      </c>
      <c r="K2161" s="3" t="inlineStr">
        <is>
          <t>충북대학교 오창캠퍼스 입구에 위치
충북대학교 오창캠퍼스 입구에 위치.</t>
        </is>
      </c>
      <c r="L2161" s="6">
        <f>HYPERLINK("https://fin.land.naver.com/articles/2648231291", "매물Link")</f>
        <v/>
      </c>
      <c r="M2161" s="6">
        <f>HYPERLINK("https://map.naver.com/p/search/세종특별자치시 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세종특별자치시 나성동 829</t>
        </is>
      </c>
      <c r="B2162" s="3" t="inlineStr">
        <is>
          <t>중심상업지역</t>
        </is>
      </c>
      <c r="C2162" s="3" t="inlineStr">
        <is>
          <t>대</t>
        </is>
      </c>
      <c r="D2162" s="3" t="inlineStr">
        <is>
          <t>대</t>
        </is>
      </c>
      <c r="E2162" s="3" t="inlineStr">
        <is>
          <t>매매</t>
        </is>
      </c>
      <c r="F2162" s="4" t="n">
        <v>18000</v>
      </c>
      <c r="G2162" s="4" t="n">
        <v>560</v>
      </c>
      <c r="H2162" s="4" t="n">
        <v>169</v>
      </c>
      <c r="I2162" s="5" t="n">
        <v>106.5</v>
      </c>
      <c r="J2162" s="4" t="n">
        <v>747.8</v>
      </c>
      <c r="K2162" s="3" t="inlineStr">
        <is>
          <t>nan</t>
        </is>
      </c>
      <c r="L2162" s="6">
        <f>HYPERLINK("https://fin.land.naver.com/articles/2648235509", "매물Link")</f>
        <v/>
      </c>
      <c r="M2162" s="6">
        <f>HYPERLINK("https://map.naver.com/p/search/세종특별자치시 나성동 829", "지도Link")</f>
        <v/>
      </c>
      <c r="N2162" s="6">
        <f>HYPERLINK("http://www.eum.go.kr/web/ar/lu/luLandDet.jsp?pnu=3611010700108290000&amp;isNoScr=script&amp;mode=search", "토지이음")</f>
        <v/>
      </c>
      <c r="O2162" s="3" t="inlineStr">
        <is>
          <t>청와대합동사무소</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세종특별자치시 나성동 829</t>
        </is>
      </c>
      <c r="B2163" s="3" t="inlineStr">
        <is>
          <t>중심상업지역</t>
        </is>
      </c>
      <c r="C2163" s="3" t="inlineStr">
        <is>
          <t>대</t>
        </is>
      </c>
      <c r="D2163" s="3" t="inlineStr">
        <is>
          <t>전</t>
        </is>
      </c>
      <c r="E2163" s="3" t="inlineStr">
        <is>
          <t>매매</t>
        </is>
      </c>
      <c r="F2163" s="4" t="n">
        <v>83200</v>
      </c>
      <c r="G2163" s="4" t="n">
        <v>3484</v>
      </c>
      <c r="H2163" s="4" t="n">
        <v>1054</v>
      </c>
      <c r="I2163" s="5" t="n">
        <v>78.90000000000001</v>
      </c>
      <c r="J2163" s="4" t="n">
        <v>747.8</v>
      </c>
      <c r="K2163" s="3" t="inlineStr">
        <is>
          <t>nan</t>
        </is>
      </c>
      <c r="L2163" s="6">
        <f>HYPERLINK("https://fin.land.naver.com/articles/2648417834", "매물Link")</f>
        <v/>
      </c>
      <c r="M2163" s="6">
        <f>HYPERLINK("https://map.naver.com/p/search/세종특별자치시 나성동 829", "지도Link")</f>
        <v/>
      </c>
      <c r="N2163" s="6">
        <f>HYPERLINK("http://www.eum.go.kr/web/ar/lu/luLandDet.jsp?pnu=3611010700108290000&amp;isNoScr=script&amp;mode=search", "토지이음")</f>
        <v/>
      </c>
      <c r="O2163" s="3" t="inlineStr">
        <is>
          <t>굿모닝합동</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세종특별자치시 나성동 829</t>
        </is>
      </c>
      <c r="B2164" s="3" t="inlineStr">
        <is>
          <t>중심상업지역</t>
        </is>
      </c>
      <c r="C2164" s="3" t="inlineStr">
        <is>
          <t>대</t>
        </is>
      </c>
      <c r="D2164" s="3" t="inlineStr">
        <is>
          <t>과수원</t>
        </is>
      </c>
      <c r="E2164" s="3" t="inlineStr">
        <is>
          <t>매매</t>
        </is>
      </c>
      <c r="F2164" s="4" t="n">
        <v>19200</v>
      </c>
      <c r="G2164" s="4" t="n">
        <v>529</v>
      </c>
      <c r="H2164" s="4" t="n">
        <v>160</v>
      </c>
      <c r="I2164" s="5" t="n">
        <v>120</v>
      </c>
      <c r="J2164" s="4" t="n">
        <v>747.8</v>
      </c>
      <c r="K2164" s="3" t="inlineStr">
        <is>
          <t>전원주택지 매매</t>
        </is>
      </c>
      <c r="L2164" s="6">
        <f>HYPERLINK("https://fin.land.naver.com/articles/2648640148", "매물Link")</f>
        <v/>
      </c>
      <c r="M2164" s="6">
        <f>HYPERLINK("https://map.naver.com/p/search/세종특별자치시 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세종특별자치시 나성동 829</t>
        </is>
      </c>
      <c r="B2165" s="3" t="inlineStr">
        <is>
          <t>중심상업지역</t>
        </is>
      </c>
      <c r="C2165" s="3" t="inlineStr">
        <is>
          <t>대</t>
        </is>
      </c>
      <c r="D2165" s="3" t="inlineStr">
        <is>
          <t>대</t>
        </is>
      </c>
      <c r="E2165" s="3" t="inlineStr">
        <is>
          <t>매매</t>
        </is>
      </c>
      <c r="F2165" s="4" t="n">
        <v>22000</v>
      </c>
      <c r="G2165" s="4" t="n">
        <v>592</v>
      </c>
      <c r="H2165" s="4" t="n">
        <v>179</v>
      </c>
      <c r="I2165" s="5" t="n">
        <v>122.9</v>
      </c>
      <c r="J2165" s="4" t="n">
        <v>747.8</v>
      </c>
      <c r="K2165" s="3" t="inlineStr">
        <is>
          <t>과수원 토지 및 농가주택 매매</t>
        </is>
      </c>
      <c r="L2165" s="6">
        <f>HYPERLINK("https://fin.land.naver.com/articles/2648641998", "매물Link")</f>
        <v/>
      </c>
      <c r="M2165" s="6">
        <f>HYPERLINK("https://map.naver.com/p/search/세종특별자치시 나성동 829", "지도Link")</f>
        <v/>
      </c>
      <c r="N2165" s="6">
        <f>HYPERLINK("http://www.eum.go.kr/web/ar/lu/luLandDet.jsp?pnu=3611010700108290000&amp;isNoScr=script&amp;mode=search", "토지이음")</f>
        <v/>
      </c>
      <c r="O2165" s="3" t="inlineStr">
        <is>
          <t>두꺼비</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세종특별자치시 나성동 829</t>
        </is>
      </c>
      <c r="B2166" s="3" t="inlineStr">
        <is>
          <t>중심상업지역</t>
        </is>
      </c>
      <c r="C2166" s="3" t="inlineStr">
        <is>
          <t>대</t>
        </is>
      </c>
      <c r="D2166" s="3" t="inlineStr">
        <is>
          <t>임야</t>
        </is>
      </c>
      <c r="E2166" s="3" t="inlineStr">
        <is>
          <t>매매</t>
        </is>
      </c>
      <c r="F2166" s="4" t="n">
        <v>20000</v>
      </c>
      <c r="G2166" s="4" t="n">
        <v>1656</v>
      </c>
      <c r="H2166" s="4" t="n">
        <v>501</v>
      </c>
      <c r="I2166" s="5" t="n">
        <v>39.9</v>
      </c>
      <c r="J2166" s="4" t="n">
        <v>747.8</v>
      </c>
      <c r="K2166" s="3" t="inlineStr">
        <is>
          <t>대교리 계획관리지역 임야. 저렴한 토지</t>
        </is>
      </c>
      <c r="L2166" s="6">
        <f>HYPERLINK("https://fin.land.naver.com/articles/2648510655", "매물Link")</f>
        <v/>
      </c>
      <c r="M2166" s="6">
        <f>HYPERLINK("https://map.naver.com/p/search/세종특별자치시 나성동 829", "지도Link")</f>
        <v/>
      </c>
      <c r="N2166" s="6">
        <f>HYPERLINK("http://www.eum.go.kr/web/ar/lu/luLandDet.jsp?pnu=3611010700108290000&amp;isNoScr=script&amp;mode=search", "토지이음")</f>
        <v/>
      </c>
      <c r="O2166" s="3" t="inlineStr">
        <is>
          <t>세종금밭</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세종특별자치시 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HYPERLINK("https://map.naver.com/p/search/세종특별자치시 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세종특별자치시 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HYPERLINK("https://map.naver.com/p/search/세종특별자치시 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세종특별자치시 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HYPERLINK("https://map.naver.com/p/search/세종특별자치시 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세종특별자치시 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HYPERLINK("https://map.naver.com/p/search/세종특별자치시 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세종특별자치시 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HYPERLINK("https://map.naver.com/p/search/세종특별자치시 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세종특별자치시 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HYPERLINK("https://map.naver.com/p/search/세종특별자치시 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세종특별자치시 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HYPERLINK("https://map.naver.com/p/search/세종특별자치시 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세종특별자치시 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HYPERLINK("https://map.naver.com/p/search/세종특별자치시 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세종특별자치시 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HYPERLINK("https://map.naver.com/p/search/세종특별자치시 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세종특별자치시 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HYPERLINK("https://map.naver.com/p/search/세종특별자치시 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세종특별자치시 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HYPERLINK("https://map.naver.com/p/search/세종특별자치시 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세종특별자치시 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HYPERLINK("https://map.naver.com/p/search/세종특별자치시 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세종특별자치시 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HYPERLINK("https://map.naver.com/p/search/세종특별자치시 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세종특별자치시 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HYPERLINK("https://map.naver.com/p/search/세종특별자치시 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세종특별자치시 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HYPERLINK("https://map.naver.com/p/search/세종특별자치시 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세종특별자치시 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HYPERLINK("https://map.naver.com/p/search/세종특별자치시 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세종특별자치시 나성동 829</t>
        </is>
      </c>
      <c r="B2183" s="3" t="inlineStr">
        <is>
          <t>중심상업지역</t>
        </is>
      </c>
      <c r="C2183" s="3" t="inlineStr">
        <is>
          <t>대</t>
        </is>
      </c>
      <c r="D2183" s="3" t="inlineStr">
        <is>
          <t>임야</t>
        </is>
      </c>
      <c r="E2183" s="3" t="inlineStr">
        <is>
          <t>매매</t>
        </is>
      </c>
      <c r="F2183" s="4" t="n">
        <v>2800000</v>
      </c>
      <c r="G2183" s="4" t="n">
        <v>32393</v>
      </c>
      <c r="H2183" s="4" t="n">
        <v>9799</v>
      </c>
      <c r="I2183" s="5" t="n">
        <v>285.7</v>
      </c>
      <c r="J2183" s="4" t="n">
        <v>747.8</v>
      </c>
      <c r="K2183" s="3" t="inlineStr">
        <is>
          <t>세종시 서세종IC, 제2경부고속도로 IC 인근으로 사옥, 물류창고 외</t>
        </is>
      </c>
      <c r="L2183" s="6">
        <f>HYPERLINK("https://fin.land.naver.com/articles/2646036350", "매물Link")</f>
        <v/>
      </c>
      <c r="M2183" s="6">
        <f>HYPERLINK("https://map.naver.com/p/search/세종특별자치시 나성동 829", "지도Link")</f>
        <v/>
      </c>
      <c r="N2183" s="6">
        <f>HYPERLINK("http://www.eum.go.kr/web/ar/lu/luLandDet.jsp?pnu=3611010700108290000&amp;isNoScr=script&amp;mode=search", "토지이음")</f>
        <v/>
      </c>
      <c r="O2183" s="3" t="inlineStr">
        <is>
          <t>세종태양</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세종특별자치시 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HYPERLINK("https://map.naver.com/p/search/세종특별자치시 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세종특별자치시 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HYPERLINK("https://map.naver.com/p/search/세종특별자치시 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세종특별자치시 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HYPERLINK("https://map.naver.com/p/search/세종특별자치시 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세종특별자치시 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HYPERLINK("https://map.naver.com/p/search/세종특별자치시 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세종특별자치시 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HYPERLINK("https://map.naver.com/p/search/세종특별자치시 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세종특별자치시 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HYPERLINK("https://map.naver.com/p/search/세종특별자치시 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세종특별자치시 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HYPERLINK("https://map.naver.com/p/search/세종특별자치시 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세종특별자치시 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HYPERLINK("https://map.naver.com/p/search/세종특별자치시 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세종특별자치시 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HYPERLINK("https://map.naver.com/p/search/세종특별자치시 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세종특별자치시 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HYPERLINK("https://map.naver.com/p/search/세종특별자치시 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세종특별자치시 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HYPERLINK("https://map.naver.com/p/search/세종특별자치시 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세종특별자치시 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HYPERLINK("https://map.naver.com/p/search/세종특별자치시 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세종특별자치시 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HYPERLINK("https://map.naver.com/p/search/세종특별자치시 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세종특별자치시 나성동 829</t>
        </is>
      </c>
      <c r="B2197" s="3" t="inlineStr">
        <is>
          <t>중심상업지역</t>
        </is>
      </c>
      <c r="C2197" s="3" t="inlineStr">
        <is>
          <t>대</t>
        </is>
      </c>
      <c r="D2197" s="3" t="inlineStr">
        <is>
          <t>전</t>
        </is>
      </c>
      <c r="E2197" s="3" t="inlineStr">
        <is>
          <t>매매</t>
        </is>
      </c>
      <c r="F2197" s="4" t="n">
        <v>100000</v>
      </c>
      <c r="G2197" s="4" t="n">
        <v>1488</v>
      </c>
      <c r="H2197" s="4" t="n">
        <v>450</v>
      </c>
      <c r="I2197" s="5" t="n">
        <v>222.2</v>
      </c>
      <c r="J2197" s="4" t="n">
        <v>747.8</v>
      </c>
      <c r="K2197" s="3" t="inlineStr">
        <is>
          <t>2차선포장도로접</t>
        </is>
      </c>
      <c r="L2197" s="6">
        <f>HYPERLINK("https://fin.land.naver.com/articles/2649138681", "매물Link")</f>
        <v/>
      </c>
      <c r="M2197" s="6">
        <f>HYPERLINK("https://map.naver.com/p/search/세종특별자치시 나성동 829", "지도Link")</f>
        <v/>
      </c>
      <c r="N2197" s="6">
        <f>HYPERLINK("http://www.eum.go.kr/web/ar/lu/luLandDet.jsp?pnu=3611010700108290000&amp;isNoScr=script&amp;mode=search", "토지이음")</f>
        <v/>
      </c>
      <c r="O2197" s="3" t="inlineStr">
        <is>
          <t>평원</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세종특별자치시 나성동 829</t>
        </is>
      </c>
      <c r="B2198" s="3" t="inlineStr">
        <is>
          <t>중심상업지역</t>
        </is>
      </c>
      <c r="C2198" s="3" t="inlineStr">
        <is>
          <t>대</t>
        </is>
      </c>
      <c r="D2198" s="3" t="inlineStr">
        <is>
          <t>과수원</t>
        </is>
      </c>
      <c r="E2198" s="3" t="inlineStr">
        <is>
          <t>매매</t>
        </is>
      </c>
      <c r="F2198" s="4" t="n">
        <v>173000</v>
      </c>
      <c r="G2198" s="4" t="n">
        <v>2830</v>
      </c>
      <c r="H2198" s="4" t="n">
        <v>856</v>
      </c>
      <c r="I2198" s="5" t="n">
        <v>202.1</v>
      </c>
      <c r="J2198" s="4" t="n">
        <v>747.8</v>
      </c>
      <c r="K2198" s="3" t="inlineStr">
        <is>
          <t>그린벨트내 과수원(포도밭)으로 투자용으로 추천함</t>
        </is>
      </c>
      <c r="L2198" s="6">
        <f>HYPERLINK("https://fin.land.naver.com/articles/2646452778", "매물Link")</f>
        <v/>
      </c>
      <c r="M2198" s="6">
        <f>HYPERLINK("https://map.naver.com/p/search/세종특별자치시 나성동 829", "지도Link")</f>
        <v/>
      </c>
      <c r="N2198" s="6">
        <f>HYPERLINK("http://www.eum.go.kr/web/ar/lu/luLandDet.jsp?pnu=3611010700108290000&amp;isNoScr=script&amp;mode=search", "토지이음")</f>
        <v/>
      </c>
      <c r="O2198" s="3" t="inlineStr">
        <is>
          <t>금정</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세종특별자치시 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HYPERLINK("https://map.naver.com/p/search/세종특별자치시 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세종특별자치시 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HYPERLINK("https://map.naver.com/p/search/세종특별자치시 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세종특별자치시 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HYPERLINK("https://map.naver.com/p/search/세종특별자치시 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세종특별자치시 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HYPERLINK("https://map.naver.com/p/search/세종특별자치시 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세종특별자치시 나성동 829</t>
        </is>
      </c>
      <c r="B2203" s="3" t="inlineStr">
        <is>
          <t>중심상업지역</t>
        </is>
      </c>
      <c r="C2203" s="3" t="inlineStr">
        <is>
          <t>대</t>
        </is>
      </c>
      <c r="D2203" s="3" t="inlineStr">
        <is>
          <t>임야</t>
        </is>
      </c>
      <c r="E2203" s="3" t="inlineStr">
        <is>
          <t>매매</t>
        </is>
      </c>
      <c r="F2203" s="4" t="n">
        <v>2700000</v>
      </c>
      <c r="G2203" s="4" t="n">
        <v>77796</v>
      </c>
      <c r="H2203" s="4" t="n">
        <v>23533</v>
      </c>
      <c r="I2203" s="5" t="n">
        <v>114.7</v>
      </c>
      <c r="J2203" s="4" t="n">
        <v>747.8</v>
      </c>
      <c r="K2203" s="3" t="inlineStr">
        <is>
          <t>규모있는다용도부지.2차선도로접.행정중심복합도시인접.완만한지세.</t>
        </is>
      </c>
      <c r="L2203" s="6">
        <f>HYPERLINK("https://fin.land.naver.com/articles/2646361643", "매물Link")</f>
        <v/>
      </c>
      <c r="M2203" s="6">
        <f>HYPERLINK("https://map.naver.com/p/search/세종특별자치시 나성동 829", "지도Link")</f>
        <v/>
      </c>
      <c r="N2203" s="6">
        <f>HYPERLINK("http://www.eum.go.kr/web/ar/lu/luLandDet.jsp?pnu=3611010700108290000&amp;isNoScr=script&amp;mode=search", "토지이음")</f>
        <v/>
      </c>
      <c r="O2203" s="3" t="inlineStr">
        <is>
          <t>무한주식회사</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세종특별자치시 나성동 829</t>
        </is>
      </c>
      <c r="B2204" s="3" t="inlineStr">
        <is>
          <t>중심상업지역</t>
        </is>
      </c>
      <c r="C2204" s="3" t="inlineStr">
        <is>
          <t>대</t>
        </is>
      </c>
      <c r="D2204" s="3" t="inlineStr">
        <is>
          <t>공장용지</t>
        </is>
      </c>
      <c r="E2204" s="3" t="inlineStr">
        <is>
          <t>매매</t>
        </is>
      </c>
      <c r="F2204" s="4" t="n">
        <v>680000</v>
      </c>
      <c r="G2204" s="4" t="n">
        <v>4945</v>
      </c>
      <c r="H2204" s="4" t="n">
        <v>1496</v>
      </c>
      <c r="I2204" s="5" t="n">
        <v>454.5</v>
      </c>
      <c r="J2204" s="4" t="n">
        <v>747.8</v>
      </c>
      <c r="K2204" s="3" t="inlineStr">
        <is>
          <t>nan</t>
        </is>
      </c>
      <c r="L2204" s="6">
        <f>HYPERLINK("https://fin.land.naver.com/articles/2648919573", "매물Link")</f>
        <v/>
      </c>
      <c r="M2204" s="6">
        <f>HYPERLINK("https://map.naver.com/p/search/세종특별자치시 나성동 829", "지도Link")</f>
        <v/>
      </c>
      <c r="N2204" s="6">
        <f>HYPERLINK("http://www.eum.go.kr/web/ar/lu/luLandDet.jsp?pnu=3611010700108290000&amp;isNoScr=script&amp;mode=search", "토지이음")</f>
        <v/>
      </c>
      <c r="O2204" s="3" t="inlineStr">
        <is>
          <t>미더스</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세종특별자치시 나성동 829</t>
        </is>
      </c>
      <c r="B2205" s="3" t="inlineStr">
        <is>
          <t>중심상업지역</t>
        </is>
      </c>
      <c r="C2205" s="3" t="inlineStr">
        <is>
          <t>대</t>
        </is>
      </c>
      <c r="D2205" s="3" t="inlineStr">
        <is>
          <t>전</t>
        </is>
      </c>
      <c r="E2205" s="3" t="inlineStr">
        <is>
          <t>매매</t>
        </is>
      </c>
      <c r="F2205" s="4" t="n">
        <v>223000</v>
      </c>
      <c r="G2205" s="4" t="n">
        <v>2310</v>
      </c>
      <c r="H2205" s="4" t="n">
        <v>699</v>
      </c>
      <c r="I2205" s="5" t="n">
        <v>319</v>
      </c>
      <c r="J2205" s="4" t="n">
        <v>747.8</v>
      </c>
      <c r="K2205" s="3" t="inlineStr">
        <is>
          <t>전하고 임야로 이루어진 토지 신축 공장 부지 추천</t>
        </is>
      </c>
      <c r="L2205" s="6">
        <f>HYPERLINK("https://fin.land.naver.com/articles/2648151427", "매물Link")</f>
        <v/>
      </c>
      <c r="M2205" s="6">
        <f>HYPERLINK("https://map.naver.com/p/search/세종특별자치시 나성동 829", "지도Link")</f>
        <v/>
      </c>
      <c r="N2205" s="6">
        <f>HYPERLINK("http://www.eum.go.kr/web/ar/lu/luLandDet.jsp?pnu=3611010700108290000&amp;isNoScr=script&amp;mode=search", "토지이음")</f>
        <v/>
      </c>
      <c r="O2205" s="3" t="inlineStr">
        <is>
          <t>삼익</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세종특별자치시 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HYPERLINK("https://map.naver.com/p/search/세종특별자치시 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세종특별자치시 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HYPERLINK("https://map.naver.com/p/search/세종특별자치시 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세종특별자치시 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HYPERLINK("https://map.naver.com/p/search/세종특별자치시 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세종특별자치시 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HYPERLINK("https://map.naver.com/p/search/세종특별자치시 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세종특별자치시 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HYPERLINK("https://map.naver.com/p/search/세종특별자치시 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세종특별자치시 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HYPERLINK("https://map.naver.com/p/search/세종특별자치시 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세종특별자치시 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HYPERLINK("https://map.naver.com/p/search/세종특별자치시 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세종특별자치시 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HYPERLINK("https://map.naver.com/p/search/세종특별자치시 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세종특별자치시 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HYPERLINK("https://map.naver.com/p/search/세종특별자치시 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세종특별자치시 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HYPERLINK("https://map.naver.com/p/search/세종특별자치시 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세종특별자치시 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HYPERLINK("https://map.naver.com/p/search/세종특별자치시 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세종특별자치시 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HYPERLINK("https://map.naver.com/p/search/세종특별자치시 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세종특별자치시 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HYPERLINK("https://map.naver.com/p/search/세종특별자치시 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세종특별자치시 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HYPERLINK("https://map.naver.com/p/search/세종특별자치시 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세종특별자치시 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HYPERLINK("https://map.naver.com/p/search/세종특별자치시 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세종특별자치시 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HYPERLINK("https://map.naver.com/p/search/세종특별자치시 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세종특별자치시 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HYPERLINK("https://map.naver.com/p/search/세종특별자치시 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세종특별자치시 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HYPERLINK("https://map.naver.com/p/search/세종특별자치시 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세종특별자치시 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HYPERLINK("https://map.naver.com/p/search/세종특별자치시 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세종특별자치시 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HYPERLINK("https://map.naver.com/p/search/세종특별자치시 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세종특별자치시 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HYPERLINK("https://map.naver.com/p/search/세종특별자치시 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세종특별자치시 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HYPERLINK("https://map.naver.com/p/search/세종특별자치시 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세종특별자치시 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HYPERLINK("https://map.naver.com/p/search/세종특별자치시 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세종특별자치시 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HYPERLINK("https://map.naver.com/p/search/세종특별자치시 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세종특별자치시 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HYPERLINK("https://map.naver.com/p/search/세종특별자치시 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세종특별자치시 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HYPERLINK("https://map.naver.com/p/search/세종특별자치시 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세종특별자치시 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HYPERLINK("https://map.naver.com/p/search/세종특별자치시 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세종특별자치시 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HYPERLINK("https://map.naver.com/p/search/세종특별자치시 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세종특별자치시 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HYPERLINK("https://map.naver.com/p/search/세종특별자치시 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세종특별자치시 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HYPERLINK("https://map.naver.com/p/search/세종특별자치시 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세종특별자치시 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HYPERLINK("https://map.naver.com/p/search/세종특별자치시 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세종특별자치시 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HYPERLINK("https://map.naver.com/p/search/세종특별자치시 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세종특별자치시 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HYPERLINK("https://map.naver.com/p/search/세종특별자치시 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세종특별자치시 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HYPERLINK("https://map.naver.com/p/search/세종특별자치시 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세종특별자치시 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HYPERLINK("https://map.naver.com/p/search/세종특별자치시 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세종특별자치시 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HYPERLINK("https://map.naver.com/p/search/세종특별자치시 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세종특별자치시 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HYPERLINK("https://map.naver.com/p/search/세종특별자치시 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세종특별자치시 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HYPERLINK("https://map.naver.com/p/search/세종특별자치시 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세종특별자치시 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HYPERLINK("https://map.naver.com/p/search/세종특별자치시 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세종특별자치시 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HYPERLINK("https://map.naver.com/p/search/세종특별자치시 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세종특별자치시 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HYPERLINK("https://map.naver.com/p/search/세종특별자치시 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세종특별자치시 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HYPERLINK("https://map.naver.com/p/search/세종특별자치시 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세종특별자치시 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HYPERLINK("https://map.naver.com/p/search/세종특별자치시 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세종특별자치시 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HYPERLINK("https://map.naver.com/p/search/세종특별자치시 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세종특별자치시 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HYPERLINK("https://map.naver.com/p/search/세종특별자치시 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세종특별자치시 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HYPERLINK("https://map.naver.com/p/search/세종특별자치시 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세종특별자치시 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HYPERLINK("https://map.naver.com/p/search/세종특별자치시 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세종특별자치시 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HYPERLINK("https://map.naver.com/p/search/세종특별자치시 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세종특별자치시 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HYPERLINK("https://map.naver.com/p/search/세종특별자치시 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세종특별자치시 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HYPERLINK("https://map.naver.com/p/search/세종특별자치시 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세종특별자치시 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HYPERLINK("https://map.naver.com/p/search/세종특별자치시 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세종특별자치시 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HYPERLINK("https://map.naver.com/p/search/세종특별자치시 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세종특별자치시 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HYPERLINK("https://map.naver.com/p/search/세종특별자치시 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세종특별자치시 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HYPERLINK("https://map.naver.com/p/search/세종특별자치시 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세종특별자치시 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HYPERLINK("https://map.naver.com/p/search/세종특별자치시 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세종특별자치시 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HYPERLINK("https://map.naver.com/p/search/세종특별자치시 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세종특별자치시 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HYPERLINK("https://map.naver.com/p/search/세종특별자치시 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세종특별자치시 나성동 829</t>
        </is>
      </c>
      <c r="B2263" s="3" t="inlineStr">
        <is>
          <t>중심상업지역</t>
        </is>
      </c>
      <c r="C2263" s="3" t="inlineStr">
        <is>
          <t>대</t>
        </is>
      </c>
      <c r="D2263" s="3" t="inlineStr">
        <is>
          <t>대</t>
        </is>
      </c>
      <c r="E2263" s="3" t="inlineStr">
        <is>
          <t>매매</t>
        </is>
      </c>
      <c r="F2263" s="4" t="n">
        <v>27000</v>
      </c>
      <c r="G2263" s="4" t="n">
        <v>1223</v>
      </c>
      <c r="H2263" s="4" t="n">
        <v>370</v>
      </c>
      <c r="I2263" s="5" t="n">
        <v>73</v>
      </c>
      <c r="J2263" s="4" t="n">
        <v>747.8</v>
      </c>
      <c r="K2263" s="3" t="inlineStr">
        <is>
          <t>성북동 토지 매매</t>
        </is>
      </c>
      <c r="L2263" s="6">
        <f>HYPERLINK("https://fin.land.naver.com/articles/2644721181", "매물Link")</f>
        <v/>
      </c>
      <c r="M2263" s="6">
        <f>HYPERLINK("https://map.naver.com/p/search/세종특별자치시 나성동 829", "지도Link")</f>
        <v/>
      </c>
      <c r="N2263" s="6">
        <f>HYPERLINK("http://www.eum.go.kr/web/ar/lu/luLandDet.jsp?pnu=3611010700108290000&amp;isNoScr=script&amp;mode=search", "토지이음")</f>
        <v/>
      </c>
      <c r="O2263" s="3" t="inlineStr">
        <is>
          <t>학하랜드</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세종특별자치시 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HYPERLINK("https://map.naver.com/p/search/세종특별자치시 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세종특별자치시 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HYPERLINK("https://map.naver.com/p/search/세종특별자치시 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세종특별자치시 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HYPERLINK("https://map.naver.com/p/search/세종특별자치시 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세종특별자치시 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HYPERLINK("https://map.naver.com/p/search/세종특별자치시 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세종특별자치시 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HYPERLINK("https://map.naver.com/p/search/세종특별자치시 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세종특별자치시 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HYPERLINK("https://map.naver.com/p/search/세종특별자치시 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세종특별자치시 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HYPERLINK("https://map.naver.com/p/search/세종특별자치시 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세종특별자치시 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HYPERLINK("https://map.naver.com/p/search/세종특별자치시 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세종특별자치시 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HYPERLINK("https://map.naver.com/p/search/세종특별자치시 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세종특별자치시 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HYPERLINK("https://map.naver.com/p/search/세종특별자치시 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세종특별자치시 나성동 829</t>
        </is>
      </c>
      <c r="B2274" s="3" t="inlineStr">
        <is>
          <t>중심상업지역</t>
        </is>
      </c>
      <c r="C2274" s="3" t="inlineStr">
        <is>
          <t>대</t>
        </is>
      </c>
      <c r="D2274" s="3" t="inlineStr">
        <is>
          <t>대</t>
        </is>
      </c>
      <c r="E2274" s="3" t="inlineStr">
        <is>
          <t>매매</t>
        </is>
      </c>
      <c r="F2274" s="4" t="n">
        <v>70000</v>
      </c>
      <c r="G2274" s="4" t="n">
        <v>798</v>
      </c>
      <c r="H2274" s="4" t="n">
        <v>241</v>
      </c>
      <c r="I2274" s="5" t="n">
        <v>290.5</v>
      </c>
      <c r="J2274" s="4" t="n">
        <v>747.8</v>
      </c>
      <c r="K2274" s="3" t="inlineStr">
        <is>
          <t>대지값과 건축값이 포함된금액으로 2층집 잘지음 도로인접 지적재조사완료</t>
        </is>
      </c>
      <c r="L2274" s="6">
        <f>HYPERLINK("https://fin.land.naver.com/articles/2649468333", "매물Link")</f>
        <v/>
      </c>
      <c r="M2274" s="6">
        <f>HYPERLINK("https://map.naver.com/p/search/세종특별자치시 나성동 829", "지도Link")</f>
        <v/>
      </c>
      <c r="N2274" s="6">
        <f>HYPERLINK("http://www.eum.go.kr/web/ar/lu/luLandDet.jsp?pnu=3611010700108290000&amp;isNoScr=script&amp;mode=search", "토지이음")</f>
        <v/>
      </c>
      <c r="O2274" s="3" t="inlineStr">
        <is>
          <t>향촌114</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세종특별자치시 나성동 829</t>
        </is>
      </c>
      <c r="B2275" s="3" t="inlineStr">
        <is>
          <t>중심상업지역</t>
        </is>
      </c>
      <c r="C2275" s="3" t="inlineStr">
        <is>
          <t>대</t>
        </is>
      </c>
      <c r="D2275" s="3" t="inlineStr">
        <is>
          <t>대</t>
        </is>
      </c>
      <c r="E2275" s="3" t="inlineStr">
        <is>
          <t>매매</t>
        </is>
      </c>
      <c r="F2275" s="4" t="n">
        <v>49200</v>
      </c>
      <c r="G2275" s="4" t="n">
        <v>232</v>
      </c>
      <c r="H2275" s="4" t="n">
        <v>70</v>
      </c>
      <c r="I2275" s="5" t="n">
        <v>702.9</v>
      </c>
      <c r="J2275" s="4" t="n">
        <v>747.8</v>
      </c>
      <c r="K2275" s="3" t="inlineStr">
        <is>
          <t>상가주택의 건축이 가능한 대지앞에 공용주차장이 있어 편리한 대지입니다</t>
        </is>
      </c>
      <c r="L2275" s="6">
        <f>HYPERLINK("https://fin.land.naver.com/articles/2647267972", "매물Link")</f>
        <v/>
      </c>
      <c r="M2275" s="6">
        <f>HYPERLINK("https://map.naver.com/p/search/세종특별자치시 나성동 829", "지도Link")</f>
        <v/>
      </c>
      <c r="N2275" s="6">
        <f>HYPERLINK("http://www.eum.go.kr/web/ar/lu/luLandDet.jsp?pnu=3611010700108290000&amp;isNoScr=script&amp;mode=search", "토지이음")</f>
        <v/>
      </c>
      <c r="O2275" s="3" t="inlineStr">
        <is>
          <t>덕명1번지</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세종특별자치시 나성동 829</t>
        </is>
      </c>
      <c r="B2276" s="3" t="inlineStr">
        <is>
          <t>중심상업지역</t>
        </is>
      </c>
      <c r="C2276" s="3" t="inlineStr">
        <is>
          <t>대</t>
        </is>
      </c>
      <c r="D2276" s="3" t="inlineStr">
        <is>
          <t>대</t>
        </is>
      </c>
      <c r="E2276" s="3" t="inlineStr">
        <is>
          <t>매매</t>
        </is>
      </c>
      <c r="F2276" s="4" t="n">
        <v>105000</v>
      </c>
      <c r="G2276" s="4" t="n">
        <v>270</v>
      </c>
      <c r="H2276" s="4" t="n">
        <v>82</v>
      </c>
      <c r="I2276" s="5" t="n">
        <v>1280.5</v>
      </c>
      <c r="J2276" s="4" t="n">
        <v>747.8</v>
      </c>
      <c r="K2276" s="3" t="inlineStr">
        <is>
          <t>죽동 전원주택지로 적합한 나대지 특 매물</t>
        </is>
      </c>
      <c r="L2276" s="6">
        <f>HYPERLINK("https://fin.land.naver.com/articles/2645444546", "매물Link")</f>
        <v/>
      </c>
      <c r="M2276" s="6">
        <f>HYPERLINK("https://map.naver.com/p/search/세종특별자치시 나성동 829", "지도Link")</f>
        <v/>
      </c>
      <c r="N2276" s="6">
        <f>HYPERLINK("http://www.eum.go.kr/web/ar/lu/luLandDet.jsp?pnu=3611010700108290000&amp;isNoScr=script&amp;mode=search", "토지이음")</f>
        <v/>
      </c>
      <c r="O2276" s="3" t="inlineStr">
        <is>
          <t>죽동</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세종특별자치시 나성동 829</t>
        </is>
      </c>
      <c r="B2277" s="3" t="inlineStr">
        <is>
          <t>중심상업지역</t>
        </is>
      </c>
      <c r="C2277" s="3" t="inlineStr">
        <is>
          <t>대</t>
        </is>
      </c>
      <c r="D2277" s="3" t="inlineStr">
        <is>
          <t>대</t>
        </is>
      </c>
      <c r="E2277" s="3" t="inlineStr">
        <is>
          <t>매매</t>
        </is>
      </c>
      <c r="F2277" s="4" t="n">
        <v>1200000</v>
      </c>
      <c r="G2277" s="4" t="n">
        <v>1211</v>
      </c>
      <c r="H2277" s="4" t="n">
        <v>366</v>
      </c>
      <c r="I2277" s="5" t="n">
        <v>3278.7</v>
      </c>
      <c r="J2277" s="4" t="n">
        <v>747.8</v>
      </c>
      <c r="K2277" s="3" t="inlineStr">
        <is>
          <t>충남대 정문앞 대로변 코너 토지 매매</t>
        </is>
      </c>
      <c r="L2277" s="6">
        <f>HYPERLINK("https://fin.land.naver.com/articles/2646711477", "매물Link")</f>
        <v/>
      </c>
      <c r="M2277" s="6">
        <f>HYPERLINK("https://map.naver.com/p/search/세종특별자치시 나성동 829", "지도Link")</f>
        <v/>
      </c>
      <c r="N2277" s="6">
        <f>HYPERLINK("http://www.eum.go.kr/web/ar/lu/luLandDet.jsp?pnu=3611010700108290000&amp;isNoScr=script&amp;mode=search", "토지이음")</f>
        <v/>
      </c>
      <c r="O2277" s="3" t="inlineStr">
        <is>
          <t>지상</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세종특별자치시 나성동 829</t>
        </is>
      </c>
      <c r="B2278" s="3" t="inlineStr">
        <is>
          <t>중심상업지역</t>
        </is>
      </c>
      <c r="C2278" s="3" t="inlineStr">
        <is>
          <t>대</t>
        </is>
      </c>
      <c r="D2278" s="3" t="inlineStr">
        <is>
          <t>대</t>
        </is>
      </c>
      <c r="E2278" s="3" t="inlineStr">
        <is>
          <t>매매</t>
        </is>
      </c>
      <c r="F2278" s="4" t="n">
        <v>700000</v>
      </c>
      <c r="G2278" s="4" t="n">
        <v>994</v>
      </c>
      <c r="H2278" s="4" t="n">
        <v>301</v>
      </c>
      <c r="I2278" s="5" t="n">
        <v>2325.6</v>
      </c>
      <c r="J2278" s="4" t="n">
        <v>747.8</v>
      </c>
      <c r="K2278" s="3" t="inlineStr">
        <is>
          <t>대로변,충대앞,.가격조정가능</t>
        </is>
      </c>
      <c r="L2278" s="6">
        <f>HYPERLINK("https://fin.land.naver.com/articles/2645329826", "매물Link")</f>
        <v/>
      </c>
      <c r="M2278" s="6">
        <f>HYPERLINK("https://map.naver.com/p/search/세종특별자치시 나성동 829", "지도Link")</f>
        <v/>
      </c>
      <c r="N2278" s="6">
        <f>HYPERLINK("http://www.eum.go.kr/web/ar/lu/luLandDet.jsp?pnu=3611010700108290000&amp;isNoScr=script&amp;mode=search", "토지이음")</f>
        <v/>
      </c>
      <c r="O2278" s="3" t="inlineStr">
        <is>
          <t>유성베스트</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세종특별자치시 나성동 829</t>
        </is>
      </c>
      <c r="B2279" s="3" t="inlineStr">
        <is>
          <t>중심상업지역</t>
        </is>
      </c>
      <c r="C2279" s="3" t="inlineStr">
        <is>
          <t>대</t>
        </is>
      </c>
      <c r="D2279" s="3" t="inlineStr">
        <is>
          <t>임야</t>
        </is>
      </c>
      <c r="E2279" s="3" t="inlineStr">
        <is>
          <t>매매</t>
        </is>
      </c>
      <c r="F2279" s="4" t="n">
        <v>32500</v>
      </c>
      <c r="G2279" s="4" t="n">
        <v>8476</v>
      </c>
      <c r="H2279" s="4" t="n">
        <v>2564</v>
      </c>
      <c r="I2279" s="5" t="n">
        <v>12.7</v>
      </c>
      <c r="J2279" s="4" t="n">
        <v>747.8</v>
      </c>
      <c r="K2279" s="3" t="inlineStr">
        <is>
          <t>성덕중학교 인근의 공시지가로 매매하는 저렴한 임야</t>
        </is>
      </c>
      <c r="L2279" s="6">
        <f>HYPERLINK("https://fin.land.naver.com/articles/2644984741", "매물Link")</f>
        <v/>
      </c>
      <c r="M2279" s="6">
        <f>HYPERLINK("https://map.naver.com/p/search/세종특별자치시 나성동 829", "지도Link")</f>
        <v/>
      </c>
      <c r="N2279" s="6">
        <f>HYPERLINK("http://www.eum.go.kr/web/ar/lu/luLandDet.jsp?pnu=3611010700108290000&amp;isNoScr=script&amp;mode=search", "토지이음")</f>
        <v/>
      </c>
      <c r="O2279" s="3" t="inlineStr">
        <is>
          <t>귀빈</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세종특별자치시 나성동 829</t>
        </is>
      </c>
      <c r="B2280" s="3" t="inlineStr">
        <is>
          <t>중심상업지역</t>
        </is>
      </c>
      <c r="C2280" s="3" t="inlineStr">
        <is>
          <t>대</t>
        </is>
      </c>
      <c r="D2280" s="3" t="inlineStr">
        <is>
          <t>대</t>
        </is>
      </c>
      <c r="E2280" s="3" t="inlineStr">
        <is>
          <t>매매</t>
        </is>
      </c>
      <c r="F2280" s="4" t="n">
        <v>165000</v>
      </c>
      <c r="G2280" s="4" t="n">
        <v>343</v>
      </c>
      <c r="H2280" s="4" t="n">
        <v>104</v>
      </c>
      <c r="I2280" s="5" t="n">
        <v>1586.5</v>
      </c>
      <c r="J2280" s="4" t="n">
        <v>747.8</v>
      </c>
      <c r="K2280" s="3" t="inlineStr">
        <is>
          <t>도룡동 건물지을 수 있는 토지,가장 가격 좋은 대지입니다</t>
        </is>
      </c>
      <c r="L2280" s="6">
        <f>HYPERLINK("https://fin.land.naver.com/articles/2649482875", "매물Link")</f>
        <v/>
      </c>
      <c r="M2280" s="6">
        <f>HYPERLINK("https://map.naver.com/p/search/세종특별자치시 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세종특별자치시 나성동 829</t>
        </is>
      </c>
      <c r="B2281" s="3" t="inlineStr">
        <is>
          <t>중심상업지역</t>
        </is>
      </c>
      <c r="C2281" s="3" t="inlineStr">
        <is>
          <t>대</t>
        </is>
      </c>
      <c r="D2281" s="3" t="inlineStr">
        <is>
          <t>대</t>
        </is>
      </c>
      <c r="E2281" s="3" t="inlineStr">
        <is>
          <t>매매</t>
        </is>
      </c>
      <c r="F2281" s="4" t="n">
        <v>210000</v>
      </c>
      <c r="G2281" s="4" t="n">
        <v>409</v>
      </c>
      <c r="H2281" s="4" t="n">
        <v>124</v>
      </c>
      <c r="I2281" s="5" t="n">
        <v>1693.5</v>
      </c>
      <c r="J2281" s="4" t="n">
        <v>747.8</v>
      </c>
      <c r="K2281" s="3" t="inlineStr">
        <is>
          <t>도룡동 대덕고 앞 나대지 매매</t>
        </is>
      </c>
      <c r="L2281" s="6">
        <f>HYPERLINK("https://fin.land.naver.com/articles/2649484331", "매물Link")</f>
        <v/>
      </c>
      <c r="M2281" s="6">
        <f>HYPERLINK("https://map.naver.com/p/search/세종특별자치시 나성동 829", "지도Link")</f>
        <v/>
      </c>
      <c r="N2281" s="6">
        <f>HYPERLINK("http://www.eum.go.kr/web/ar/lu/luLandDet.jsp?pnu=3611010700108290000&amp;isNoScr=script&amp;mode=search", "토지이음")</f>
        <v/>
      </c>
      <c r="O2281" s="3" t="inlineStr">
        <is>
          <t>도룡신세계</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세종특별자치시 나성동 829</t>
        </is>
      </c>
      <c r="B2282" s="3" t="inlineStr">
        <is>
          <t>중심상업지역</t>
        </is>
      </c>
      <c r="C2282" s="3" t="inlineStr">
        <is>
          <t>대</t>
        </is>
      </c>
      <c r="D2282" s="3" t="inlineStr">
        <is>
          <t>대</t>
        </is>
      </c>
      <c r="E2282" s="3" t="inlineStr">
        <is>
          <t>매매</t>
        </is>
      </c>
      <c r="F2282" s="4" t="n">
        <v>300000</v>
      </c>
      <c r="G2282" s="4" t="n">
        <v>1950</v>
      </c>
      <c r="H2282" s="4" t="n">
        <v>590</v>
      </c>
      <c r="I2282" s="5" t="n">
        <v>508.5</v>
      </c>
      <c r="J2282" s="4" t="n">
        <v>747.8</v>
      </c>
      <c r="K2282" s="3" t="inlineStr">
        <is>
          <t>연구단지 인근 임야, 신세계백화점,도룡동 스마트시티 인근에 위치</t>
        </is>
      </c>
      <c r="L2282" s="6">
        <f>HYPERLINK("https://fin.land.naver.com/articles/2648570438", "매물Link")</f>
        <v/>
      </c>
      <c r="M2282" s="6">
        <f>HYPERLINK("https://map.naver.com/p/search/세종특별자치시 나성동 829", "지도Link")</f>
        <v/>
      </c>
      <c r="N2282" s="6">
        <f>HYPERLINK("http://www.eum.go.kr/web/ar/lu/luLandDet.jsp?pnu=3611010700108290000&amp;isNoScr=script&amp;mode=search", "토지이음")</f>
        <v/>
      </c>
      <c r="O2282" s="3" t="inlineStr">
        <is>
          <t>(주)미르</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세종특별자치시 나성동 829</t>
        </is>
      </c>
      <c r="B2283" s="3" t="inlineStr">
        <is>
          <t>중심상업지역</t>
        </is>
      </c>
      <c r="C2283" s="3" t="inlineStr">
        <is>
          <t>대</t>
        </is>
      </c>
      <c r="D2283" s="3" t="inlineStr">
        <is>
          <t>대</t>
        </is>
      </c>
      <c r="E2283" s="3" t="inlineStr">
        <is>
          <t>매매</t>
        </is>
      </c>
      <c r="F2283" s="4" t="n">
        <v>220000</v>
      </c>
      <c r="G2283" s="4" t="n">
        <v>347</v>
      </c>
      <c r="H2283" s="4" t="n">
        <v>105</v>
      </c>
      <c r="I2283" s="5" t="n">
        <v>2095.2</v>
      </c>
      <c r="J2283" s="4" t="n">
        <v>747.8</v>
      </c>
      <c r="K2283" s="3" t="inlineStr">
        <is>
          <t>제2종일반주거지역</t>
        </is>
      </c>
      <c r="L2283" s="6">
        <f>HYPERLINK("https://fin.land.naver.com/articles/2646432907", "매물Link")</f>
        <v/>
      </c>
      <c r="M2283" s="6">
        <f>HYPERLINK("https://map.naver.com/p/search/세종특별자치시 나성동 829", "지도Link")</f>
        <v/>
      </c>
      <c r="N2283" s="6">
        <f>HYPERLINK("http://www.eum.go.kr/web/ar/lu/luLandDet.jsp?pnu=3611010700108290000&amp;isNoScr=script&amp;mode=search", "토지이음")</f>
        <v/>
      </c>
      <c r="O2283" s="3" t="inlineStr">
        <is>
          <t>삼흥</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세종특별자치시 나성동 829</t>
        </is>
      </c>
      <c r="B2284" s="3" t="inlineStr">
        <is>
          <t>중심상업지역</t>
        </is>
      </c>
      <c r="C2284" s="3" t="inlineStr">
        <is>
          <t>대</t>
        </is>
      </c>
      <c r="D2284" s="3" t="inlineStr">
        <is>
          <t>대</t>
        </is>
      </c>
      <c r="E2284" s="3" t="inlineStr">
        <is>
          <t>매매</t>
        </is>
      </c>
      <c r="F2284" s="4" t="n">
        <v>360000</v>
      </c>
      <c r="G2284" s="4" t="n">
        <v>594</v>
      </c>
      <c r="H2284" s="4" t="n">
        <v>180</v>
      </c>
      <c r="I2284" s="5" t="n">
        <v>2000</v>
      </c>
      <c r="J2284" s="4" t="n">
        <v>747.8</v>
      </c>
      <c r="K2284" s="3" t="inlineStr">
        <is>
          <t>nan</t>
        </is>
      </c>
      <c r="L2284" s="6">
        <f>HYPERLINK("https://fin.land.naver.com/articles/2646784310", "매물Link")</f>
        <v/>
      </c>
      <c r="M2284" s="6">
        <f>HYPERLINK("https://map.naver.com/p/search/세종특별자치시 나성동 829", "지도Link")</f>
        <v/>
      </c>
      <c r="N2284" s="6">
        <f>HYPERLINK("http://www.eum.go.kr/web/ar/lu/luLandDet.jsp?pnu=3611010700108290000&amp;isNoScr=script&amp;mode=search", "토지이음")</f>
        <v/>
      </c>
      <c r="O2284" s="3" t="inlineStr">
        <is>
          <t>번영</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세종특별자치시 나성동 829</t>
        </is>
      </c>
      <c r="B2285" s="3" t="inlineStr">
        <is>
          <t>중심상업지역</t>
        </is>
      </c>
      <c r="C2285" s="3" t="inlineStr">
        <is>
          <t>대</t>
        </is>
      </c>
      <c r="D2285" s="3" t="inlineStr">
        <is>
          <t>대</t>
        </is>
      </c>
      <c r="E2285" s="3" t="inlineStr">
        <is>
          <t>매매</t>
        </is>
      </c>
      <c r="F2285" s="4" t="n">
        <v>105000</v>
      </c>
      <c r="G2285" s="4" t="n">
        <v>270</v>
      </c>
      <c r="H2285" s="4" t="n">
        <v>82</v>
      </c>
      <c r="I2285" s="5" t="n">
        <v>1280.5</v>
      </c>
      <c r="J2285" s="4" t="n">
        <v>747.8</v>
      </c>
      <c r="K2285" s="3" t="inlineStr">
        <is>
          <t>남향 토지, 좋은  택지 입니다.</t>
        </is>
      </c>
      <c r="L2285" s="6">
        <f>HYPERLINK("https://fin.land.naver.com/articles/2648481089", "매물Link")</f>
        <v/>
      </c>
      <c r="M2285" s="6">
        <f>HYPERLINK("https://map.naver.com/p/search/세종특별자치시 나성동 829", "지도Link")</f>
        <v/>
      </c>
      <c r="N2285" s="6">
        <f>HYPERLINK("http://www.eum.go.kr/web/ar/lu/luLandDet.jsp?pnu=3611010700108290000&amp;isNoScr=script&amp;mode=search", "토지이음")</f>
        <v/>
      </c>
      <c r="O2285" s="3" t="inlineStr">
        <is>
          <t>송림</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세종특별자치시 나성동 829</t>
        </is>
      </c>
      <c r="B2286" s="3" t="inlineStr">
        <is>
          <t>중심상업지역</t>
        </is>
      </c>
      <c r="C2286" s="3" t="inlineStr">
        <is>
          <t>대</t>
        </is>
      </c>
      <c r="D2286" s="3" t="inlineStr">
        <is>
          <t>대</t>
        </is>
      </c>
      <c r="E2286" s="3" t="inlineStr">
        <is>
          <t>매매</t>
        </is>
      </c>
      <c r="F2286" s="4" t="n">
        <v>170000</v>
      </c>
      <c r="G2286" s="4" t="n">
        <v>307</v>
      </c>
      <c r="H2286" s="4" t="n">
        <v>93</v>
      </c>
      <c r="I2286" s="5" t="n">
        <v>1828</v>
      </c>
      <c r="J2286" s="4" t="n">
        <v>747.8</v>
      </c>
      <c r="K2286" s="3" t="inlineStr">
        <is>
          <t>nan</t>
        </is>
      </c>
      <c r="L2286" s="6">
        <f>HYPERLINK("https://fin.land.naver.com/articles/2646783989", "매물Link")</f>
        <v/>
      </c>
      <c r="M2286" s="6">
        <f>HYPERLINK("https://map.naver.com/p/search/세종특별자치시 나성동 829", "지도Link")</f>
        <v/>
      </c>
      <c r="N2286" s="6">
        <f>HYPERLINK("http://www.eum.go.kr/web/ar/lu/luLandDet.jsp?pnu=3611010700108290000&amp;isNoScr=script&amp;mode=search", "토지이음")</f>
        <v/>
      </c>
      <c r="O2286" s="3" t="inlineStr">
        <is>
          <t>번영</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세종특별자치시 나성동 829</t>
        </is>
      </c>
      <c r="B2287" s="3" t="inlineStr">
        <is>
          <t>중심상업지역</t>
        </is>
      </c>
      <c r="C2287" s="3" t="inlineStr">
        <is>
          <t>대</t>
        </is>
      </c>
      <c r="D2287" s="3" t="inlineStr">
        <is>
          <t>대</t>
        </is>
      </c>
      <c r="E2287" s="3" t="inlineStr">
        <is>
          <t>매매</t>
        </is>
      </c>
      <c r="F2287" s="4" t="n">
        <v>115000</v>
      </c>
      <c r="G2287" s="4" t="n">
        <v>247</v>
      </c>
      <c r="H2287" s="4" t="n">
        <v>75</v>
      </c>
      <c r="I2287" s="5" t="n">
        <v>1533.3</v>
      </c>
      <c r="J2287" s="4" t="n">
        <v>747.8</v>
      </c>
      <c r="K2287" s="3" t="inlineStr">
        <is>
          <t>조용한 단독주택 신축부지, 현재 나대지</t>
        </is>
      </c>
      <c r="L2287" s="6">
        <f>HYPERLINK("https://fin.land.naver.com/articles/2644844299", "매물Link")</f>
        <v/>
      </c>
      <c r="M2287" s="6">
        <f>HYPERLINK("https://map.naver.com/p/search/세종특별자치시 나성동 829", "지도Link")</f>
        <v/>
      </c>
      <c r="N2287" s="6">
        <f>HYPERLINK("http://www.eum.go.kr/web/ar/lu/luLandDet.jsp?pnu=3611010700108290000&amp;isNoScr=script&amp;mode=search", "토지이음")</f>
        <v/>
      </c>
      <c r="O2287" s="3" t="inlineStr">
        <is>
          <t>도룡sk뷰미소</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세종특별자치시 나성동 829</t>
        </is>
      </c>
      <c r="B2288" s="3" t="inlineStr">
        <is>
          <t>중심상업지역</t>
        </is>
      </c>
      <c r="C2288" s="3" t="inlineStr">
        <is>
          <t>대</t>
        </is>
      </c>
      <c r="D2288" s="3" t="inlineStr">
        <is>
          <t>공장용지</t>
        </is>
      </c>
      <c r="E2288" s="3" t="inlineStr">
        <is>
          <t>월세</t>
        </is>
      </c>
      <c r="F2288" s="4" t="n">
        <v>13600</v>
      </c>
      <c r="G2288" s="4" t="n">
        <v>5619</v>
      </c>
      <c r="H2288" s="4" t="n">
        <v>1700</v>
      </c>
      <c r="I2288" s="5" t="n">
        <v>0</v>
      </c>
      <c r="J2288" s="4" t="n">
        <v>747.8</v>
      </c>
      <c r="K2288" s="3" t="inlineStr">
        <is>
          <t>대전 유성 대덕테크노밸리 야적장 임대, 대도로변 위치, 진출입 편리</t>
        </is>
      </c>
      <c r="L2288" s="6">
        <f>HYPERLINK("https://fin.land.naver.com/articles/2647034102", "매물Link")</f>
        <v/>
      </c>
      <c r="M2288" s="6">
        <f>HYPERLINK("https://map.naver.com/p/search/세종특별자치시 나성동 829", "지도Link")</f>
        <v/>
      </c>
      <c r="N2288" s="6">
        <f>HYPERLINK("http://www.eum.go.kr/web/ar/lu/luLandDet.jsp?pnu=3611010700108290000&amp;isNoScr=script&amp;mode=search", "토지이음")</f>
        <v/>
      </c>
      <c r="O2288" s="3" t="inlineStr">
        <is>
          <t>(주)미르</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세종특별자치시 나성동 829</t>
        </is>
      </c>
      <c r="B2289" s="3" t="inlineStr">
        <is>
          <t>중심상업지역</t>
        </is>
      </c>
      <c r="C2289" s="3" t="inlineStr">
        <is>
          <t>대</t>
        </is>
      </c>
      <c r="D2289" s="3" t="inlineStr">
        <is>
          <t>전</t>
        </is>
      </c>
      <c r="E2289" s="3" t="inlineStr">
        <is>
          <t>매매</t>
        </is>
      </c>
      <c r="F2289" s="4" t="n">
        <v>120000</v>
      </c>
      <c r="G2289" s="4" t="n">
        <v>647</v>
      </c>
      <c r="H2289" s="4" t="n">
        <v>196</v>
      </c>
      <c r="I2289" s="5" t="n">
        <v>612.2</v>
      </c>
      <c r="J2289" s="4" t="n">
        <v>747.8</v>
      </c>
      <c r="K2289" s="3" t="inlineStr">
        <is>
          <t>정방형 모양이 예쁜토지</t>
        </is>
      </c>
      <c r="L2289" s="6">
        <f>HYPERLINK("https://fin.land.naver.com/articles/2650126880", "매물Link")</f>
        <v/>
      </c>
      <c r="M2289" s="6">
        <f>HYPERLINK("https://map.naver.com/p/search/세종특별자치시 나성동 829", "지도Link")</f>
        <v/>
      </c>
      <c r="N2289" s="6">
        <f>HYPERLINK("http://www.eum.go.kr/web/ar/lu/luLandDet.jsp?pnu=3611010700108290000&amp;isNoScr=script&amp;mode=search", "토지이음")</f>
        <v/>
      </c>
      <c r="O2289" s="3" t="inlineStr">
        <is>
          <t>호반114</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세종특별자치시 나성동 829</t>
        </is>
      </c>
      <c r="B2290" s="3" t="inlineStr">
        <is>
          <t>중심상업지역</t>
        </is>
      </c>
      <c r="C2290" s="3" t="inlineStr">
        <is>
          <t>대</t>
        </is>
      </c>
      <c r="D2290" s="3" t="inlineStr">
        <is>
          <t>전</t>
        </is>
      </c>
      <c r="E2290" s="3" t="inlineStr">
        <is>
          <t>매매</t>
        </is>
      </c>
      <c r="F2290" s="4" t="n">
        <v>45000</v>
      </c>
      <c r="G2290" s="4" t="n">
        <v>468</v>
      </c>
      <c r="H2290" s="4" t="n">
        <v>142</v>
      </c>
      <c r="I2290" s="5" t="n">
        <v>316.9</v>
      </c>
      <c r="J2290" s="4" t="n">
        <v>747.8</v>
      </c>
      <c r="K2290" s="3" t="inlineStr">
        <is>
          <t>대로변 조경 영농 하우스 주말 농장 투자용 교통 편리하고 전시효과 양호</t>
        </is>
      </c>
      <c r="L2290" s="6">
        <f>HYPERLINK("https://fin.land.naver.com/articles/2648970662", "매물Link")</f>
        <v/>
      </c>
      <c r="M2290" s="6">
        <f>HYPERLINK("https://map.naver.com/p/search/세종특별자치시 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세종특별자치시 나성동 829</t>
        </is>
      </c>
      <c r="B2291" s="3" t="inlineStr">
        <is>
          <t>중심상업지역</t>
        </is>
      </c>
      <c r="C2291" s="3" t="inlineStr">
        <is>
          <t>대</t>
        </is>
      </c>
      <c r="D2291" s="3" t="inlineStr">
        <is>
          <t>답</t>
        </is>
      </c>
      <c r="E2291" s="3" t="inlineStr">
        <is>
          <t>매매</t>
        </is>
      </c>
      <c r="F2291" s="4" t="n">
        <v>37000</v>
      </c>
      <c r="G2291" s="4" t="n">
        <v>1379</v>
      </c>
      <c r="H2291" s="4" t="n">
        <v>417</v>
      </c>
      <c r="I2291" s="5" t="n">
        <v>88.7</v>
      </c>
      <c r="J2291" s="4" t="n">
        <v>747.8</v>
      </c>
      <c r="K2291" s="3" t="inlineStr">
        <is>
          <t>급매 저렴 북대전IC인근 교통 편리 영농 하우스 조경 투자용 토지 최상급</t>
        </is>
      </c>
      <c r="L2291" s="6">
        <f>HYPERLINK("https://fin.land.naver.com/articles/2648964623", "매물Link")</f>
        <v/>
      </c>
      <c r="M2291" s="6">
        <f>HYPERLINK("https://map.naver.com/p/search/세종특별자치시 나성동 829", "지도Link")</f>
        <v/>
      </c>
      <c r="N2291" s="6">
        <f>HYPERLINK("http://www.eum.go.kr/web/ar/lu/luLandDet.jsp?pnu=3611010700108290000&amp;isNoScr=script&amp;mode=search", "토지이음")</f>
        <v/>
      </c>
      <c r="O2291" s="3" t="inlineStr">
        <is>
          <t>뉴태양</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세종특별자치시 나성동 829</t>
        </is>
      </c>
      <c r="B2292" s="3" t="inlineStr">
        <is>
          <t>중심상업지역</t>
        </is>
      </c>
      <c r="C2292" s="3" t="inlineStr">
        <is>
          <t>대</t>
        </is>
      </c>
      <c r="D2292" s="3" t="inlineStr">
        <is>
          <t>전</t>
        </is>
      </c>
      <c r="E2292" s="3" t="inlineStr">
        <is>
          <t>매매</t>
        </is>
      </c>
      <c r="F2292" s="4" t="n">
        <v>27000</v>
      </c>
      <c r="G2292" s="4" t="n">
        <v>569</v>
      </c>
      <c r="H2292" s="4" t="n">
        <v>172</v>
      </c>
      <c r="I2292" s="5" t="n">
        <v>157</v>
      </c>
      <c r="J2292" s="4" t="n">
        <v>747.8</v>
      </c>
      <c r="K2292" s="3" t="inlineStr">
        <is>
          <t>북대전 인근.투자용으로 적합한 추천 매물</t>
        </is>
      </c>
      <c r="L2292" s="6">
        <f>HYPERLINK("https://fin.land.naver.com/articles/2646850592", "매물Link")</f>
        <v/>
      </c>
      <c r="M2292" s="6">
        <f>HYPERLINK("https://map.naver.com/p/search/세종특별자치시 나성동 829", "지도Link")</f>
        <v/>
      </c>
      <c r="N2292" s="6">
        <f>HYPERLINK("http://www.eum.go.kr/web/ar/lu/luLandDet.jsp?pnu=3611010700108290000&amp;isNoScr=script&amp;mode=search", "토지이음")</f>
        <v/>
      </c>
      <c r="O2292" s="3" t="inlineStr">
        <is>
          <t>테크노114</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세종특별자치시 나성동 829</t>
        </is>
      </c>
      <c r="B2293" s="3" t="inlineStr">
        <is>
          <t>중심상업지역</t>
        </is>
      </c>
      <c r="C2293" s="3" t="inlineStr">
        <is>
          <t>대</t>
        </is>
      </c>
      <c r="D2293" s="3" t="inlineStr">
        <is>
          <t>대</t>
        </is>
      </c>
      <c r="E2293" s="3" t="inlineStr">
        <is>
          <t>매매</t>
        </is>
      </c>
      <c r="F2293" s="4" t="n">
        <v>150000</v>
      </c>
      <c r="G2293" s="4" t="n">
        <v>923</v>
      </c>
      <c r="H2293" s="4" t="n">
        <v>279</v>
      </c>
      <c r="I2293" s="5" t="n">
        <v>537.6</v>
      </c>
      <c r="J2293" s="4" t="n">
        <v>747.8</v>
      </c>
      <c r="K2293" s="3" t="inlineStr">
        <is>
          <t>급매 대로변 전시효과 좋아 사옥 상가건물  커피브런치 사무실 이용 최상</t>
        </is>
      </c>
      <c r="L2293" s="6">
        <f>HYPERLINK("https://fin.land.naver.com/articles/2644032648", "매물Link")</f>
        <v/>
      </c>
      <c r="M2293" s="6">
        <f>HYPERLINK("https://map.naver.com/p/search/세종특별자치시 나성동 829", "지도Link")</f>
        <v/>
      </c>
      <c r="N2293" s="6">
        <f>HYPERLINK("http://www.eum.go.kr/web/ar/lu/luLandDet.jsp?pnu=3611010700108290000&amp;isNoScr=script&amp;mode=search", "토지이음")</f>
        <v/>
      </c>
      <c r="O2293" s="3" t="inlineStr">
        <is>
          <t>뉴태양</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세종특별자치시 나성동 829</t>
        </is>
      </c>
      <c r="B2294" s="3" t="inlineStr">
        <is>
          <t>중심상업지역</t>
        </is>
      </c>
      <c r="C2294" s="3" t="inlineStr">
        <is>
          <t>대</t>
        </is>
      </c>
      <c r="D2294" s="3" t="inlineStr">
        <is>
          <t>답</t>
        </is>
      </c>
      <c r="E2294" s="3" t="inlineStr">
        <is>
          <t>매매</t>
        </is>
      </c>
      <c r="F2294" s="4" t="n">
        <v>62300</v>
      </c>
      <c r="G2294" s="4" t="n">
        <v>686</v>
      </c>
      <c r="H2294" s="4" t="n">
        <v>208</v>
      </c>
      <c r="I2294" s="5" t="n">
        <v>299.5</v>
      </c>
      <c r="J2294" s="4" t="n">
        <v>747.8</v>
      </c>
      <c r="K2294" s="3" t="inlineStr">
        <is>
          <t>전원주택이 있는 도시 접근성이 좋은 토지 매매</t>
        </is>
      </c>
      <c r="L2294" s="6">
        <f>HYPERLINK("https://fin.land.naver.com/articles/2650082602", "매물Link")</f>
        <v/>
      </c>
      <c r="M2294" s="6">
        <f>HYPERLINK("https://map.naver.com/p/search/세종특별자치시 나성동 829", "지도Link")</f>
        <v/>
      </c>
      <c r="N2294" s="6">
        <f>HYPERLINK("http://www.eum.go.kr/web/ar/lu/luLandDet.jsp?pnu=3611010700108290000&amp;isNoScr=script&amp;mode=search", "토지이음")</f>
        <v/>
      </c>
      <c r="O2294" s="3" t="inlineStr">
        <is>
          <t>한화타운</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세종특별자치시 나성동 829</t>
        </is>
      </c>
      <c r="B2295" s="3" t="inlineStr">
        <is>
          <t>중심상업지역</t>
        </is>
      </c>
      <c r="C2295" s="3" t="inlineStr">
        <is>
          <t>대</t>
        </is>
      </c>
      <c r="D2295" s="3" t="inlineStr">
        <is>
          <t>임야</t>
        </is>
      </c>
      <c r="E2295" s="3" t="inlineStr">
        <is>
          <t>매매</t>
        </is>
      </c>
      <c r="F2295" s="4" t="n">
        <v>120000</v>
      </c>
      <c r="G2295" s="4" t="n">
        <v>115703</v>
      </c>
      <c r="H2295" s="4" t="n">
        <v>35000</v>
      </c>
      <c r="I2295" s="5" t="n">
        <v>3.4</v>
      </c>
      <c r="J2295" s="4" t="n">
        <v>747.8</v>
      </c>
      <c r="K2295" s="3" t="inlineStr">
        <is>
          <t>nan</t>
        </is>
      </c>
      <c r="L2295" s="6">
        <f>HYPERLINK("https://fin.land.naver.com/articles/2646136081", "매물Link")</f>
        <v/>
      </c>
      <c r="M2295" s="6">
        <f>HYPERLINK("https://map.naver.com/p/search/세종특별자치시 나성동 829", "지도Link")</f>
        <v/>
      </c>
      <c r="N2295" s="6">
        <f>HYPERLINK("http://www.eum.go.kr/web/ar/lu/luLandDet.jsp?pnu=3611010700108290000&amp;isNoScr=script&amp;mode=search", "토지이음")</f>
        <v/>
      </c>
      <c r="O2295" s="3" t="inlineStr">
        <is>
          <t>성안길</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세종특별자치시 나성동 829</t>
        </is>
      </c>
      <c r="B2296" s="3" t="inlineStr">
        <is>
          <t>중심상업지역</t>
        </is>
      </c>
      <c r="C2296" s="3" t="inlineStr">
        <is>
          <t>대</t>
        </is>
      </c>
      <c r="D2296" s="3" t="inlineStr">
        <is>
          <t>답</t>
        </is>
      </c>
      <c r="E2296" s="3" t="inlineStr">
        <is>
          <t>매매</t>
        </is>
      </c>
      <c r="F2296" s="4" t="n">
        <v>90000</v>
      </c>
      <c r="G2296" s="4" t="n">
        <v>3454</v>
      </c>
      <c r="H2296" s="4" t="n">
        <v>1045</v>
      </c>
      <c r="I2296" s="5" t="n">
        <v>86.09999999999999</v>
      </c>
      <c r="J2296" s="4" t="n">
        <v>747.8</v>
      </c>
      <c r="K2296" s="3" t="inlineStr">
        <is>
          <t>도로에 접한 토지각지 , 개발 제한구역</t>
        </is>
      </c>
      <c r="L2296" s="6">
        <f>HYPERLINK("https://fin.land.naver.com/articles/2647019834", "매물Link")</f>
        <v/>
      </c>
      <c r="M2296" s="6">
        <f>HYPERLINK("https://map.naver.com/p/search/세종특별자치시 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세종특별자치시 나성동 829</t>
        </is>
      </c>
      <c r="B2297" s="3" t="inlineStr">
        <is>
          <t>중심상업지역</t>
        </is>
      </c>
      <c r="C2297" s="3" t="inlineStr">
        <is>
          <t>대</t>
        </is>
      </c>
      <c r="D2297" s="3" t="inlineStr">
        <is>
          <t>임야</t>
        </is>
      </c>
      <c r="E2297" s="3" t="inlineStr">
        <is>
          <t>매매</t>
        </is>
      </c>
      <c r="F2297" s="4" t="n">
        <v>180000</v>
      </c>
      <c r="G2297" s="4" t="n">
        <v>10579</v>
      </c>
      <c r="H2297" s="4" t="n">
        <v>3200</v>
      </c>
      <c r="I2297" s="5" t="n">
        <v>56.2</v>
      </c>
      <c r="J2297" s="4" t="n">
        <v>747.8</v>
      </c>
      <c r="K2297" s="3" t="inlineStr">
        <is>
          <t>2차선 도로에 접한  좋은 토지 개발제한구역</t>
        </is>
      </c>
      <c r="L2297" s="6">
        <f>HYPERLINK("https://fin.land.naver.com/articles/2646774829", "매물Link")</f>
        <v/>
      </c>
      <c r="M2297" s="6">
        <f>HYPERLINK("https://map.naver.com/p/search/세종특별자치시 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세종특별자치시 나성동 829</t>
        </is>
      </c>
      <c r="B2298" s="3" t="inlineStr">
        <is>
          <t>중심상업지역</t>
        </is>
      </c>
      <c r="C2298" s="3" t="inlineStr">
        <is>
          <t>대</t>
        </is>
      </c>
      <c r="D2298" s="3" t="inlineStr">
        <is>
          <t>대</t>
        </is>
      </c>
      <c r="E2298" s="3" t="inlineStr">
        <is>
          <t>매매</t>
        </is>
      </c>
      <c r="F2298" s="4" t="n">
        <v>65000</v>
      </c>
      <c r="G2298" s="4" t="n">
        <v>299</v>
      </c>
      <c r="H2298" s="4" t="n">
        <v>90</v>
      </c>
      <c r="I2298" s="5" t="n">
        <v>722.2</v>
      </c>
      <c r="J2298" s="4" t="n">
        <v>747.8</v>
      </c>
      <c r="K2298" s="3" t="inlineStr">
        <is>
          <t>전원 주택지,  앞이 탁트인 남동향의  좋은 택지</t>
        </is>
      </c>
      <c r="L2298" s="6">
        <f>HYPERLINK("https://fin.land.naver.com/articles/2645024125", "매물Link")</f>
        <v/>
      </c>
      <c r="M2298" s="6">
        <f>HYPERLINK("https://map.naver.com/p/search/세종특별자치시 나성동 829", "지도Link")</f>
        <v/>
      </c>
      <c r="N2298" s="6">
        <f>HYPERLINK("http://www.eum.go.kr/web/ar/lu/luLandDet.jsp?pnu=3611010700108290000&amp;isNoScr=script&amp;mode=search", "토지이음")</f>
        <v/>
      </c>
      <c r="O2298" s="3" t="inlineStr">
        <is>
          <t>송림</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세종특별자치시 나성동 829</t>
        </is>
      </c>
      <c r="B2299" s="3" t="inlineStr">
        <is>
          <t>중심상업지역</t>
        </is>
      </c>
      <c r="C2299" s="3" t="inlineStr">
        <is>
          <t>대</t>
        </is>
      </c>
      <c r="D2299" s="3" t="inlineStr">
        <is>
          <t>대</t>
        </is>
      </c>
      <c r="E2299" s="3" t="inlineStr">
        <is>
          <t>매매</t>
        </is>
      </c>
      <c r="F2299" s="4" t="n">
        <v>280000</v>
      </c>
      <c r="G2299" s="4" t="n">
        <v>578</v>
      </c>
      <c r="H2299" s="4" t="n">
        <v>175</v>
      </c>
      <c r="I2299" s="5" t="n">
        <v>1600</v>
      </c>
      <c r="J2299" s="4" t="n">
        <v>747.8</v>
      </c>
      <c r="K2299" s="3" t="inlineStr">
        <is>
          <t>nan</t>
        </is>
      </c>
      <c r="L2299" s="6">
        <f>HYPERLINK("https://fin.land.naver.com/articles/2645157467", "매물Link")</f>
        <v/>
      </c>
      <c r="M2299" s="6">
        <f>HYPERLINK("https://map.naver.com/p/search/세종특별자치시 나성동 829", "지도Link")</f>
        <v/>
      </c>
      <c r="N2299" s="6">
        <f>HYPERLINK("http://www.eum.go.kr/web/ar/lu/luLandDet.jsp?pnu=3611010700108290000&amp;isNoScr=script&amp;mode=search", "토지이음")</f>
        <v/>
      </c>
      <c r="O2299" s="3" t="inlineStr">
        <is>
          <t>번영</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세종특별자치시 나성동 829</t>
        </is>
      </c>
      <c r="B2300" s="3" t="inlineStr">
        <is>
          <t>중심상업지역</t>
        </is>
      </c>
      <c r="C2300" s="3" t="inlineStr">
        <is>
          <t>대</t>
        </is>
      </c>
      <c r="D2300" s="3" t="inlineStr">
        <is>
          <t>대</t>
        </is>
      </c>
      <c r="E2300" s="3" t="inlineStr">
        <is>
          <t>매매</t>
        </is>
      </c>
      <c r="F2300" s="4" t="n">
        <v>250000</v>
      </c>
      <c r="G2300" s="4" t="n">
        <v>1665</v>
      </c>
      <c r="H2300" s="4" t="n">
        <v>504</v>
      </c>
      <c r="I2300" s="5" t="n">
        <v>496</v>
      </c>
      <c r="J2300" s="4" t="n">
        <v>747.8</v>
      </c>
      <c r="K2300" s="3" t="inlineStr">
        <is>
          <t>나대지 코너각지</t>
        </is>
      </c>
      <c r="L2300" s="6">
        <f>HYPERLINK("https://fin.land.naver.com/articles/2646732650", "매물Link")</f>
        <v/>
      </c>
      <c r="M2300" s="6">
        <f>HYPERLINK("https://map.naver.com/p/search/세종특별자치시 나성동 829", "지도Link")</f>
        <v/>
      </c>
      <c r="N2300" s="6">
        <f>HYPERLINK("http://www.eum.go.kr/web/ar/lu/luLandDet.jsp?pnu=3611010700108290000&amp;isNoScr=script&amp;mode=search", "토지이음")</f>
        <v/>
      </c>
      <c r="O2300" s="3" t="inlineStr">
        <is>
          <t>대전명품</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세종특별자치시 나성동 829</t>
        </is>
      </c>
      <c r="B2301" s="3" t="inlineStr">
        <is>
          <t>중심상업지역</t>
        </is>
      </c>
      <c r="C2301" s="3" t="inlineStr">
        <is>
          <t>대</t>
        </is>
      </c>
      <c r="D2301" s="3" t="inlineStr">
        <is>
          <t>대</t>
        </is>
      </c>
      <c r="E2301" s="3" t="inlineStr">
        <is>
          <t>매매</t>
        </is>
      </c>
      <c r="F2301" s="4" t="n">
        <v>122400</v>
      </c>
      <c r="G2301" s="4" t="n">
        <v>476</v>
      </c>
      <c r="H2301" s="4" t="n">
        <v>144</v>
      </c>
      <c r="I2301" s="5" t="n">
        <v>850</v>
      </c>
      <c r="J2301" s="4" t="n">
        <v>747.8</v>
      </c>
      <c r="K2301" s="3" t="inlineStr">
        <is>
          <t>교회 물류 작업장등으로 강력 추천</t>
        </is>
      </c>
      <c r="L2301" s="6">
        <f>HYPERLINK("https://fin.land.naver.com/articles/2647430242", "매물Link")</f>
        <v/>
      </c>
      <c r="M2301" s="6">
        <f>HYPERLINK("https://map.naver.com/p/search/세종특별자치시 나성동 829", "지도Link")</f>
        <v/>
      </c>
      <c r="N2301" s="6">
        <f>HYPERLINK("http://www.eum.go.kr/web/ar/lu/luLandDet.jsp?pnu=3611010700108290000&amp;isNoScr=script&amp;mode=search", "토지이음")</f>
        <v/>
      </c>
      <c r="O2301" s="3" t="inlineStr">
        <is>
          <t>김창덕</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세종특별자치시 나성동 829</t>
        </is>
      </c>
      <c r="B2302" s="3" t="inlineStr">
        <is>
          <t>중심상업지역</t>
        </is>
      </c>
      <c r="C2302" s="3" t="inlineStr">
        <is>
          <t>대</t>
        </is>
      </c>
      <c r="D2302" s="3" t="inlineStr">
        <is>
          <t>대</t>
        </is>
      </c>
      <c r="E2302" s="3" t="inlineStr">
        <is>
          <t>매매</t>
        </is>
      </c>
      <c r="F2302" s="4" t="n">
        <v>42000</v>
      </c>
      <c r="G2302" s="4" t="n">
        <v>213</v>
      </c>
      <c r="H2302" s="4" t="n">
        <v>64</v>
      </c>
      <c r="I2302" s="5" t="n">
        <v>656.2</v>
      </c>
      <c r="J2302" s="4" t="n">
        <v>747.8</v>
      </c>
      <c r="K2302" s="3" t="inlineStr">
        <is>
          <t>지족역 인근 나대지</t>
        </is>
      </c>
      <c r="L2302" s="6">
        <f>HYPERLINK("https://fin.land.naver.com/articles/2648487009", "매물Link")</f>
        <v/>
      </c>
      <c r="M2302" s="6">
        <f>HYPERLINK("https://map.naver.com/p/search/세종특별자치시 나성동 829", "지도Link")</f>
        <v/>
      </c>
      <c r="N2302" s="6">
        <f>HYPERLINK("http://www.eum.go.kr/web/ar/lu/luLandDet.jsp?pnu=3611010700108290000&amp;isNoScr=script&amp;mode=search", "토지이음")</f>
        <v/>
      </c>
      <c r="O2302" s="3" t="inlineStr">
        <is>
          <t>노은사랑</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세종특별자치시 나성동 829</t>
        </is>
      </c>
      <c r="B2303" s="3" t="inlineStr">
        <is>
          <t>중심상업지역</t>
        </is>
      </c>
      <c r="C2303" s="3" t="inlineStr">
        <is>
          <t>대</t>
        </is>
      </c>
      <c r="D2303" s="3" t="inlineStr">
        <is>
          <t>전</t>
        </is>
      </c>
      <c r="E2303" s="3" t="inlineStr">
        <is>
          <t>매매</t>
        </is>
      </c>
      <c r="F2303" s="4" t="n">
        <v>55000</v>
      </c>
      <c r="G2303" s="4" t="n">
        <v>686</v>
      </c>
      <c r="H2303" s="4" t="n">
        <v>208</v>
      </c>
      <c r="I2303" s="5" t="n">
        <v>264.4</v>
      </c>
      <c r="J2303" s="4" t="n">
        <v>747.8</v>
      </c>
      <c r="K2303" s="3" t="inlineStr">
        <is>
          <t>급매 덕명동 중심에 조용하고 편안해 전원주택에 적합한 토지</t>
        </is>
      </c>
      <c r="L2303" s="6">
        <f>HYPERLINK("https://fin.land.naver.com/articles/2644986934", "매물Link")</f>
        <v/>
      </c>
      <c r="M2303" s="6">
        <f>HYPERLINK("https://map.naver.com/p/search/세종특별자치시 나성동 829", "지도Link")</f>
        <v/>
      </c>
      <c r="N2303" s="6">
        <f>HYPERLINK("http://www.eum.go.kr/web/ar/lu/luLandDet.jsp?pnu=3611010700108290000&amp;isNoScr=script&amp;mode=search", "토지이음")</f>
        <v/>
      </c>
      <c r="O2303" s="3" t="inlineStr">
        <is>
          <t>정보은행</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세종특별자치시 나성동 829</t>
        </is>
      </c>
      <c r="B2304" s="3" t="inlineStr">
        <is>
          <t>중심상업지역</t>
        </is>
      </c>
      <c r="C2304" s="3" t="inlineStr">
        <is>
          <t>대</t>
        </is>
      </c>
      <c r="D2304" s="3" t="inlineStr">
        <is>
          <t>전</t>
        </is>
      </c>
      <c r="E2304" s="3" t="inlineStr">
        <is>
          <t>매매</t>
        </is>
      </c>
      <c r="F2304" s="4" t="n">
        <v>620000</v>
      </c>
      <c r="G2304" s="4" t="n">
        <v>3960</v>
      </c>
      <c r="H2304" s="4" t="n">
        <v>1198</v>
      </c>
      <c r="I2304" s="5" t="n">
        <v>517.5</v>
      </c>
      <c r="J2304" s="4" t="n">
        <v>747.8</v>
      </c>
      <c r="K2304" s="3" t="inlineStr">
        <is>
          <t>nan</t>
        </is>
      </c>
      <c r="L2304" s="6">
        <f>HYPERLINK("https://fin.land.naver.com/articles/2646357538", "매물Link")</f>
        <v/>
      </c>
      <c r="M2304" s="6">
        <f>HYPERLINK("https://map.naver.com/p/search/세종특별자치시 나성동 829", "지도Link")</f>
        <v/>
      </c>
      <c r="N2304" s="6">
        <f>HYPERLINK("http://www.eum.go.kr/web/ar/lu/luLandDet.jsp?pnu=3611010700108290000&amp;isNoScr=script&amp;mode=search", "토지이음")</f>
        <v/>
      </c>
      <c r="O2304" s="3" t="inlineStr">
        <is>
          <t>뉴탑</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세종특별자치시 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도로접한 택지 상가주택적지 제1종일반주거 위치좋음</t>
        </is>
      </c>
      <c r="L2305" s="6">
        <f>HYPERLINK("https://fin.land.naver.com/articles/2649453476", "매물Link")</f>
        <v/>
      </c>
      <c r="M2305" s="6">
        <f>HYPERLINK("https://map.naver.com/p/search/세종특별자치시 나성동 829", "지도Link")</f>
        <v/>
      </c>
      <c r="N2305" s="6">
        <f>HYPERLINK("http://www.eum.go.kr/web/ar/lu/luLandDet.jsp?pnu=3611010700108290000&amp;isNoScr=script&amp;mode=search", "토지이음")</f>
        <v/>
      </c>
      <c r="O2305" s="3" t="inlineStr">
        <is>
          <t>학하랜드</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세종특별자치시 나성동 829</t>
        </is>
      </c>
      <c r="B2306" s="3" t="inlineStr">
        <is>
          <t>중심상업지역</t>
        </is>
      </c>
      <c r="C2306" s="3" t="inlineStr">
        <is>
          <t>대</t>
        </is>
      </c>
      <c r="D2306" s="3" t="inlineStr">
        <is>
          <t>대</t>
        </is>
      </c>
      <c r="E2306" s="3" t="inlineStr">
        <is>
          <t>매매</t>
        </is>
      </c>
      <c r="F2306" s="4" t="n">
        <v>100000</v>
      </c>
      <c r="G2306" s="4" t="n">
        <v>273</v>
      </c>
      <c r="H2306" s="4" t="n">
        <v>83</v>
      </c>
      <c r="I2306" s="5" t="n">
        <v>1204.8</v>
      </c>
      <c r="J2306" s="4" t="n">
        <v>747.8</v>
      </c>
      <c r="K2306" s="3" t="inlineStr">
        <is>
          <t>각지, 다용도건축</t>
        </is>
      </c>
      <c r="L2306" s="6">
        <f>HYPERLINK("https://fin.land.naver.com/articles/2646357147", "매물Link")</f>
        <v/>
      </c>
      <c r="M2306" s="6">
        <f>HYPERLINK("https://map.naver.com/p/search/세종특별자치시 나성동 829", "지도Link")</f>
        <v/>
      </c>
      <c r="N2306" s="6">
        <f>HYPERLINK("http://www.eum.go.kr/web/ar/lu/luLandDet.jsp?pnu=3611010700108290000&amp;isNoScr=script&amp;mode=search", "토지이음")</f>
        <v/>
      </c>
      <c r="O2306" s="3" t="inlineStr">
        <is>
          <t>뉴탑</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세종특별자치시 나성동 829</t>
        </is>
      </c>
      <c r="B2307" s="3" t="inlineStr">
        <is>
          <t>중심상업지역</t>
        </is>
      </c>
      <c r="C2307" s="3" t="inlineStr">
        <is>
          <t>대</t>
        </is>
      </c>
      <c r="D2307" s="3" t="inlineStr">
        <is>
          <t>대</t>
        </is>
      </c>
      <c r="E2307" s="3" t="inlineStr">
        <is>
          <t>매매</t>
        </is>
      </c>
      <c r="F2307" s="4" t="n">
        <v>350000</v>
      </c>
      <c r="G2307" s="4" t="n">
        <v>695</v>
      </c>
      <c r="H2307" s="4" t="n">
        <v>210</v>
      </c>
      <c r="I2307" s="5" t="n">
        <v>1666.7</v>
      </c>
      <c r="J2307" s="4" t="n">
        <v>747.8</v>
      </c>
      <c r="K2307" s="3" t="inlineStr">
        <is>
          <t>갑천2블럭 마지막 주차겸용상가 카페 외식타운 전망 최고</t>
        </is>
      </c>
      <c r="L2307" s="6">
        <f>HYPERLINK("https://fin.land.naver.com/articles/2644844746", "매물Link")</f>
        <v/>
      </c>
      <c r="M2307" s="6">
        <f>HYPERLINK("https://map.naver.com/p/search/세종특별자치시 나성동 829", "지도Link")</f>
        <v/>
      </c>
      <c r="N2307" s="6">
        <f>HYPERLINK("http://www.eum.go.kr/web/ar/lu/luLandDet.jsp?pnu=3611010700108290000&amp;isNoScr=script&amp;mode=search", "토지이음")</f>
        <v/>
      </c>
      <c r="O2307" s="3" t="inlineStr">
        <is>
          <t>위드유</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세종특별자치시 나성동 829</t>
        </is>
      </c>
      <c r="B2308" s="3" t="inlineStr">
        <is>
          <t>중심상업지역</t>
        </is>
      </c>
      <c r="C2308" s="3" t="inlineStr">
        <is>
          <t>대</t>
        </is>
      </c>
      <c r="D2308" s="3" t="inlineStr">
        <is>
          <t>대</t>
        </is>
      </c>
      <c r="E2308" s="3" t="inlineStr">
        <is>
          <t>매매</t>
        </is>
      </c>
      <c r="F2308" s="4" t="n">
        <v>75000</v>
      </c>
      <c r="G2308" s="4" t="n">
        <v>230</v>
      </c>
      <c r="H2308" s="4" t="n">
        <v>70</v>
      </c>
      <c r="I2308" s="5" t="n">
        <v>1071.4</v>
      </c>
      <c r="J2308" s="4" t="n">
        <v>747.8</v>
      </c>
      <c r="K2308" s="3" t="inlineStr">
        <is>
          <t>복용동,대도로접한 광고효과 좋은 위치 나대지 매매</t>
        </is>
      </c>
      <c r="L2308" s="6">
        <f>HYPERLINK("https://fin.land.naver.com/articles/2647946341", "매물Link")</f>
        <v/>
      </c>
      <c r="M2308" s="6">
        <f>HYPERLINK("https://map.naver.com/p/search/세종특별자치시 나성동 829", "지도Link")</f>
        <v/>
      </c>
      <c r="N2308" s="6">
        <f>HYPERLINK("http://www.eum.go.kr/web/ar/lu/luLandDet.jsp?pnu=3611010700108290000&amp;isNoScr=script&amp;mode=search", "토지이음")</f>
        <v/>
      </c>
      <c r="O2308" s="3" t="inlineStr">
        <is>
          <t>천재원</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세종특별자치시 나성동 829</t>
        </is>
      </c>
      <c r="B2309" s="3" t="inlineStr">
        <is>
          <t>중심상업지역</t>
        </is>
      </c>
      <c r="C2309" s="3" t="inlineStr">
        <is>
          <t>대</t>
        </is>
      </c>
      <c r="D2309" s="3" t="inlineStr">
        <is>
          <t>대</t>
        </is>
      </c>
      <c r="E2309" s="3" t="inlineStr">
        <is>
          <t>매매</t>
        </is>
      </c>
      <c r="F2309" s="4" t="n">
        <v>75000</v>
      </c>
      <c r="G2309" s="4" t="n">
        <v>304</v>
      </c>
      <c r="H2309" s="4" t="n">
        <v>92</v>
      </c>
      <c r="I2309" s="5" t="n">
        <v>815.2</v>
      </c>
      <c r="J2309" s="4" t="n">
        <v>747.8</v>
      </c>
      <c r="K2309" s="3" t="inlineStr">
        <is>
          <t>복용동 공원인근 상가주택 다가구 단독주택 임대용 건물 등 건축지</t>
        </is>
      </c>
      <c r="L2309" s="6">
        <f>HYPERLINK("https://fin.land.naver.com/articles/2649904649", "매물Link")</f>
        <v/>
      </c>
      <c r="M2309" s="6">
        <f>HYPERLINK("https://map.naver.com/p/search/세종특별자치시 나성동 829", "지도Link")</f>
        <v/>
      </c>
      <c r="N2309" s="6">
        <f>HYPERLINK("http://www.eum.go.kr/web/ar/lu/luLandDet.jsp?pnu=3611010700108290000&amp;isNoScr=script&amp;mode=search", "토지이음")</f>
        <v/>
      </c>
      <c r="O2309" s="3" t="inlineStr">
        <is>
          <t>학하랜드</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세종특별자치시 나성동 829</t>
        </is>
      </c>
      <c r="B2310" s="3" t="inlineStr">
        <is>
          <t>중심상업지역</t>
        </is>
      </c>
      <c r="C2310" s="3" t="inlineStr">
        <is>
          <t>대</t>
        </is>
      </c>
      <c r="D2310" s="3" t="inlineStr">
        <is>
          <t>전</t>
        </is>
      </c>
      <c r="E2310" s="3" t="inlineStr">
        <is>
          <t>매매</t>
        </is>
      </c>
      <c r="F2310" s="4" t="n">
        <v>90000</v>
      </c>
      <c r="G2310" s="4" t="n">
        <v>603</v>
      </c>
      <c r="H2310" s="4" t="n">
        <v>182</v>
      </c>
      <c r="I2310" s="5" t="n">
        <v>494.5</v>
      </c>
      <c r="J2310" s="4" t="n">
        <v>747.8</v>
      </c>
      <c r="K2310" s="3" t="inlineStr">
        <is>
          <t>4m도로변에 위치하며, 지구 단위가 풀릴 경우 건축이 가능한 토지</t>
        </is>
      </c>
      <c r="L2310" s="6">
        <f>HYPERLINK("https://fin.land.naver.com/articles/2649711806", "매물Link")</f>
        <v/>
      </c>
      <c r="M2310" s="6">
        <f>HYPERLINK("https://map.naver.com/p/search/세종특별자치시 나성동 829", "지도Link")</f>
        <v/>
      </c>
      <c r="N2310" s="6">
        <f>HYPERLINK("http://www.eum.go.kr/web/ar/lu/luLandDet.jsp?pnu=3611010700108290000&amp;isNoScr=script&amp;mode=search", "토지이음")</f>
        <v/>
      </c>
      <c r="O2310" s="3" t="inlineStr">
        <is>
          <t>도안뜰</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세종특별자치시 나성동 829</t>
        </is>
      </c>
      <c r="B2311" s="3" t="inlineStr">
        <is>
          <t>중심상업지역</t>
        </is>
      </c>
      <c r="C2311" s="3" t="inlineStr">
        <is>
          <t>대</t>
        </is>
      </c>
      <c r="D2311" s="3" t="inlineStr">
        <is>
          <t>대</t>
        </is>
      </c>
      <c r="E2311" s="3" t="inlineStr">
        <is>
          <t>월세</t>
        </is>
      </c>
      <c r="F2311" s="4" t="n">
        <v>500</v>
      </c>
      <c r="G2311" s="4" t="n">
        <v>359</v>
      </c>
      <c r="H2311" s="4" t="n">
        <v>109</v>
      </c>
      <c r="I2311" s="5" t="n">
        <v>0.5</v>
      </c>
      <c r="J2311" s="4" t="n">
        <v>747.8</v>
      </c>
      <c r="K2311" s="3" t="inlineStr">
        <is>
          <t>복용동 나대지임대 주차용도등 추천함</t>
        </is>
      </c>
      <c r="L2311" s="6">
        <f>HYPERLINK("https://fin.land.naver.com/articles/2649447091", "매물Link")</f>
        <v/>
      </c>
      <c r="M2311" s="6">
        <f>HYPERLINK("https://map.naver.com/p/search/세종특별자치시 나성동 829", "지도Link")</f>
        <v/>
      </c>
      <c r="N2311" s="6">
        <f>HYPERLINK("http://www.eum.go.kr/web/ar/lu/luLandDet.jsp?pnu=3611010700108290000&amp;isNoScr=script&amp;mode=search", "토지이음")</f>
        <v/>
      </c>
      <c r="O2311" s="3" t="inlineStr">
        <is>
          <t>학하랜드</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세종특별자치시 나성동 829</t>
        </is>
      </c>
      <c r="B2312" s="3" t="inlineStr">
        <is>
          <t>중심상업지역</t>
        </is>
      </c>
      <c r="C2312" s="3" t="inlineStr">
        <is>
          <t>대</t>
        </is>
      </c>
      <c r="D2312" s="3" t="inlineStr">
        <is>
          <t>대</t>
        </is>
      </c>
      <c r="E2312" s="3" t="inlineStr">
        <is>
          <t>매매</t>
        </is>
      </c>
      <c r="F2312" s="4" t="n">
        <v>98000</v>
      </c>
      <c r="G2312" s="4" t="n">
        <v>324</v>
      </c>
      <c r="H2312" s="4" t="n">
        <v>98</v>
      </c>
      <c r="I2312" s="5" t="n">
        <v>1000</v>
      </c>
      <c r="J2312" s="4" t="n">
        <v>747.8</v>
      </c>
      <c r="K2312" s="3" t="inlineStr">
        <is>
          <t>대로변, 가시효과 좋음</t>
        </is>
      </c>
      <c r="L2312" s="6">
        <f>HYPERLINK("https://fin.land.naver.com/articles/2646043174", "매물Link")</f>
        <v/>
      </c>
      <c r="M2312" s="6">
        <f>HYPERLINK("https://map.naver.com/p/search/세종특별자치시 나성동 829", "지도Link")</f>
        <v/>
      </c>
      <c r="N2312" s="6">
        <f>HYPERLINK("http://www.eum.go.kr/web/ar/lu/luLandDet.jsp?pnu=3611010700108290000&amp;isNoScr=script&amp;mode=search", "토지이음")</f>
        <v/>
      </c>
      <c r="O2312" s="3" t="inlineStr">
        <is>
          <t>도안트리풀행운</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세종특별자치시 나성동 829</t>
        </is>
      </c>
      <c r="B2313" s="3" t="inlineStr">
        <is>
          <t>중심상업지역</t>
        </is>
      </c>
      <c r="C2313" s="3" t="inlineStr">
        <is>
          <t>대</t>
        </is>
      </c>
      <c r="D2313" s="3" t="inlineStr">
        <is>
          <t>대</t>
        </is>
      </c>
      <c r="E2313" s="3" t="inlineStr">
        <is>
          <t>매매</t>
        </is>
      </c>
      <c r="F2313" s="4" t="n">
        <v>117900</v>
      </c>
      <c r="G2313" s="4" t="n">
        <v>434</v>
      </c>
      <c r="H2313" s="4" t="n">
        <v>131</v>
      </c>
      <c r="I2313" s="5" t="n">
        <v>900</v>
      </c>
      <c r="J2313" s="4" t="n">
        <v>747.8</v>
      </c>
      <c r="K2313" s="3" t="inlineStr">
        <is>
          <t>복용동 천변 귀한토지 상가건물 주택 사옥등 건축 추천</t>
        </is>
      </c>
      <c r="L2313" s="6">
        <f>HYPERLINK("https://fin.land.naver.com/articles/2647091298", "매물Link")</f>
        <v/>
      </c>
      <c r="M2313" s="6">
        <f>HYPERLINK("https://map.naver.com/p/search/세종특별자치시 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세종특별자치시 나성동 829</t>
        </is>
      </c>
      <c r="B2314" s="3" t="inlineStr">
        <is>
          <t>중심상업지역</t>
        </is>
      </c>
      <c r="C2314" s="3" t="inlineStr">
        <is>
          <t>대</t>
        </is>
      </c>
      <c r="D2314" s="3" t="inlineStr">
        <is>
          <t>대</t>
        </is>
      </c>
      <c r="E2314" s="3" t="inlineStr">
        <is>
          <t>월세</t>
        </is>
      </c>
      <c r="F2314" s="4" t="n">
        <v>500</v>
      </c>
      <c r="G2314" s="4" t="n">
        <v>274</v>
      </c>
      <c r="H2314" s="4" t="n">
        <v>83</v>
      </c>
      <c r="I2314" s="5" t="n">
        <v>0.4</v>
      </c>
      <c r="J2314" s="4" t="n">
        <v>747.8</v>
      </c>
      <c r="K2314" s="3" t="inlineStr">
        <is>
          <t>nan</t>
        </is>
      </c>
      <c r="L2314" s="6">
        <f>HYPERLINK("https://fin.land.naver.com/articles/2644863613", "매물Link")</f>
        <v/>
      </c>
      <c r="M2314" s="6">
        <f>HYPERLINK("https://map.naver.com/p/search/세종특별자치시 나성동 829", "지도Link")</f>
        <v/>
      </c>
      <c r="N2314" s="6">
        <f>HYPERLINK("http://www.eum.go.kr/web/ar/lu/luLandDet.jsp?pnu=3611010700108290000&amp;isNoScr=script&amp;mode=search", "토지이음")</f>
        <v/>
      </c>
      <c r="O2314" s="3" t="inlineStr">
        <is>
          <t>학하랜드</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세종특별자치시 나성동 829</t>
        </is>
      </c>
      <c r="B2315" s="3" t="inlineStr">
        <is>
          <t>중심상업지역</t>
        </is>
      </c>
      <c r="C2315" s="3" t="inlineStr">
        <is>
          <t>대</t>
        </is>
      </c>
      <c r="D2315" s="3" t="inlineStr">
        <is>
          <t>대</t>
        </is>
      </c>
      <c r="E2315" s="3" t="inlineStr">
        <is>
          <t>매매</t>
        </is>
      </c>
      <c r="F2315" s="4" t="n">
        <v>122400</v>
      </c>
      <c r="G2315" s="4" t="n">
        <v>476</v>
      </c>
      <c r="H2315" s="4" t="n">
        <v>144</v>
      </c>
      <c r="I2315" s="5" t="n">
        <v>850</v>
      </c>
      <c r="J2315" s="4" t="n">
        <v>747.8</v>
      </c>
      <c r="K2315" s="3" t="inlineStr">
        <is>
          <t>4층까지 상가건물 올근생건물 이나 사옥으로 추천</t>
        </is>
      </c>
      <c r="L2315" s="6">
        <f>HYPERLINK("https://fin.land.naver.com/articles/2647768918", "매물Link")</f>
        <v/>
      </c>
      <c r="M2315" s="6">
        <f>HYPERLINK("https://map.naver.com/p/search/세종특별자치시 나성동 829", "지도Link")</f>
        <v/>
      </c>
      <c r="N2315" s="6">
        <f>HYPERLINK("http://www.eum.go.kr/web/ar/lu/luLandDet.jsp?pnu=3611010700108290000&amp;isNoScr=script&amp;mode=search", "토지이음")</f>
        <v/>
      </c>
      <c r="O2315" s="3" t="inlineStr">
        <is>
          <t>유성행운</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세종특별자치시 나성동 829</t>
        </is>
      </c>
      <c r="B2316" s="3" t="inlineStr">
        <is>
          <t>중심상업지역</t>
        </is>
      </c>
      <c r="C2316" s="3" t="inlineStr">
        <is>
          <t>대</t>
        </is>
      </c>
      <c r="D2316" s="3" t="inlineStr">
        <is>
          <t>대</t>
        </is>
      </c>
      <c r="E2316" s="3" t="inlineStr">
        <is>
          <t>매매</t>
        </is>
      </c>
      <c r="F2316" s="4" t="n">
        <v>60000</v>
      </c>
      <c r="G2316" s="4" t="n">
        <v>265</v>
      </c>
      <c r="H2316" s="4" t="n">
        <v>80</v>
      </c>
      <c r="I2316" s="5" t="n">
        <v>750</v>
      </c>
      <c r="J2316" s="4" t="n">
        <v>747.8</v>
      </c>
      <c r="K2316" s="3" t="inlineStr">
        <is>
          <t>nan</t>
        </is>
      </c>
      <c r="L2316" s="6">
        <f>HYPERLINK("https://fin.land.naver.com/articles/2648145063", "매물Link")</f>
        <v/>
      </c>
      <c r="M2316" s="6">
        <f>HYPERLINK("https://map.naver.com/p/search/세종특별자치시 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세종특별자치시 나성동 829</t>
        </is>
      </c>
      <c r="B2317" s="3" t="inlineStr">
        <is>
          <t>중심상업지역</t>
        </is>
      </c>
      <c r="C2317" s="3" t="inlineStr">
        <is>
          <t>대</t>
        </is>
      </c>
      <c r="D2317" s="3" t="inlineStr">
        <is>
          <t>대</t>
        </is>
      </c>
      <c r="E2317" s="3" t="inlineStr">
        <is>
          <t>매매</t>
        </is>
      </c>
      <c r="F2317" s="4" t="n">
        <v>52000</v>
      </c>
      <c r="G2317" s="4" t="n">
        <v>215</v>
      </c>
      <c r="H2317" s="4" t="n">
        <v>65</v>
      </c>
      <c r="I2317" s="5" t="n">
        <v>800</v>
      </c>
      <c r="J2317" s="4" t="n">
        <v>747.8</v>
      </c>
      <c r="K2317" s="3" t="inlineStr">
        <is>
          <t>nan</t>
        </is>
      </c>
      <c r="L2317" s="6">
        <f>HYPERLINK("https://fin.land.naver.com/articles/2648142650", "매물Link")</f>
        <v/>
      </c>
      <c r="M2317" s="6">
        <f>HYPERLINK("https://map.naver.com/p/search/세종특별자치시 나성동 829", "지도Link")</f>
        <v/>
      </c>
      <c r="N2317" s="6">
        <f>HYPERLINK("http://www.eum.go.kr/web/ar/lu/luLandDet.jsp?pnu=3611010700108290000&amp;isNoScr=script&amp;mode=search", "토지이음")</f>
        <v/>
      </c>
      <c r="O2317" s="3" t="inlineStr">
        <is>
          <t>가경</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세종특별자치시 나성동 829</t>
        </is>
      </c>
      <c r="B2318" s="3" t="inlineStr">
        <is>
          <t>중심상업지역</t>
        </is>
      </c>
      <c r="C2318" s="3" t="inlineStr">
        <is>
          <t>대</t>
        </is>
      </c>
      <c r="D2318" s="3" t="inlineStr">
        <is>
          <t>대</t>
        </is>
      </c>
      <c r="E2318" s="3" t="inlineStr">
        <is>
          <t>매매</t>
        </is>
      </c>
      <c r="F2318" s="4" t="n">
        <v>113000</v>
      </c>
      <c r="G2318" s="4" t="n">
        <v>417</v>
      </c>
      <c r="H2318" s="4" t="n">
        <v>126</v>
      </c>
      <c r="I2318" s="5" t="n">
        <v>896.8</v>
      </c>
      <c r="J2318" s="4" t="n">
        <v>747.8</v>
      </c>
      <c r="K2318" s="3" t="inlineStr">
        <is>
          <t>nan</t>
        </is>
      </c>
      <c r="L2318" s="6">
        <f>HYPERLINK("https://fin.land.naver.com/articles/2647084579", "매물Link")</f>
        <v/>
      </c>
      <c r="M2318" s="6">
        <f>HYPERLINK("https://map.naver.com/p/search/세종특별자치시 나성동 829", "지도Link")</f>
        <v/>
      </c>
      <c r="N2318" s="6">
        <f>HYPERLINK("http://www.eum.go.kr/web/ar/lu/luLandDet.jsp?pnu=3611010700108290000&amp;isNoScr=script&amp;mode=search", "토지이음")</f>
        <v/>
      </c>
      <c r="O2318" s="3" t="inlineStr">
        <is>
          <t>새터전</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세종특별자치시 나성동 829</t>
        </is>
      </c>
      <c r="B2319" s="3" t="inlineStr">
        <is>
          <t>중심상업지역</t>
        </is>
      </c>
      <c r="C2319" s="3" t="inlineStr">
        <is>
          <t>대</t>
        </is>
      </c>
      <c r="D2319" s="3" t="inlineStr">
        <is>
          <t>대</t>
        </is>
      </c>
      <c r="E2319" s="3" t="inlineStr">
        <is>
          <t>매매</t>
        </is>
      </c>
      <c r="F2319" s="4" t="n">
        <v>59000</v>
      </c>
      <c r="G2319" s="4" t="n">
        <v>278</v>
      </c>
      <c r="H2319" s="4" t="n">
        <v>84</v>
      </c>
      <c r="I2319" s="5" t="n">
        <v>702.4</v>
      </c>
      <c r="J2319" s="4" t="n">
        <v>747.8</v>
      </c>
      <c r="K2319" s="3" t="inlineStr">
        <is>
          <t>지식산업센터 근처로 창고 및 근린생활시설,상가주택 다양하게 가능</t>
        </is>
      </c>
      <c r="L2319" s="6">
        <f>HYPERLINK("https://fin.land.naver.com/articles/2645115512", "매물Link")</f>
        <v/>
      </c>
      <c r="M2319" s="6">
        <f>HYPERLINK("https://map.naver.com/p/search/세종특별자치시 나성동 829", "지도Link")</f>
        <v/>
      </c>
      <c r="N2319" s="6">
        <f>HYPERLINK("http://www.eum.go.kr/web/ar/lu/luLandDet.jsp?pnu=3611010700108290000&amp;isNoScr=script&amp;mode=search", "토지이음")</f>
        <v/>
      </c>
      <c r="O2319" s="3" t="inlineStr">
        <is>
          <t>오투꿈무소</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세종특별자치시 나성동 829</t>
        </is>
      </c>
      <c r="B2320" s="3" t="inlineStr">
        <is>
          <t>중심상업지역</t>
        </is>
      </c>
      <c r="C2320" s="3" t="inlineStr">
        <is>
          <t>대</t>
        </is>
      </c>
      <c r="D2320" s="3" t="inlineStr">
        <is>
          <t>대</t>
        </is>
      </c>
      <c r="E2320" s="3" t="inlineStr">
        <is>
          <t>월세</t>
        </is>
      </c>
      <c r="F2320" s="4" t="n">
        <v>500</v>
      </c>
      <c r="G2320" s="4" t="n">
        <v>415</v>
      </c>
      <c r="H2320" s="4" t="n">
        <v>126</v>
      </c>
      <c r="I2320" s="5" t="n">
        <v>0.7</v>
      </c>
      <c r="J2320" s="4" t="n">
        <v>747.8</v>
      </c>
      <c r="K2320" s="3" t="inlineStr">
        <is>
          <t>공터임대,</t>
        </is>
      </c>
      <c r="L2320" s="6">
        <f>HYPERLINK("https://fin.land.naver.com/articles/2644167075", "매물Link")</f>
        <v/>
      </c>
      <c r="M2320" s="6">
        <f>HYPERLINK("https://map.naver.com/p/search/세종특별자치시 나성동 829", "지도Link")</f>
        <v/>
      </c>
      <c r="N2320" s="6">
        <f>HYPERLINK("http://www.eum.go.kr/web/ar/lu/luLandDet.jsp?pnu=3611010700108290000&amp;isNoScr=script&amp;mode=search", "토지이음")</f>
        <v/>
      </c>
      <c r="O2320" s="3" t="inlineStr">
        <is>
          <t>유성베스트</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세종특별자치시 나성동 829</t>
        </is>
      </c>
      <c r="B2321" s="3" t="inlineStr">
        <is>
          <t>중심상업지역</t>
        </is>
      </c>
      <c r="C2321" s="3" t="inlineStr">
        <is>
          <t>대</t>
        </is>
      </c>
      <c r="D2321" s="3" t="inlineStr">
        <is>
          <t>대</t>
        </is>
      </c>
      <c r="E2321" s="3" t="inlineStr">
        <is>
          <t>매매</t>
        </is>
      </c>
      <c r="F2321" s="4" t="n">
        <v>192000</v>
      </c>
      <c r="G2321" s="4" t="n">
        <v>793</v>
      </c>
      <c r="H2321" s="4" t="n">
        <v>240</v>
      </c>
      <c r="I2321" s="5" t="n">
        <v>800</v>
      </c>
      <c r="J2321" s="4" t="n">
        <v>747.8</v>
      </c>
      <c r="K2321" s="3" t="inlineStr">
        <is>
          <t>nan</t>
        </is>
      </c>
      <c r="L2321" s="6">
        <f>HYPERLINK("https://fin.land.naver.com/articles/2647015203", "매물Link")</f>
        <v/>
      </c>
      <c r="M2321" s="6">
        <f>HYPERLINK("https://map.naver.com/p/search/세종특별자치시 나성동 829", "지도Link")</f>
        <v/>
      </c>
      <c r="N2321" s="6">
        <f>HYPERLINK("http://www.eum.go.kr/web/ar/lu/luLandDet.jsp?pnu=3611010700108290000&amp;isNoScr=script&amp;mode=search", "토지이음")</f>
        <v/>
      </c>
      <c r="O2321" s="3" t="inlineStr">
        <is>
          <t>바른사무소</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세종특별자치시 나성동 829</t>
        </is>
      </c>
      <c r="B2322" s="3" t="inlineStr">
        <is>
          <t>중심상업지역</t>
        </is>
      </c>
      <c r="C2322" s="3" t="inlineStr">
        <is>
          <t>대</t>
        </is>
      </c>
      <c r="D2322" s="3" t="inlineStr">
        <is>
          <t>대</t>
        </is>
      </c>
      <c r="E2322" s="3" t="inlineStr">
        <is>
          <t>매매</t>
        </is>
      </c>
      <c r="F2322" s="4" t="n">
        <v>1080000</v>
      </c>
      <c r="G2322" s="4" t="n">
        <v>5345</v>
      </c>
      <c r="H2322" s="4" t="n">
        <v>1617</v>
      </c>
      <c r="I2322" s="5" t="n">
        <v>667.9</v>
      </c>
      <c r="J2322" s="4" t="n">
        <v>747.8</v>
      </c>
      <c r="K2322" s="3" t="inlineStr">
        <is>
          <t>전시효과 탁월 전시매장 대형가든 상가건물 사옥 등 용도 다양 최상급 물건</t>
        </is>
      </c>
      <c r="L2322" s="6">
        <f>HYPERLINK("https://fin.land.naver.com/articles/2649343245", "매물Link")</f>
        <v/>
      </c>
      <c r="M2322" s="6">
        <f>HYPERLINK("https://map.naver.com/p/search/세종특별자치시 나성동 829", "지도Link")</f>
        <v/>
      </c>
      <c r="N2322" s="6">
        <f>HYPERLINK("http://www.eum.go.kr/web/ar/lu/luLandDet.jsp?pnu=3611010700108290000&amp;isNoScr=script&amp;mode=search", "토지이음")</f>
        <v/>
      </c>
      <c r="O2322" s="3" t="inlineStr">
        <is>
          <t>뉴태양</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세종특별자치시 나성동 829</t>
        </is>
      </c>
      <c r="B2323" s="3" t="inlineStr">
        <is>
          <t>중심상업지역</t>
        </is>
      </c>
      <c r="C2323" s="3" t="inlineStr">
        <is>
          <t>대</t>
        </is>
      </c>
      <c r="D2323" s="3" t="inlineStr">
        <is>
          <t>대</t>
        </is>
      </c>
      <c r="E2323" s="3" t="inlineStr">
        <is>
          <t>월세</t>
        </is>
      </c>
      <c r="F2323" s="4" t="n">
        <v>3000</v>
      </c>
      <c r="G2323" s="4" t="n">
        <v>1260</v>
      </c>
      <c r="H2323" s="4" t="n">
        <v>381</v>
      </c>
      <c r="I2323" s="5" t="n">
        <v>0.9</v>
      </c>
      <c r="J2323" s="4" t="n">
        <v>747.8</v>
      </c>
      <c r="K2323" s="3" t="inlineStr">
        <is>
          <t>nan</t>
        </is>
      </c>
      <c r="L2323" s="6">
        <f>HYPERLINK("https://fin.land.naver.com/articles/2647139893", "매물Link")</f>
        <v/>
      </c>
      <c r="M2323" s="6">
        <f>HYPERLINK("https://map.naver.com/p/search/세종특별자치시 나성동 829", "지도Link")</f>
        <v/>
      </c>
      <c r="N2323" s="6">
        <f>HYPERLINK("http://www.eum.go.kr/web/ar/lu/luLandDet.jsp?pnu=3611010700108290000&amp;isNoScr=script&amp;mode=search", "토지이음")</f>
        <v/>
      </c>
      <c r="O2323" s="3" t="inlineStr">
        <is>
          <t>신일류</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세종특별자치시 나성동 829</t>
        </is>
      </c>
      <c r="B2324" s="3" t="inlineStr">
        <is>
          <t>중심상업지역</t>
        </is>
      </c>
      <c r="C2324" s="3" t="inlineStr">
        <is>
          <t>대</t>
        </is>
      </c>
      <c r="D2324" s="3" t="inlineStr">
        <is>
          <t>대</t>
        </is>
      </c>
      <c r="E2324" s="3" t="inlineStr">
        <is>
          <t>매매</t>
        </is>
      </c>
      <c r="F2324" s="4" t="n">
        <v>122400</v>
      </c>
      <c r="G2324" s="4" t="n">
        <v>476</v>
      </c>
      <c r="H2324" s="4" t="n">
        <v>144</v>
      </c>
      <c r="I2324" s="5" t="n">
        <v>850</v>
      </c>
      <c r="J2324" s="4" t="n">
        <v>747.8</v>
      </c>
      <c r="K2324" s="3" t="inlineStr">
        <is>
          <t>작업장, 물류센터, 교회등으로 강력 추천</t>
        </is>
      </c>
      <c r="L2324" s="6">
        <f>HYPERLINK("https://fin.land.naver.com/articles/2646721140", "매물Link")</f>
        <v/>
      </c>
      <c r="M2324" s="6">
        <f>HYPERLINK("https://map.naver.com/p/search/세종특별자치시 나성동 829", "지도Link")</f>
        <v/>
      </c>
      <c r="N2324" s="6">
        <f>HYPERLINK("http://www.eum.go.kr/web/ar/lu/luLandDet.jsp?pnu=3611010700108290000&amp;isNoScr=script&amp;mode=search", "토지이음")</f>
        <v/>
      </c>
      <c r="O2324" s="3" t="inlineStr">
        <is>
          <t>김창덕</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세종특별자치시 나성동 829</t>
        </is>
      </c>
      <c r="B2325" s="3" t="inlineStr">
        <is>
          <t>중심상업지역</t>
        </is>
      </c>
      <c r="C2325" s="3" t="inlineStr">
        <is>
          <t>대</t>
        </is>
      </c>
      <c r="D2325" s="3" t="inlineStr">
        <is>
          <t>대</t>
        </is>
      </c>
      <c r="E2325" s="3" t="inlineStr">
        <is>
          <t>매매</t>
        </is>
      </c>
      <c r="F2325" s="4" t="n">
        <v>56700</v>
      </c>
      <c r="G2325" s="4" t="n">
        <v>266</v>
      </c>
      <c r="H2325" s="4" t="n">
        <v>80</v>
      </c>
      <c r="I2325" s="5" t="n">
        <v>708.8</v>
      </c>
      <c r="J2325" s="4" t="n">
        <v>747.8</v>
      </c>
      <c r="K2325" s="3" t="inlineStr">
        <is>
          <t>Point 급매, 지족역 주변 주택지, 투자 추천</t>
        </is>
      </c>
      <c r="L2325" s="6">
        <f>HYPERLINK("https://fin.land.naver.com/articles/2645152365", "매물Link")</f>
        <v/>
      </c>
      <c r="M2325" s="6">
        <f>HYPERLINK("https://map.naver.com/p/search/세종특별자치시 나성동 829", "지도Link")</f>
        <v/>
      </c>
      <c r="N2325" s="6">
        <f>HYPERLINK("http://www.eum.go.kr/web/ar/lu/luLandDet.jsp?pnu=3611010700108290000&amp;isNoScr=script&amp;mode=search", "토지이음")</f>
        <v/>
      </c>
      <c r="O2325" s="3" t="inlineStr">
        <is>
          <t>도마호반</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세종특별자치시 나성동 829</t>
        </is>
      </c>
      <c r="B2326" s="3" t="inlineStr">
        <is>
          <t>중심상업지역</t>
        </is>
      </c>
      <c r="C2326" s="3" t="inlineStr">
        <is>
          <t>대</t>
        </is>
      </c>
      <c r="D2326" s="3" t="inlineStr">
        <is>
          <t>전</t>
        </is>
      </c>
      <c r="E2326" s="3" t="inlineStr">
        <is>
          <t>매매</t>
        </is>
      </c>
      <c r="F2326" s="4" t="n">
        <v>112700</v>
      </c>
      <c r="G2326" s="4" t="n">
        <v>1623</v>
      </c>
      <c r="H2326" s="4" t="n">
        <v>491</v>
      </c>
      <c r="I2326" s="5" t="n">
        <v>229.5</v>
      </c>
      <c r="J2326" s="4" t="n">
        <v>747.8</v>
      </c>
      <c r="K2326" s="3" t="inlineStr">
        <is>
          <t>가격인하 (한밭대 지역협력관뒤)</t>
        </is>
      </c>
      <c r="L2326" s="6">
        <f>HYPERLINK("https://fin.land.naver.com/articles/2649154306", "매물Link")</f>
        <v/>
      </c>
      <c r="M2326" s="6">
        <f>HYPERLINK("https://map.naver.com/p/search/세종특별자치시 나성동 829", "지도Link")</f>
        <v/>
      </c>
      <c r="N2326" s="6">
        <f>HYPERLINK("http://www.eum.go.kr/web/ar/lu/luLandDet.jsp?pnu=3611010700108290000&amp;isNoScr=script&amp;mode=search", "토지이음")</f>
        <v/>
      </c>
      <c r="O2326" s="3" t="inlineStr">
        <is>
          <t>가경</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세종특별자치시 나성동 829</t>
        </is>
      </c>
      <c r="B2327" s="3" t="inlineStr">
        <is>
          <t>중심상업지역</t>
        </is>
      </c>
      <c r="C2327" s="3" t="inlineStr">
        <is>
          <t>대</t>
        </is>
      </c>
      <c r="D2327" s="3" t="inlineStr">
        <is>
          <t>답</t>
        </is>
      </c>
      <c r="E2327" s="3" t="inlineStr">
        <is>
          <t>매매</t>
        </is>
      </c>
      <c r="F2327" s="4" t="n">
        <v>112000</v>
      </c>
      <c r="G2327" s="4" t="n">
        <v>2469</v>
      </c>
      <c r="H2327" s="4" t="n">
        <v>747</v>
      </c>
      <c r="I2327" s="5" t="n">
        <v>149.9</v>
      </c>
      <c r="J2327" s="4" t="n">
        <v>747.8</v>
      </c>
      <c r="K2327" s="3" t="inlineStr">
        <is>
          <t>서세종 IC인접</t>
        </is>
      </c>
      <c r="L2327" s="6">
        <f>HYPERLINK("https://fin.land.naver.com/articles/2646628446", "매물Link")</f>
        <v/>
      </c>
      <c r="M2327" s="6">
        <f>HYPERLINK("https://map.naver.com/p/search/세종특별자치시 나성동 829", "지도Link")</f>
        <v/>
      </c>
      <c r="N2327" s="6">
        <f>HYPERLINK("http://www.eum.go.kr/web/ar/lu/luLandDet.jsp?pnu=3611010700108290000&amp;isNoScr=script&amp;mode=search", "토지이음")</f>
        <v/>
      </c>
      <c r="O2327" s="3" t="inlineStr">
        <is>
          <t>새땅</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세종특별자치시 나성동 829</t>
        </is>
      </c>
      <c r="B2328" s="3" t="inlineStr">
        <is>
          <t>중심상업지역</t>
        </is>
      </c>
      <c r="C2328" s="3" t="inlineStr">
        <is>
          <t>대</t>
        </is>
      </c>
      <c r="D2328" s="3" t="inlineStr">
        <is>
          <t>공장용지</t>
        </is>
      </c>
      <c r="E2328" s="3" t="inlineStr">
        <is>
          <t>매매</t>
        </is>
      </c>
      <c r="F2328" s="4" t="n">
        <v>460000</v>
      </c>
      <c r="G2328" s="4" t="n">
        <v>3305</v>
      </c>
      <c r="H2328" s="4" t="n">
        <v>1000</v>
      </c>
      <c r="I2328" s="5" t="n">
        <v>460</v>
      </c>
      <c r="J2328" s="4" t="n">
        <v>747.8</v>
      </c>
      <c r="K2328" s="3" t="inlineStr">
        <is>
          <t>신축 공장용지 매매    입지 우수  분할 가능</t>
        </is>
      </c>
      <c r="L2328" s="6">
        <f>HYPERLINK("https://fin.land.naver.com/articles/2646205010", "매물Link")</f>
        <v/>
      </c>
      <c r="M2328" s="6">
        <f>HYPERLINK("https://map.naver.com/p/search/세종특별자치시 나성동 829", "지도Link")</f>
        <v/>
      </c>
      <c r="N2328" s="6">
        <f>HYPERLINK("http://www.eum.go.kr/web/ar/lu/luLandDet.jsp?pnu=3611010700108290000&amp;isNoScr=script&amp;mode=search", "토지이음")</f>
        <v/>
      </c>
      <c r="O2328" s="3" t="inlineStr">
        <is>
          <t>삼익</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세종특별자치시 나성동 829</t>
        </is>
      </c>
      <c r="B2329" s="3" t="inlineStr">
        <is>
          <t>중심상업지역</t>
        </is>
      </c>
      <c r="C2329" s="3" t="inlineStr">
        <is>
          <t>대</t>
        </is>
      </c>
      <c r="D2329" s="3" t="inlineStr">
        <is>
          <t>답</t>
        </is>
      </c>
      <c r="E2329" s="3" t="inlineStr">
        <is>
          <t>매매</t>
        </is>
      </c>
      <c r="F2329" s="4" t="n">
        <v>29000</v>
      </c>
      <c r="G2329" s="4" t="n">
        <v>1997</v>
      </c>
      <c r="H2329" s="4" t="n">
        <v>604</v>
      </c>
      <c r="I2329" s="5" t="n">
        <v>48</v>
      </c>
      <c r="J2329" s="4" t="n">
        <v>747.8</v>
      </c>
      <c r="K2329" s="3" t="inlineStr">
        <is>
          <t>대청호 인근 청정지역 경관 좋아 대토 영농 조경 묘목 하우스 투자용 최상</t>
        </is>
      </c>
      <c r="L2329" s="6">
        <f>HYPERLINK("https://fin.land.naver.com/articles/2647439337", "매물Link")</f>
        <v/>
      </c>
      <c r="M2329" s="6">
        <f>HYPERLINK("https://map.naver.com/p/search/세종특별자치시 나성동 829", "지도Link")</f>
        <v/>
      </c>
      <c r="N2329" s="6">
        <f>HYPERLINK("http://www.eum.go.kr/web/ar/lu/luLandDet.jsp?pnu=3611010700108290000&amp;isNoScr=script&amp;mode=search", "토지이음")</f>
        <v/>
      </c>
      <c r="O2329" s="3" t="inlineStr">
        <is>
          <t>뉴태양</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세종특별자치시 나성동 829</t>
        </is>
      </c>
      <c r="B2330" s="3" t="inlineStr">
        <is>
          <t>중심상업지역</t>
        </is>
      </c>
      <c r="C2330" s="3" t="inlineStr">
        <is>
          <t>대</t>
        </is>
      </c>
      <c r="D2330" s="3" t="inlineStr">
        <is>
          <t>공장용지</t>
        </is>
      </c>
      <c r="E2330" s="3" t="inlineStr">
        <is>
          <t>매매</t>
        </is>
      </c>
      <c r="F2330" s="4" t="n">
        <v>237000</v>
      </c>
      <c r="G2330" s="4" t="n">
        <v>1916</v>
      </c>
      <c r="H2330" s="4" t="n">
        <v>580</v>
      </c>
      <c r="I2330" s="5" t="n">
        <v>408.6</v>
      </c>
      <c r="J2330" s="4" t="n">
        <v>747.8</v>
      </c>
      <c r="K2330" s="3" t="inlineStr">
        <is>
          <t>신탄진동 공장,창고 용지 나대지 매매 즉시 건축 가능</t>
        </is>
      </c>
      <c r="L2330" s="6">
        <f>HYPERLINK("https://fin.land.naver.com/articles/2649567434", "매물Link")</f>
        <v/>
      </c>
      <c r="M2330" s="6">
        <f>HYPERLINK("https://map.naver.com/p/search/세종특별자치시 나성동 829", "지도Link")</f>
        <v/>
      </c>
      <c r="N2330" s="6">
        <f>HYPERLINK("http://www.eum.go.kr/web/ar/lu/luLandDet.jsp?pnu=3611010700108290000&amp;isNoScr=script&amp;mode=search", "토지이음")</f>
        <v/>
      </c>
      <c r="O2330" s="3" t="inlineStr">
        <is>
          <t>삼익</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세종특별자치시 나성동 829</t>
        </is>
      </c>
      <c r="B2331" s="3" t="inlineStr">
        <is>
          <t>중심상업지역</t>
        </is>
      </c>
      <c r="C2331" s="3" t="inlineStr">
        <is>
          <t>대</t>
        </is>
      </c>
      <c r="D2331" s="3" t="inlineStr">
        <is>
          <t>대</t>
        </is>
      </c>
      <c r="E2331" s="3" t="inlineStr">
        <is>
          <t>매매</t>
        </is>
      </c>
      <c r="F2331" s="4" t="n">
        <v>82400</v>
      </c>
      <c r="G2331" s="4" t="n">
        <v>202</v>
      </c>
      <c r="H2331" s="4" t="n">
        <v>61</v>
      </c>
      <c r="I2331" s="5" t="n">
        <v>1350.8</v>
      </c>
      <c r="J2331" s="4" t="n">
        <v>747.8</v>
      </c>
      <c r="K2331" s="3" t="inlineStr">
        <is>
          <t>nan</t>
        </is>
      </c>
      <c r="L2331" s="6">
        <f>HYPERLINK("https://fin.land.naver.com/articles/2648907764", "매물Link")</f>
        <v/>
      </c>
      <c r="M2331" s="6">
        <f>HYPERLINK("https://map.naver.com/p/search/세종특별자치시 나성동 829", "지도Link")</f>
        <v/>
      </c>
      <c r="N2331" s="6">
        <f>HYPERLINK("http://www.eum.go.kr/web/ar/lu/luLandDet.jsp?pnu=3611010700108290000&amp;isNoScr=script&amp;mode=search", "토지이음")</f>
        <v/>
      </c>
      <c r="O2331" s="3" t="inlineStr">
        <is>
          <t>도담</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세종특별자치시 나성동 829</t>
        </is>
      </c>
      <c r="B2332" s="3" t="inlineStr">
        <is>
          <t>중심상업지역</t>
        </is>
      </c>
      <c r="C2332" s="3" t="inlineStr">
        <is>
          <t>대</t>
        </is>
      </c>
      <c r="D2332" s="3" t="inlineStr">
        <is>
          <t>공장용지</t>
        </is>
      </c>
      <c r="E2332" s="3" t="inlineStr">
        <is>
          <t>매매</t>
        </is>
      </c>
      <c r="F2332" s="4" t="n">
        <v>178800</v>
      </c>
      <c r="G2332" s="4" t="n">
        <v>1480</v>
      </c>
      <c r="H2332" s="4" t="n">
        <v>448</v>
      </c>
      <c r="I2332" s="5" t="n">
        <v>399.1</v>
      </c>
      <c r="J2332" s="4" t="n">
        <v>747.8</v>
      </c>
      <c r="K2332" s="3" t="inlineStr">
        <is>
          <t>2차선 도로 접 토지. 공장 및 창고 신축 부지 추천</t>
        </is>
      </c>
      <c r="L2332" s="6">
        <f>HYPERLINK("https://fin.land.naver.com/articles/2648125694", "매물Link")</f>
        <v/>
      </c>
      <c r="M2332" s="6">
        <f>HYPERLINK("https://map.naver.com/p/search/세종특별자치시 나성동 829", "지도Link")</f>
        <v/>
      </c>
      <c r="N2332" s="6">
        <f>HYPERLINK("http://www.eum.go.kr/web/ar/lu/luLandDet.jsp?pnu=3611010700108290000&amp;isNoScr=script&amp;mode=search", "토지이음")</f>
        <v/>
      </c>
      <c r="O2332" s="3" t="inlineStr">
        <is>
          <t>삼익</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세종특별자치시 나성동 829</t>
        </is>
      </c>
      <c r="B2333" s="3" t="inlineStr">
        <is>
          <t>중심상업지역</t>
        </is>
      </c>
      <c r="C2333" s="3" t="inlineStr">
        <is>
          <t>대</t>
        </is>
      </c>
      <c r="D2333" s="3" t="inlineStr">
        <is>
          <t>공장용지</t>
        </is>
      </c>
      <c r="E2333" s="3" t="inlineStr">
        <is>
          <t>매매</t>
        </is>
      </c>
      <c r="F2333" s="4" t="n">
        <v>114000</v>
      </c>
      <c r="G2333" s="4" t="n">
        <v>942</v>
      </c>
      <c r="H2333" s="4" t="n">
        <v>285</v>
      </c>
      <c r="I2333" s="5" t="n">
        <v>400</v>
      </c>
      <c r="J2333" s="4" t="n">
        <v>747.8</v>
      </c>
      <c r="K2333" s="3" t="inlineStr">
        <is>
          <t>nan</t>
        </is>
      </c>
      <c r="L2333" s="6">
        <f>HYPERLINK("https://fin.land.naver.com/articles/2649425019", "매물Link")</f>
        <v/>
      </c>
      <c r="M2333" s="6">
        <f>HYPERLINK("https://map.naver.com/p/search/세종특별자치시 나성동 829", "지도Link")</f>
        <v/>
      </c>
      <c r="N2333" s="6">
        <f>HYPERLINK("http://www.eum.go.kr/web/ar/lu/luLandDet.jsp?pnu=3611010700108290000&amp;isNoScr=script&amp;mode=search", "토지이음")</f>
        <v/>
      </c>
      <c r="O2333" s="3" t="inlineStr">
        <is>
          <t>태영컨설팅</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세종특별자치시 나성동 829</t>
        </is>
      </c>
      <c r="B2334" s="3" t="inlineStr">
        <is>
          <t>중심상업지역</t>
        </is>
      </c>
      <c r="C2334" s="3" t="inlineStr">
        <is>
          <t>대</t>
        </is>
      </c>
      <c r="D2334" s="3" t="inlineStr">
        <is>
          <t>잡종지</t>
        </is>
      </c>
      <c r="E2334" s="3" t="inlineStr">
        <is>
          <t>매매</t>
        </is>
      </c>
      <c r="F2334" s="4" t="n">
        <v>2700000</v>
      </c>
      <c r="G2334" s="4" t="n">
        <v>19834</v>
      </c>
      <c r="H2334" s="4" t="n">
        <v>6000</v>
      </c>
      <c r="I2334" s="5" t="n">
        <v>450</v>
      </c>
      <c r="J2334" s="4" t="n">
        <v>747.8</v>
      </c>
      <c r="K2334" s="3" t="inlineStr">
        <is>
          <t>신탄진IC 에서 약1.2km지점 위치.</t>
        </is>
      </c>
      <c r="L2334" s="6">
        <f>HYPERLINK("https://fin.land.naver.com/articles/2649099312", "매물Link")</f>
        <v/>
      </c>
      <c r="M2334" s="6">
        <f>HYPERLINK("https://map.naver.com/p/search/세종특별자치시 나성동 829", "지도Link")</f>
        <v/>
      </c>
      <c r="N2334" s="6">
        <f>HYPERLINK("http://www.eum.go.kr/web/ar/lu/luLandDet.jsp?pnu=3611010700108290000&amp;isNoScr=script&amp;mode=search", "토지이음")</f>
        <v/>
      </c>
      <c r="O2334" s="3" t="inlineStr">
        <is>
          <t>동행</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세종특별자치시 나성동 829</t>
        </is>
      </c>
      <c r="B2335" s="3" t="inlineStr">
        <is>
          <t>중심상업지역</t>
        </is>
      </c>
      <c r="C2335" s="3" t="inlineStr">
        <is>
          <t>대</t>
        </is>
      </c>
      <c r="D2335" s="3" t="inlineStr">
        <is>
          <t>공장용지</t>
        </is>
      </c>
      <c r="E2335" s="3" t="inlineStr">
        <is>
          <t>매매</t>
        </is>
      </c>
      <c r="F2335" s="4" t="n">
        <v>180000</v>
      </c>
      <c r="G2335" s="4" t="n">
        <v>1480</v>
      </c>
      <c r="H2335" s="4" t="n">
        <v>448</v>
      </c>
      <c r="I2335" s="5" t="n">
        <v>401.8</v>
      </c>
      <c r="J2335" s="4" t="n">
        <v>747.8</v>
      </c>
      <c r="K2335" s="3" t="inlineStr">
        <is>
          <t>평촌금형산업단지내, 건폐율 70%, 용적율 300%</t>
        </is>
      </c>
      <c r="L2335" s="6">
        <f>HYPERLINK("https://fin.land.naver.com/articles/2648308517", "매물Link")</f>
        <v/>
      </c>
      <c r="M2335" s="6">
        <f>HYPERLINK("https://map.naver.com/p/search/세종특별자치시 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세종특별자치시 나성동 829</t>
        </is>
      </c>
      <c r="B2336" s="3" t="inlineStr">
        <is>
          <t>중심상업지역</t>
        </is>
      </c>
      <c r="C2336" s="3" t="inlineStr">
        <is>
          <t>대</t>
        </is>
      </c>
      <c r="D2336" s="3" t="inlineStr">
        <is>
          <t>공장용지</t>
        </is>
      </c>
      <c r="E2336" s="3" t="inlineStr">
        <is>
          <t>매매</t>
        </is>
      </c>
      <c r="F2336" s="4" t="n">
        <v>170000</v>
      </c>
      <c r="G2336" s="4" t="n">
        <v>1481</v>
      </c>
      <c r="H2336" s="4" t="n">
        <v>448</v>
      </c>
      <c r="I2336" s="5" t="n">
        <v>379.5</v>
      </c>
      <c r="J2336" s="4" t="n">
        <v>747.8</v>
      </c>
      <c r="K2336" s="3" t="inlineStr">
        <is>
          <t>평촌금형산업단지내, 즉시 건축가능,</t>
        </is>
      </c>
      <c r="L2336" s="6">
        <f>HYPERLINK("https://fin.land.naver.com/articles/2648156031", "매물Link")</f>
        <v/>
      </c>
      <c r="M2336" s="6">
        <f>HYPERLINK("https://map.naver.com/p/search/세종특별자치시 나성동 829", "지도Link")</f>
        <v/>
      </c>
      <c r="N2336" s="6">
        <f>HYPERLINK("http://www.eum.go.kr/web/ar/lu/luLandDet.jsp?pnu=3611010700108290000&amp;isNoScr=script&amp;mode=search", "토지이음")</f>
        <v/>
      </c>
      <c r="O2336" s="3" t="inlineStr">
        <is>
          <t>산업</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세종특별자치시 나성동 829</t>
        </is>
      </c>
      <c r="B2337" s="3" t="inlineStr">
        <is>
          <t>중심상업지역</t>
        </is>
      </c>
      <c r="C2337" s="3" t="inlineStr">
        <is>
          <t>대</t>
        </is>
      </c>
      <c r="D2337" s="3" t="inlineStr">
        <is>
          <t>대</t>
        </is>
      </c>
      <c r="E2337" s="3" t="inlineStr">
        <is>
          <t>매매</t>
        </is>
      </c>
      <c r="F2337" s="4" t="n">
        <v>150000</v>
      </c>
      <c r="G2337" s="4" t="n">
        <v>1263</v>
      </c>
      <c r="H2337" s="4" t="n">
        <v>382</v>
      </c>
      <c r="I2337" s="5" t="n">
        <v>392.7</v>
      </c>
      <c r="J2337" s="4" t="n">
        <v>747.8</v>
      </c>
      <c r="K2337" s="3" t="inlineStr">
        <is>
          <t>토지매매입니다.</t>
        </is>
      </c>
      <c r="L2337" s="6">
        <f>HYPERLINK("https://fin.land.naver.com/articles/2647997316", "매물Link")</f>
        <v/>
      </c>
      <c r="M2337" s="6">
        <f>HYPERLINK("https://map.naver.com/p/search/세종특별자치시 나성동 829", "지도Link")</f>
        <v/>
      </c>
      <c r="N2337" s="6">
        <f>HYPERLINK("http://www.eum.go.kr/web/ar/lu/luLandDet.jsp?pnu=3611010700108290000&amp;isNoScr=script&amp;mode=search", "토지이음")</f>
        <v/>
      </c>
      <c r="O2337" s="3" t="inlineStr">
        <is>
          <t>세움터</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세종특별자치시 나성동 829</t>
        </is>
      </c>
      <c r="B2338" s="3" t="inlineStr">
        <is>
          <t>중심상업지역</t>
        </is>
      </c>
      <c r="C2338" s="3" t="inlineStr">
        <is>
          <t>대</t>
        </is>
      </c>
      <c r="D2338" s="3" t="inlineStr">
        <is>
          <t>공장용지</t>
        </is>
      </c>
      <c r="E2338" s="3" t="inlineStr">
        <is>
          <t>매매</t>
        </is>
      </c>
      <c r="F2338" s="4" t="n">
        <v>111200</v>
      </c>
      <c r="G2338" s="4" t="n">
        <v>924</v>
      </c>
      <c r="H2338" s="4" t="n">
        <v>280</v>
      </c>
      <c r="I2338" s="5" t="n">
        <v>397.1</v>
      </c>
      <c r="J2338" s="4" t="n">
        <v>747.8</v>
      </c>
      <c r="K2338" s="3" t="inlineStr">
        <is>
          <t>신탄진 평촌지구 공장 및 창고 신축부지 매매</t>
        </is>
      </c>
      <c r="L2338" s="6">
        <f>HYPERLINK("https://fin.land.naver.com/articles/2646847037", "매물Link")</f>
        <v/>
      </c>
      <c r="M2338" s="6">
        <f>HYPERLINK("https://map.naver.com/p/search/세종특별자치시 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세종특별자치시 나성동 829</t>
        </is>
      </c>
      <c r="B2339" s="3" t="inlineStr">
        <is>
          <t>중심상업지역</t>
        </is>
      </c>
      <c r="C2339" s="3" t="inlineStr">
        <is>
          <t>대</t>
        </is>
      </c>
      <c r="D2339" s="3" t="inlineStr">
        <is>
          <t>공장용지</t>
        </is>
      </c>
      <c r="E2339" s="3" t="inlineStr">
        <is>
          <t>매매</t>
        </is>
      </c>
      <c r="F2339" s="4" t="n">
        <v>176000</v>
      </c>
      <c r="G2339" s="4" t="n">
        <v>1386</v>
      </c>
      <c r="H2339" s="4" t="n">
        <v>419</v>
      </c>
      <c r="I2339" s="5" t="n">
        <v>420</v>
      </c>
      <c r="J2339" s="4" t="n">
        <v>747.8</v>
      </c>
      <c r="K2339" s="3" t="inlineStr">
        <is>
          <t>신탄진동 평촌지구 공장,창고 신축부지 매매</t>
        </is>
      </c>
      <c r="L2339" s="6">
        <f>HYPERLINK("https://fin.land.naver.com/articles/2646846919", "매물Link")</f>
        <v/>
      </c>
      <c r="M2339" s="6">
        <f>HYPERLINK("https://map.naver.com/p/search/세종특별자치시 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세종특별자치시 나성동 829</t>
        </is>
      </c>
      <c r="B2340" s="3" t="inlineStr">
        <is>
          <t>중심상업지역</t>
        </is>
      </c>
      <c r="C2340" s="3" t="inlineStr">
        <is>
          <t>대</t>
        </is>
      </c>
      <c r="D2340" s="3" t="inlineStr">
        <is>
          <t>공장용지</t>
        </is>
      </c>
      <c r="E2340" s="3" t="inlineStr">
        <is>
          <t>매매</t>
        </is>
      </c>
      <c r="F2340" s="4" t="n">
        <v>125000</v>
      </c>
      <c r="G2340" s="4" t="n">
        <v>924</v>
      </c>
      <c r="H2340" s="4" t="n">
        <v>280</v>
      </c>
      <c r="I2340" s="5" t="n">
        <v>446.4</v>
      </c>
      <c r="J2340" s="4" t="n">
        <v>747.8</v>
      </c>
      <c r="K2340" s="3" t="inlineStr">
        <is>
          <t>신탄진 평촌지구 공장 및 창고 신축부지 매매</t>
        </is>
      </c>
      <c r="L2340" s="6">
        <f>HYPERLINK("https://fin.land.naver.com/articles/2646845800", "매물Link")</f>
        <v/>
      </c>
      <c r="M2340" s="6">
        <f>HYPERLINK("https://map.naver.com/p/search/세종특별자치시 나성동 829", "지도Link")</f>
        <v/>
      </c>
      <c r="N2340" s="6">
        <f>HYPERLINK("http://www.eum.go.kr/web/ar/lu/luLandDet.jsp?pnu=3611010700108290000&amp;isNoScr=script&amp;mode=search", "토지이음")</f>
        <v/>
      </c>
      <c r="O2340" s="3" t="inlineStr">
        <is>
          <t>신탄진다온</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세종특별자치시 나성동 829</t>
        </is>
      </c>
      <c r="B2341" s="3" t="inlineStr">
        <is>
          <t>중심상업지역</t>
        </is>
      </c>
      <c r="C2341" s="3" t="inlineStr">
        <is>
          <t>대</t>
        </is>
      </c>
      <c r="D2341" s="3" t="inlineStr">
        <is>
          <t>답</t>
        </is>
      </c>
      <c r="E2341" s="3" t="inlineStr">
        <is>
          <t>매매</t>
        </is>
      </c>
      <c r="F2341" s="4" t="n">
        <v>90000</v>
      </c>
      <c r="G2341" s="4" t="n">
        <v>568</v>
      </c>
      <c r="H2341" s="4" t="n">
        <v>172</v>
      </c>
      <c r="I2341" s="5" t="n">
        <v>523.3</v>
      </c>
      <c r="J2341" s="4" t="n">
        <v>747.8</v>
      </c>
      <c r="K2341" s="3" t="inlineStr">
        <is>
          <t>금전공단입구인근으로 대도로와 소도로에접한 토지임 현재자량량정비소로이용중</t>
        </is>
      </c>
      <c r="L2341" s="6">
        <f>HYPERLINK("https://fin.land.naver.com/articles/2644594384", "매물Link")</f>
        <v/>
      </c>
      <c r="M2341" s="6">
        <f>HYPERLINK("https://map.naver.com/p/search/세종특별자치시 나성동 829", "지도Link")</f>
        <v/>
      </c>
      <c r="N2341" s="6">
        <f>HYPERLINK("http://www.eum.go.kr/web/ar/lu/luLandDet.jsp?pnu=3611010700108290000&amp;isNoScr=script&amp;mode=search", "토지이음")</f>
        <v/>
      </c>
      <c r="O2341" s="3" t="inlineStr">
        <is>
          <t>새일</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세종특별자치시 나성동 829</t>
        </is>
      </c>
      <c r="B2342" s="3" t="inlineStr">
        <is>
          <t>중심상업지역</t>
        </is>
      </c>
      <c r="C2342" s="3" t="inlineStr">
        <is>
          <t>대</t>
        </is>
      </c>
      <c r="D2342" s="3" t="inlineStr">
        <is>
          <t>잡종지</t>
        </is>
      </c>
      <c r="E2342" s="3" t="inlineStr">
        <is>
          <t>매매</t>
        </is>
      </c>
      <c r="F2342" s="4" t="n">
        <v>2200000</v>
      </c>
      <c r="G2342" s="4" t="n">
        <v>16687</v>
      </c>
      <c r="H2342" s="4" t="n">
        <v>5048</v>
      </c>
      <c r="I2342" s="5" t="n">
        <v>435.8</v>
      </c>
      <c r="J2342" s="4" t="n">
        <v>747.8</v>
      </c>
      <c r="K2342" s="3" t="inlineStr">
        <is>
          <t>대로변에 접한 토지, 가격협의 가능</t>
        </is>
      </c>
      <c r="L2342" s="6">
        <f>HYPERLINK("https://fin.land.naver.com/articles/2644476845", "매물Link")</f>
        <v/>
      </c>
      <c r="M2342" s="6">
        <f>HYPERLINK("https://map.naver.com/p/search/세종특별자치시 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세종특별자치시 나성동 829</t>
        </is>
      </c>
      <c r="B2343" s="3" t="inlineStr">
        <is>
          <t>중심상업지역</t>
        </is>
      </c>
      <c r="C2343" s="3" t="inlineStr">
        <is>
          <t>대</t>
        </is>
      </c>
      <c r="D2343" s="3" t="inlineStr">
        <is>
          <t>답</t>
        </is>
      </c>
      <c r="E2343" s="3" t="inlineStr">
        <is>
          <t>매매</t>
        </is>
      </c>
      <c r="F2343" s="4" t="n">
        <v>200000</v>
      </c>
      <c r="G2343" s="4" t="n">
        <v>1939</v>
      </c>
      <c r="H2343" s="4" t="n">
        <v>587</v>
      </c>
      <c r="I2343" s="5" t="n">
        <v>340.7</v>
      </c>
      <c r="J2343" s="4" t="n">
        <v>747.8</v>
      </c>
      <c r="K2343" s="3" t="inlineStr">
        <is>
          <t>10m X 8m 코너각지, 창고,공장, 판매점 용도로 추천</t>
        </is>
      </c>
      <c r="L2343" s="6">
        <f>HYPERLINK("https://fin.land.naver.com/articles/2644476501", "매물Link")</f>
        <v/>
      </c>
      <c r="M2343" s="6">
        <f>HYPERLINK("https://map.naver.com/p/search/세종특별자치시 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세종특별자치시 나성동 829</t>
        </is>
      </c>
      <c r="B2344" s="3" t="inlineStr">
        <is>
          <t>중심상업지역</t>
        </is>
      </c>
      <c r="C2344" s="3" t="inlineStr">
        <is>
          <t>대</t>
        </is>
      </c>
      <c r="D2344" s="3" t="inlineStr">
        <is>
          <t>공장용지</t>
        </is>
      </c>
      <c r="E2344" s="3" t="inlineStr">
        <is>
          <t>매매</t>
        </is>
      </c>
      <c r="F2344" s="4" t="n">
        <v>110000</v>
      </c>
      <c r="G2344" s="4" t="n">
        <v>920</v>
      </c>
      <c r="H2344" s="4" t="n">
        <v>278</v>
      </c>
      <c r="I2344" s="5" t="n">
        <v>395.7</v>
      </c>
      <c r="J2344" s="4" t="n">
        <v>747.8</v>
      </c>
      <c r="K2344" s="3" t="inlineStr">
        <is>
          <t>평촌금형산업단지내, 토목완료,건축허가 득</t>
        </is>
      </c>
      <c r="L2344" s="6">
        <f>HYPERLINK("https://fin.land.naver.com/articles/2644475569", "매물Link")</f>
        <v/>
      </c>
      <c r="M2344" s="6">
        <f>HYPERLINK("https://map.naver.com/p/search/세종특별자치시 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세종특별자치시 나성동 829</t>
        </is>
      </c>
      <c r="B2345" s="3" t="inlineStr">
        <is>
          <t>중심상업지역</t>
        </is>
      </c>
      <c r="C2345" s="3" t="inlineStr">
        <is>
          <t>대</t>
        </is>
      </c>
      <c r="D2345" s="3" t="inlineStr">
        <is>
          <t>공장용지</t>
        </is>
      </c>
      <c r="E2345" s="3" t="inlineStr">
        <is>
          <t>매매</t>
        </is>
      </c>
      <c r="F2345" s="4" t="n">
        <v>114000</v>
      </c>
      <c r="G2345" s="4" t="n">
        <v>940</v>
      </c>
      <c r="H2345" s="4" t="n">
        <v>284</v>
      </c>
      <c r="I2345" s="5" t="n">
        <v>401.4</v>
      </c>
      <c r="J2345" s="4" t="n">
        <v>747.8</v>
      </c>
      <c r="K2345" s="3" t="inlineStr">
        <is>
          <t>평촌금형산업단지내, 현재 나대지</t>
        </is>
      </c>
      <c r="L2345" s="6">
        <f>HYPERLINK("https://fin.land.naver.com/articles/2644475334", "매물Link")</f>
        <v/>
      </c>
      <c r="M2345" s="6">
        <f>HYPERLINK("https://map.naver.com/p/search/세종특별자치시 나성동 829", "지도Link")</f>
        <v/>
      </c>
      <c r="N2345" s="6">
        <f>HYPERLINK("http://www.eum.go.kr/web/ar/lu/luLandDet.jsp?pnu=3611010700108290000&amp;isNoScr=script&amp;mode=search", "토지이음")</f>
        <v/>
      </c>
      <c r="O2345" s="3" t="inlineStr">
        <is>
          <t>산업</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세종특별자치시 나성동 829</t>
        </is>
      </c>
      <c r="B2346" s="3" t="inlineStr">
        <is>
          <t>중심상업지역</t>
        </is>
      </c>
      <c r="C2346" s="3" t="inlineStr">
        <is>
          <t>대</t>
        </is>
      </c>
      <c r="D2346" s="3" t="inlineStr">
        <is>
          <t>답</t>
        </is>
      </c>
      <c r="E2346" s="3" t="inlineStr">
        <is>
          <t>매매</t>
        </is>
      </c>
      <c r="F2346" s="4" t="n">
        <v>161500</v>
      </c>
      <c r="G2346" s="4" t="n">
        <v>3444</v>
      </c>
      <c r="H2346" s="4" t="n">
        <v>1042</v>
      </c>
      <c r="I2346" s="5" t="n">
        <v>155</v>
      </c>
      <c r="J2346" s="4" t="n">
        <v>747.8</v>
      </c>
      <c r="K2346" s="3" t="inlineStr">
        <is>
          <t>brt 조망토지 대전 남세종ic 토지매매</t>
        </is>
      </c>
      <c r="L2346" s="6">
        <f>HYPERLINK("https://fin.land.naver.com/articles/2647111336", "매물Link")</f>
        <v/>
      </c>
      <c r="M2346" s="6">
        <f>HYPERLINK("https://map.naver.com/p/search/세종특별자치시 나성동 829", "지도Link")</f>
        <v/>
      </c>
      <c r="N2346" s="6">
        <f>HYPERLINK("http://www.eum.go.kr/web/ar/lu/luLandDet.jsp?pnu=3611010700108290000&amp;isNoScr=script&amp;mode=search", "토지이음")</f>
        <v/>
      </c>
      <c r="O2346" s="3" t="inlineStr">
        <is>
          <t>THE행복</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세종특별자치시 나성동 829</t>
        </is>
      </c>
      <c r="B2347" s="3" t="inlineStr">
        <is>
          <t>중심상업지역</t>
        </is>
      </c>
      <c r="C2347" s="3" t="inlineStr">
        <is>
          <t>대</t>
        </is>
      </c>
      <c r="D2347" s="3" t="inlineStr">
        <is>
          <t>전</t>
        </is>
      </c>
      <c r="E2347" s="3" t="inlineStr">
        <is>
          <t>매매</t>
        </is>
      </c>
      <c r="F2347" s="4" t="n">
        <v>26000</v>
      </c>
      <c r="G2347" s="4" t="n">
        <v>1279</v>
      </c>
      <c r="H2347" s="4" t="n">
        <v>387</v>
      </c>
      <c r="I2347" s="5" t="n">
        <v>67.2</v>
      </c>
      <c r="J2347" s="4" t="n">
        <v>747.8</v>
      </c>
      <c r="K2347" s="3" t="inlineStr">
        <is>
          <t>Point 대청댐 인근 금강수변 도로접, 투자용 가치 상승 농지</t>
        </is>
      </c>
      <c r="L2347" s="6">
        <f>HYPERLINK("https://fin.land.naver.com/articles/2648111020", "매물Link")</f>
        <v/>
      </c>
      <c r="M2347" s="6">
        <f>HYPERLINK("https://map.naver.com/p/search/세종특별자치시 나성동 829", "지도Link")</f>
        <v/>
      </c>
      <c r="N2347" s="6">
        <f>HYPERLINK("http://www.eum.go.kr/web/ar/lu/luLandDet.jsp?pnu=3611010700108290000&amp;isNoScr=script&amp;mode=search", "토지이음")</f>
        <v/>
      </c>
      <c r="O2347" s="3" t="inlineStr">
        <is>
          <t>도마호반</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세종특별자치시 나성동 829</t>
        </is>
      </c>
      <c r="B2348" s="3" t="inlineStr">
        <is>
          <t>중심상업지역</t>
        </is>
      </c>
      <c r="C2348" s="3" t="inlineStr">
        <is>
          <t>대</t>
        </is>
      </c>
      <c r="D2348" s="3" t="inlineStr">
        <is>
          <t>전</t>
        </is>
      </c>
      <c r="E2348" s="3" t="inlineStr">
        <is>
          <t>매매</t>
        </is>
      </c>
      <c r="F2348" s="4" t="n">
        <v>46200</v>
      </c>
      <c r="G2348" s="4" t="n">
        <v>1387</v>
      </c>
      <c r="H2348" s="4" t="n">
        <v>420</v>
      </c>
      <c r="I2348" s="5" t="n">
        <v>110</v>
      </c>
      <c r="J2348" s="4" t="n">
        <v>747.8</v>
      </c>
      <c r="K2348" s="3" t="inlineStr">
        <is>
          <t>포장도로 인접, 태양열 설치, 농기구 보관창고 포함</t>
        </is>
      </c>
      <c r="L2348" s="6">
        <f>HYPERLINK("https://fin.land.naver.com/articles/2647307125", "매물Link")</f>
        <v/>
      </c>
      <c r="M2348" s="6">
        <f>HYPERLINK("https://map.naver.com/p/search/세종특별자치시 나성동 829", "지도Link")</f>
        <v/>
      </c>
      <c r="N2348" s="6">
        <f>HYPERLINK("http://www.eum.go.kr/web/ar/lu/luLandDet.jsp?pnu=3611010700108290000&amp;isNoScr=script&amp;mode=search", "토지이음")</f>
        <v/>
      </c>
      <c r="O2348" s="3" t="inlineStr">
        <is>
          <t>대지</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세종특별자치시 나성동 829</t>
        </is>
      </c>
      <c r="B2349" s="3" t="inlineStr">
        <is>
          <t>중심상업지역</t>
        </is>
      </c>
      <c r="C2349" s="3" t="inlineStr">
        <is>
          <t>대</t>
        </is>
      </c>
      <c r="D2349" s="3" t="inlineStr">
        <is>
          <t>전</t>
        </is>
      </c>
      <c r="E2349" s="3" t="inlineStr">
        <is>
          <t>매매</t>
        </is>
      </c>
      <c r="F2349" s="4" t="n">
        <v>46000</v>
      </c>
      <c r="G2349" s="4" t="n">
        <v>1387</v>
      </c>
      <c r="H2349" s="4" t="n">
        <v>420</v>
      </c>
      <c r="I2349" s="5" t="n">
        <v>109.5</v>
      </c>
      <c r="J2349" s="4" t="n">
        <v>747.8</v>
      </c>
      <c r="K2349" s="3" t="inlineStr">
        <is>
          <t>nan</t>
        </is>
      </c>
      <c r="L2349" s="6">
        <f>HYPERLINK("https://fin.land.naver.com/articles/2649545480", "매물Link")</f>
        <v/>
      </c>
      <c r="M2349" s="6">
        <f>HYPERLINK("https://map.naver.com/p/search/세종특별자치시 나성동 829", "지도Link")</f>
        <v/>
      </c>
      <c r="N2349" s="6">
        <f>HYPERLINK("http://www.eum.go.kr/web/ar/lu/luLandDet.jsp?pnu=3611010700108290000&amp;isNoScr=script&amp;mode=search", "토지이음")</f>
        <v/>
      </c>
      <c r="O2349" s="3" t="inlineStr">
        <is>
          <t>우리동네</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세종특별자치시 나성동 829</t>
        </is>
      </c>
      <c r="B2350" s="3" t="inlineStr">
        <is>
          <t>중심상업지역</t>
        </is>
      </c>
      <c r="C2350" s="3" t="inlineStr">
        <is>
          <t>대</t>
        </is>
      </c>
      <c r="D2350" s="3" t="inlineStr">
        <is>
          <t>답</t>
        </is>
      </c>
      <c r="E2350" s="3" t="inlineStr">
        <is>
          <t>매매</t>
        </is>
      </c>
      <c r="F2350" s="4" t="n">
        <v>12110</v>
      </c>
      <c r="G2350" s="4" t="n">
        <v>1144</v>
      </c>
      <c r="H2350" s="4" t="n">
        <v>346</v>
      </c>
      <c r="I2350" s="5" t="n">
        <v>35</v>
      </c>
      <c r="J2350" s="4" t="n">
        <v>747.8</v>
      </c>
      <c r="K2350" s="3" t="inlineStr">
        <is>
          <t>상수원보호구역 주말농장지 대청댐부근</t>
        </is>
      </c>
      <c r="L2350" s="6">
        <f>HYPERLINK("https://fin.land.naver.com/articles/2647376660", "매물Link")</f>
        <v/>
      </c>
      <c r="M2350" s="6">
        <f>HYPERLINK("https://map.naver.com/p/search/세종특별자치시 나성동 829", "지도Link")</f>
        <v/>
      </c>
      <c r="N2350" s="6">
        <f>HYPERLINK("http://www.eum.go.kr/web/ar/lu/luLandDet.jsp?pnu=3611010700108290000&amp;isNoScr=script&amp;mode=search", "토지이음")</f>
        <v/>
      </c>
      <c r="O2350" s="3" t="inlineStr">
        <is>
          <t>새여울</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세종특별자치시 나성동 829</t>
        </is>
      </c>
      <c r="B2351" s="3" t="inlineStr">
        <is>
          <t>중심상업지역</t>
        </is>
      </c>
      <c r="C2351" s="3" t="inlineStr">
        <is>
          <t>대</t>
        </is>
      </c>
      <c r="D2351" s="3" t="inlineStr">
        <is>
          <t>답</t>
        </is>
      </c>
      <c r="E2351" s="3" t="inlineStr">
        <is>
          <t>매매</t>
        </is>
      </c>
      <c r="F2351" s="4" t="n">
        <v>12650</v>
      </c>
      <c r="G2351" s="4" t="n">
        <v>838</v>
      </c>
      <c r="H2351" s="4" t="n">
        <v>253</v>
      </c>
      <c r="I2351" s="5" t="n">
        <v>50</v>
      </c>
      <c r="J2351" s="4" t="n">
        <v>747.8</v>
      </c>
      <c r="K2351" s="3" t="inlineStr">
        <is>
          <t>계족산 장동휴양림 인근</t>
        </is>
      </c>
      <c r="L2351" s="6">
        <f>HYPERLINK("https://fin.land.naver.com/articles/2649409718", "매물Link")</f>
        <v/>
      </c>
      <c r="M2351" s="6">
        <f>HYPERLINK("https://map.naver.com/p/search/세종특별자치시 나성동 829", "지도Link")</f>
        <v/>
      </c>
      <c r="N2351" s="6">
        <f>HYPERLINK("http://www.eum.go.kr/web/ar/lu/luLandDet.jsp?pnu=3611010700108290000&amp;isNoScr=script&amp;mode=search", "토지이음")</f>
        <v/>
      </c>
      <c r="O2351" s="3" t="inlineStr">
        <is>
          <t>백합플러스</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세종특별자치시 나성동 829</t>
        </is>
      </c>
      <c r="B2352" s="3" t="inlineStr">
        <is>
          <t>중심상업지역</t>
        </is>
      </c>
      <c r="C2352" s="3" t="inlineStr">
        <is>
          <t>대</t>
        </is>
      </c>
      <c r="D2352" s="3" t="inlineStr">
        <is>
          <t>전</t>
        </is>
      </c>
      <c r="E2352" s="3" t="inlineStr">
        <is>
          <t>매매</t>
        </is>
      </c>
      <c r="F2352" s="4" t="n">
        <v>20000</v>
      </c>
      <c r="G2352" s="4" t="n">
        <v>488</v>
      </c>
      <c r="H2352" s="4" t="n">
        <v>148</v>
      </c>
      <c r="I2352" s="5" t="n">
        <v>135.1</v>
      </c>
      <c r="J2352" s="4" t="n">
        <v>747.8</v>
      </c>
      <c r="K2352" s="3" t="inlineStr">
        <is>
          <t>행정도시에서 5분거여서  주말농장,  텃밭하기에 좋은 소액토지</t>
        </is>
      </c>
      <c r="L2352" s="6">
        <f>HYPERLINK("https://fin.land.naver.com/articles/2646339887", "매물Link")</f>
        <v/>
      </c>
      <c r="M2352" s="6">
        <f>HYPERLINK("https://map.naver.com/p/search/세종특별자치시 나성동 829", "지도Link")</f>
        <v/>
      </c>
      <c r="N2352" s="6">
        <f>HYPERLINK("http://www.eum.go.kr/web/ar/lu/luLandDet.jsp?pnu=3611010700108290000&amp;isNoScr=script&amp;mode=search", "토지이음")</f>
        <v/>
      </c>
      <c r="O2352" s="3" t="inlineStr">
        <is>
          <t>창고의여왕</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세종특별자치시 나성동 829</t>
        </is>
      </c>
      <c r="B2353" s="3" t="inlineStr">
        <is>
          <t>중심상업지역</t>
        </is>
      </c>
      <c r="C2353" s="3" t="inlineStr">
        <is>
          <t>대</t>
        </is>
      </c>
      <c r="D2353" s="3" t="inlineStr">
        <is>
          <t>대</t>
        </is>
      </c>
      <c r="E2353" s="3" t="inlineStr">
        <is>
          <t>매매</t>
        </is>
      </c>
      <c r="F2353" s="4" t="n">
        <v>43000</v>
      </c>
      <c r="G2353" s="4" t="n">
        <v>619</v>
      </c>
      <c r="H2353" s="4" t="n">
        <v>187</v>
      </c>
      <c r="I2353" s="5" t="n">
        <v>229.9</v>
      </c>
      <c r="J2353" s="4" t="n">
        <v>747.8</v>
      </c>
      <c r="K2353" s="3" t="inlineStr">
        <is>
          <t>교통 편리한 청정지역 경관 수려하여 갤러리 전원주택 명상센터 최상</t>
        </is>
      </c>
      <c r="L2353" s="6">
        <f>HYPERLINK("https://fin.land.naver.com/articles/2647491961", "매물Link")</f>
        <v/>
      </c>
      <c r="M2353" s="6">
        <f>HYPERLINK("https://map.naver.com/p/search/세종특별자치시 나성동 829", "지도Link")</f>
        <v/>
      </c>
      <c r="N2353" s="6">
        <f>HYPERLINK("http://www.eum.go.kr/web/ar/lu/luLandDet.jsp?pnu=3611010700108290000&amp;isNoScr=script&amp;mode=search", "토지이음")</f>
        <v/>
      </c>
      <c r="O2353" s="3" t="inlineStr">
        <is>
          <t>뉴태양</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세종특별자치시 나성동 829</t>
        </is>
      </c>
      <c r="B2354" s="3" t="inlineStr">
        <is>
          <t>중심상업지역</t>
        </is>
      </c>
      <c r="C2354" s="3" t="inlineStr">
        <is>
          <t>대</t>
        </is>
      </c>
      <c r="D2354" s="3" t="inlineStr">
        <is>
          <t>전</t>
        </is>
      </c>
      <c r="E2354" s="3" t="inlineStr">
        <is>
          <t>매매</t>
        </is>
      </c>
      <c r="F2354" s="4" t="n">
        <v>55000</v>
      </c>
      <c r="G2354" s="4" t="n">
        <v>2273</v>
      </c>
      <c r="H2354" s="4" t="n">
        <v>688</v>
      </c>
      <c r="I2354" s="5" t="n">
        <v>79.90000000000001</v>
      </c>
      <c r="J2354" s="4" t="n">
        <v>747.8</v>
      </c>
      <c r="K2354" s="3" t="inlineStr">
        <is>
          <t>장동산림욕장 부근의 입지조건 좋은 개발제한구역내 토지</t>
        </is>
      </c>
      <c r="L2354" s="6">
        <f>HYPERLINK("https://fin.land.naver.com/articles/2644854083", "매물Link")</f>
        <v/>
      </c>
      <c r="M2354" s="6">
        <f>HYPERLINK("https://map.naver.com/p/search/세종특별자치시 나성동 829", "지도Link")</f>
        <v/>
      </c>
      <c r="N2354" s="6">
        <f>HYPERLINK("http://www.eum.go.kr/web/ar/lu/luLandDet.jsp?pnu=3611010700108290000&amp;isNoScr=script&amp;mode=search", "토지이음")</f>
        <v/>
      </c>
      <c r="O2354" s="3" t="inlineStr">
        <is>
          <t>다온</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세종특별자치시 나성동 829</t>
        </is>
      </c>
      <c r="B2355" s="3" t="inlineStr">
        <is>
          <t>중심상업지역</t>
        </is>
      </c>
      <c r="C2355" s="3" t="inlineStr">
        <is>
          <t>대</t>
        </is>
      </c>
      <c r="D2355" s="3" t="inlineStr">
        <is>
          <t>대</t>
        </is>
      </c>
      <c r="E2355" s="3" t="inlineStr">
        <is>
          <t>매매</t>
        </is>
      </c>
      <c r="F2355" s="4" t="n">
        <v>19700</v>
      </c>
      <c r="G2355" s="4" t="n">
        <v>204</v>
      </c>
      <c r="H2355" s="4" t="n">
        <v>62</v>
      </c>
      <c r="I2355" s="5" t="n">
        <v>317.7</v>
      </c>
      <c r="J2355" s="4" t="n">
        <v>747.8</v>
      </c>
      <c r="K2355" s="3" t="inlineStr">
        <is>
          <t>교통편리 경관좋은 청정지역 2종일반 커피숖 전원주택 사무실 최상</t>
        </is>
      </c>
      <c r="L2355" s="6">
        <f>HYPERLINK("https://fin.land.naver.com/articles/2644772304", "매물Link")</f>
        <v/>
      </c>
      <c r="M2355" s="6">
        <f>HYPERLINK("https://map.naver.com/p/search/세종특별자치시 나성동 829", "지도Link")</f>
        <v/>
      </c>
      <c r="N2355" s="6">
        <f>HYPERLINK("http://www.eum.go.kr/web/ar/lu/luLandDet.jsp?pnu=3611010700108290000&amp;isNoScr=script&amp;mode=search", "토지이음")</f>
        <v/>
      </c>
      <c r="O2355" s="3" t="inlineStr">
        <is>
          <t>뉴태양</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세종특별자치시 나성동 829</t>
        </is>
      </c>
      <c r="B2356" s="3" t="inlineStr">
        <is>
          <t>중심상업지역</t>
        </is>
      </c>
      <c r="C2356" s="3" t="inlineStr">
        <is>
          <t>대</t>
        </is>
      </c>
      <c r="D2356" s="3" t="inlineStr">
        <is>
          <t>전</t>
        </is>
      </c>
      <c r="E2356" s="3" t="inlineStr">
        <is>
          <t>매매</t>
        </is>
      </c>
      <c r="F2356" s="4" t="n">
        <v>19200</v>
      </c>
      <c r="G2356" s="4" t="n">
        <v>1408</v>
      </c>
      <c r="H2356" s="4" t="n">
        <v>426</v>
      </c>
      <c r="I2356" s="5" t="n">
        <v>45.1</v>
      </c>
      <c r="J2356" s="4" t="n">
        <v>747.8</v>
      </c>
      <c r="K2356" s="3" t="inlineStr">
        <is>
          <t>농막설치 가능, 주말농장 최적</t>
        </is>
      </c>
      <c r="L2356" s="6">
        <f>HYPERLINK("https://fin.land.naver.com/articles/2647839244", "매물Link")</f>
        <v/>
      </c>
      <c r="M2356" s="6">
        <f>HYPERLINK("https://map.naver.com/p/search/세종특별자치시 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세종특별자치시 나성동 829</t>
        </is>
      </c>
      <c r="B2357" s="3" t="inlineStr">
        <is>
          <t>중심상업지역</t>
        </is>
      </c>
      <c r="C2357" s="3" t="inlineStr">
        <is>
          <t>대</t>
        </is>
      </c>
      <c r="D2357" s="3" t="inlineStr">
        <is>
          <t>전</t>
        </is>
      </c>
      <c r="E2357" s="3" t="inlineStr">
        <is>
          <t>매매</t>
        </is>
      </c>
      <c r="F2357" s="4" t="n">
        <v>10500</v>
      </c>
      <c r="G2357" s="4" t="n">
        <v>495</v>
      </c>
      <c r="H2357" s="4" t="n">
        <v>150</v>
      </c>
      <c r="I2357" s="5" t="n">
        <v>70</v>
      </c>
      <c r="J2357" s="4" t="n">
        <v>747.8</v>
      </c>
      <c r="K2357" s="3" t="inlineStr">
        <is>
          <t>주말농장 최적, 그린벨트</t>
        </is>
      </c>
      <c r="L2357" s="6">
        <f>HYPERLINK("https://fin.land.naver.com/articles/2647762118", "매물Link")</f>
        <v/>
      </c>
      <c r="M2357" s="6">
        <f>HYPERLINK("https://map.naver.com/p/search/세종특별자치시 나성동 829", "지도Link")</f>
        <v/>
      </c>
      <c r="N2357" s="6">
        <f>HYPERLINK("http://www.eum.go.kr/web/ar/lu/luLandDet.jsp?pnu=3611010700108290000&amp;isNoScr=script&amp;mode=search", "토지이음")</f>
        <v/>
      </c>
      <c r="O2357" s="3" t="inlineStr">
        <is>
          <t>와동</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세종특별자치시 나성동 829</t>
        </is>
      </c>
      <c r="B2358" s="3" t="inlineStr">
        <is>
          <t>중심상업지역</t>
        </is>
      </c>
      <c r="C2358" s="3" t="inlineStr">
        <is>
          <t>대</t>
        </is>
      </c>
      <c r="D2358" s="3" t="inlineStr">
        <is>
          <t>답</t>
        </is>
      </c>
      <c r="E2358" s="3" t="inlineStr">
        <is>
          <t>매매</t>
        </is>
      </c>
      <c r="F2358" s="4" t="n">
        <v>16000</v>
      </c>
      <c r="G2358" s="4" t="n">
        <v>1006</v>
      </c>
      <c r="H2358" s="4" t="n">
        <v>304</v>
      </c>
      <c r="I2358" s="5" t="n">
        <v>52.6</v>
      </c>
      <c r="J2358" s="4" t="n">
        <v>747.8</v>
      </c>
      <c r="K2358" s="3" t="inlineStr">
        <is>
          <t>체류 형 쉼터 주말 농지로  적지 로  적극 추천 합니다.</t>
        </is>
      </c>
      <c r="L2358" s="6">
        <f>HYPERLINK("https://fin.land.naver.com/articles/2648411651", "매물Link")</f>
        <v/>
      </c>
      <c r="M2358" s="6">
        <f>HYPERLINK("https://map.naver.com/p/search/세종특별자치시 나성동 829", "지도Link")</f>
        <v/>
      </c>
      <c r="N2358" s="6">
        <f>HYPERLINK("http://www.eum.go.kr/web/ar/lu/luLandDet.jsp?pnu=3611010700108290000&amp;isNoScr=script&amp;mode=search", "토지이음")</f>
        <v/>
      </c>
      <c r="O2358" s="3" t="inlineStr">
        <is>
          <t>대덕밸리</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세종특별자치시 나성동 829</t>
        </is>
      </c>
      <c r="B2359" s="3" t="inlineStr">
        <is>
          <t>중심상업지역</t>
        </is>
      </c>
      <c r="C2359" s="3" t="inlineStr">
        <is>
          <t>대</t>
        </is>
      </c>
      <c r="D2359" s="3" t="inlineStr">
        <is>
          <t>대</t>
        </is>
      </c>
      <c r="E2359" s="3" t="inlineStr">
        <is>
          <t>매매</t>
        </is>
      </c>
      <c r="F2359" s="4" t="n">
        <v>64000</v>
      </c>
      <c r="G2359" s="4" t="n">
        <v>1179</v>
      </c>
      <c r="H2359" s="4" t="n">
        <v>357</v>
      </c>
      <c r="I2359" s="5" t="n">
        <v>179.3</v>
      </c>
      <c r="J2359" s="4" t="n">
        <v>747.8</v>
      </c>
      <c r="K2359" s="3" t="inlineStr">
        <is>
          <t>Point 투자 추천, 전원뷰, 잔디밭, 애견카페, 스몰웨딩 추천</t>
        </is>
      </c>
      <c r="L2359" s="6">
        <f>HYPERLINK("https://fin.land.naver.com/articles/2648318726", "매물Link")</f>
        <v/>
      </c>
      <c r="M2359" s="6">
        <f>HYPERLINK("https://map.naver.com/p/search/세종특별자치시 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세종특별자치시 나성동 829</t>
        </is>
      </c>
      <c r="B2360" s="3" t="inlineStr">
        <is>
          <t>중심상업지역</t>
        </is>
      </c>
      <c r="C2360" s="3" t="inlineStr">
        <is>
          <t>대</t>
        </is>
      </c>
      <c r="D2360" s="3" t="inlineStr">
        <is>
          <t>임야</t>
        </is>
      </c>
      <c r="E2360" s="3" t="inlineStr">
        <is>
          <t>매매</t>
        </is>
      </c>
      <c r="F2360" s="4" t="n">
        <v>3500</v>
      </c>
      <c r="G2360" s="4" t="n">
        <v>8025</v>
      </c>
      <c r="H2360" s="4" t="n">
        <v>2428</v>
      </c>
      <c r="I2360" s="5" t="n">
        <v>1.4</v>
      </c>
      <c r="J2360" s="4" t="n">
        <v>747.8</v>
      </c>
      <c r="K2360" s="3" t="inlineStr">
        <is>
          <t>Point 임야 관련한 용도로 저렴한 매물</t>
        </is>
      </c>
      <c r="L2360" s="6">
        <f>HYPERLINK("https://fin.land.naver.com/articles/2648110615", "매물Link")</f>
        <v/>
      </c>
      <c r="M2360" s="6">
        <f>HYPERLINK("https://map.naver.com/p/search/세종특별자치시 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세종특별자치시 나성동 829</t>
        </is>
      </c>
      <c r="B2361" s="3" t="inlineStr">
        <is>
          <t>중심상업지역</t>
        </is>
      </c>
      <c r="C2361" s="3" t="inlineStr">
        <is>
          <t>대</t>
        </is>
      </c>
      <c r="D2361" s="3" t="inlineStr">
        <is>
          <t>임야</t>
        </is>
      </c>
      <c r="E2361" s="3" t="inlineStr">
        <is>
          <t>매매</t>
        </is>
      </c>
      <c r="F2361" s="4" t="n">
        <v>9000</v>
      </c>
      <c r="G2361" s="4" t="n">
        <v>1686</v>
      </c>
      <c r="H2361" s="4" t="n">
        <v>510</v>
      </c>
      <c r="I2361" s="5" t="n">
        <v>17.6</v>
      </c>
      <c r="J2361" s="4" t="n">
        <v>747.8</v>
      </c>
      <c r="K2361" s="3" t="inlineStr">
        <is>
          <t>Point 분할 가능, 대청댐 대청호 수변 주변 임야</t>
        </is>
      </c>
      <c r="L2361" s="6">
        <f>HYPERLINK("https://fin.land.naver.com/articles/2646677183", "매물Link")</f>
        <v/>
      </c>
      <c r="M2361" s="6">
        <f>HYPERLINK("https://map.naver.com/p/search/세종특별자치시 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세종특별자치시 나성동 829</t>
        </is>
      </c>
      <c r="B2362" s="3" t="inlineStr">
        <is>
          <t>중심상업지역</t>
        </is>
      </c>
      <c r="C2362" s="3" t="inlineStr">
        <is>
          <t>대</t>
        </is>
      </c>
      <c r="D2362" s="3" t="inlineStr">
        <is>
          <t>임야</t>
        </is>
      </c>
      <c r="E2362" s="3" t="inlineStr">
        <is>
          <t>매매</t>
        </is>
      </c>
      <c r="F2362" s="4" t="n">
        <v>23000</v>
      </c>
      <c r="G2362" s="4" t="n">
        <v>43636</v>
      </c>
      <c r="H2362" s="4" t="n">
        <v>13200</v>
      </c>
      <c r="I2362" s="5" t="n">
        <v>1.7</v>
      </c>
      <c r="J2362" s="4" t="n">
        <v>747.8</v>
      </c>
      <c r="K2362" s="3" t="inlineStr">
        <is>
          <t>Point 장동 이현동간 도로개설 이슈로 투자용, 약용작물 재배 등 임야</t>
        </is>
      </c>
      <c r="L2362" s="6">
        <f>HYPERLINK("https://fin.land.naver.com/articles/2646676805", "매물Link")</f>
        <v/>
      </c>
      <c r="M2362" s="6">
        <f>HYPERLINK("https://map.naver.com/p/search/세종특별자치시 나성동 829", "지도Link")</f>
        <v/>
      </c>
      <c r="N2362" s="6">
        <f>HYPERLINK("http://www.eum.go.kr/web/ar/lu/luLandDet.jsp?pnu=3611010700108290000&amp;isNoScr=script&amp;mode=search", "토지이음")</f>
        <v/>
      </c>
      <c r="O2362" s="3" t="inlineStr">
        <is>
          <t>도마호반</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세종특별자치시 나성동 829</t>
        </is>
      </c>
      <c r="B2363" s="3" t="inlineStr">
        <is>
          <t>중심상업지역</t>
        </is>
      </c>
      <c r="C2363" s="3" t="inlineStr">
        <is>
          <t>대</t>
        </is>
      </c>
      <c r="D2363" s="3" t="inlineStr">
        <is>
          <t>전</t>
        </is>
      </c>
      <c r="E2363" s="3" t="inlineStr">
        <is>
          <t>매매</t>
        </is>
      </c>
      <c r="F2363" s="4" t="n">
        <v>8900</v>
      </c>
      <c r="G2363" s="4" t="n">
        <v>1169</v>
      </c>
      <c r="H2363" s="4" t="n">
        <v>354</v>
      </c>
      <c r="I2363" s="5" t="n">
        <v>25.1</v>
      </c>
      <c r="J2363" s="4" t="n">
        <v>747.8</v>
      </c>
      <c r="K2363" s="3" t="inlineStr">
        <is>
          <t>묘지터 찾는분 추천드려요</t>
        </is>
      </c>
      <c r="L2363" s="6">
        <f>HYPERLINK("https://fin.land.naver.com/articles/2646617820", "매물Link")</f>
        <v/>
      </c>
      <c r="M2363" s="6">
        <f>HYPERLINK("https://map.naver.com/p/search/세종특별자치시 나성동 829", "지도Link")</f>
        <v/>
      </c>
      <c r="N2363" s="6">
        <f>HYPERLINK("http://www.eum.go.kr/web/ar/lu/luLandDet.jsp?pnu=3611010700108290000&amp;isNoScr=script&amp;mode=search", "토지이음")</f>
        <v/>
      </c>
      <c r="O2363" s="3" t="inlineStr">
        <is>
          <t>자이드림</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세종특별자치시 나성동 829</t>
        </is>
      </c>
      <c r="B2364" s="3" t="inlineStr">
        <is>
          <t>중심상업지역</t>
        </is>
      </c>
      <c r="C2364" s="3" t="inlineStr">
        <is>
          <t>대</t>
        </is>
      </c>
      <c r="D2364" s="3" t="inlineStr">
        <is>
          <t>창고용지</t>
        </is>
      </c>
      <c r="E2364" s="3" t="inlineStr">
        <is>
          <t>매매</t>
        </is>
      </c>
      <c r="F2364" s="4" t="n">
        <v>16000</v>
      </c>
      <c r="G2364" s="4" t="n">
        <v>203</v>
      </c>
      <c r="H2364" s="4" t="n">
        <v>61</v>
      </c>
      <c r="I2364" s="5" t="n">
        <v>262.3</v>
      </c>
      <c r="J2364" s="4" t="n">
        <v>747.8</v>
      </c>
      <c r="K2364" s="3" t="inlineStr">
        <is>
          <t>대청호 도로변 위치 창고, 카페, 주택 용지로 가격조절 가능</t>
        </is>
      </c>
      <c r="L2364" s="6">
        <f>HYPERLINK("https://fin.land.naver.com/articles/2646852145", "매물Link")</f>
        <v/>
      </c>
      <c r="M2364" s="6">
        <f>HYPERLINK("https://map.naver.com/p/search/세종특별자치시 나성동 829", "지도Link")</f>
        <v/>
      </c>
      <c r="N2364" s="6">
        <f>HYPERLINK("http://www.eum.go.kr/web/ar/lu/luLandDet.jsp?pnu=3611010700108290000&amp;isNoScr=script&amp;mode=search", "토지이음")</f>
        <v/>
      </c>
      <c r="O2364" s="3" t="inlineStr">
        <is>
          <t>뉴삼호</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세종특별자치시 나성동 829</t>
        </is>
      </c>
      <c r="B2365" s="3" t="inlineStr">
        <is>
          <t>중심상업지역</t>
        </is>
      </c>
      <c r="C2365" s="3" t="inlineStr">
        <is>
          <t>대</t>
        </is>
      </c>
      <c r="D2365" s="3" t="inlineStr">
        <is>
          <t>대</t>
        </is>
      </c>
      <c r="E2365" s="3" t="inlineStr">
        <is>
          <t>매매</t>
        </is>
      </c>
      <c r="F2365" s="4" t="n">
        <v>50000</v>
      </c>
      <c r="G2365" s="4" t="n">
        <v>1665</v>
      </c>
      <c r="H2365" s="4" t="n">
        <v>504</v>
      </c>
      <c r="I2365" s="5" t="n">
        <v>99.2</v>
      </c>
      <c r="J2365" s="4" t="n">
        <v>747.8</v>
      </c>
      <c r="K2365" s="3" t="inlineStr">
        <is>
          <t>경관 수려하고 교통 편리한 나대지 전원주택 공방 갤러리 별장지 최상</t>
        </is>
      </c>
      <c r="L2365" s="6">
        <f>HYPERLINK("https://fin.land.naver.com/articles/2646669886", "매물Link")</f>
        <v/>
      </c>
      <c r="M2365" s="6">
        <f>HYPERLINK("https://map.naver.com/p/search/세종특별자치시 나성동 829", "지도Link")</f>
        <v/>
      </c>
      <c r="N2365" s="6">
        <f>HYPERLINK("http://www.eum.go.kr/web/ar/lu/luLandDet.jsp?pnu=3611010700108290000&amp;isNoScr=script&amp;mode=search", "토지이음")</f>
        <v/>
      </c>
      <c r="O2365" s="3" t="inlineStr">
        <is>
          <t>뉴태양</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세종특별자치시 나성동 829</t>
        </is>
      </c>
      <c r="B2366" s="3" t="inlineStr">
        <is>
          <t>중심상업지역</t>
        </is>
      </c>
      <c r="C2366" s="3" t="inlineStr">
        <is>
          <t>대</t>
        </is>
      </c>
      <c r="D2366" s="3" t="inlineStr">
        <is>
          <t>전</t>
        </is>
      </c>
      <c r="E2366" s="3" t="inlineStr">
        <is>
          <t>매매</t>
        </is>
      </c>
      <c r="F2366" s="4" t="n">
        <v>50000</v>
      </c>
      <c r="G2366" s="4" t="n">
        <v>1276</v>
      </c>
      <c r="H2366" s="4" t="n">
        <v>386</v>
      </c>
      <c r="I2366" s="5" t="n">
        <v>129.5</v>
      </c>
      <c r="J2366" s="4" t="n">
        <v>747.8</v>
      </c>
      <c r="K2366" s="3" t="inlineStr">
        <is>
          <t>도로접한 농지 매매 투자용 추천 매물</t>
        </is>
      </c>
      <c r="L2366" s="6">
        <f>HYPERLINK("https://fin.land.naver.com/articles/2646053369", "매물Link")</f>
        <v/>
      </c>
      <c r="M2366" s="6">
        <f>HYPERLINK("https://map.naver.com/p/search/세종특별자치시 나성동 829", "지도Link")</f>
        <v/>
      </c>
      <c r="N2366" s="6">
        <f>HYPERLINK("http://www.eum.go.kr/web/ar/lu/luLandDet.jsp?pnu=3611010700108290000&amp;isNoScr=script&amp;mode=search", "토지이음")</f>
        <v/>
      </c>
      <c r="O2366" s="3" t="inlineStr">
        <is>
          <t>삼익</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세종특별자치시 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HYPERLINK("https://map.naver.com/p/search/세종특별자치시 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세종특별자치시 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HYPERLINK("https://map.naver.com/p/search/세종특별자치시 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세종특별자치시 나성동 829</t>
        </is>
      </c>
      <c r="B2369" s="3" t="inlineStr">
        <is>
          <t>중심상업지역</t>
        </is>
      </c>
      <c r="C2369" s="3" t="inlineStr">
        <is>
          <t>대</t>
        </is>
      </c>
      <c r="D2369" s="3" t="inlineStr">
        <is>
          <t>답</t>
        </is>
      </c>
      <c r="E2369" s="3" t="inlineStr">
        <is>
          <t>매매</t>
        </is>
      </c>
      <c r="F2369" s="4" t="n">
        <v>53000</v>
      </c>
      <c r="G2369" s="4" t="n">
        <v>1116</v>
      </c>
      <c r="H2369" s="4" t="n">
        <v>338</v>
      </c>
      <c r="I2369" s="5" t="n">
        <v>156.8</v>
      </c>
      <c r="J2369" s="4" t="n">
        <v>747.8</v>
      </c>
      <c r="K2369" s="3" t="inlineStr">
        <is>
          <t>농지이지만, 위치가 금강뷰를 마주하고 있습니다,</t>
        </is>
      </c>
      <c r="L2369" s="6">
        <f>HYPERLINK("https://fin.land.naver.com/articles/2646187598", "매물Link")</f>
        <v/>
      </c>
      <c r="M2369" s="6">
        <f>HYPERLINK("https://map.naver.com/p/search/세종특별자치시 나성동 829", "지도Link")</f>
        <v/>
      </c>
      <c r="N2369" s="6">
        <f>HYPERLINK("http://www.eum.go.kr/web/ar/lu/luLandDet.jsp?pnu=3611010700108290000&amp;isNoScr=script&amp;mode=search", "토지이음")</f>
        <v/>
      </c>
      <c r="O2369" s="3" t="inlineStr">
        <is>
          <t>하이스트정원</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세종특별자치시 나성동 829</t>
        </is>
      </c>
      <c r="B2370" s="3" t="inlineStr">
        <is>
          <t>중심상업지역</t>
        </is>
      </c>
      <c r="C2370" s="3" t="inlineStr">
        <is>
          <t>대</t>
        </is>
      </c>
      <c r="D2370" s="3" t="inlineStr">
        <is>
          <t>대</t>
        </is>
      </c>
      <c r="E2370" s="3" t="inlineStr">
        <is>
          <t>매매</t>
        </is>
      </c>
      <c r="F2370" s="4" t="n">
        <v>52000</v>
      </c>
      <c r="G2370" s="4" t="n">
        <v>303</v>
      </c>
      <c r="H2370" s="4" t="n">
        <v>92</v>
      </c>
      <c r="I2370" s="5" t="n">
        <v>565.2</v>
      </c>
      <c r="J2370" s="4" t="n">
        <v>747.8</v>
      </c>
      <c r="K2370" s="3" t="inlineStr">
        <is>
          <t>새롬동 한솔동상권과 인접, 도보로 BRT접근가능</t>
        </is>
      </c>
      <c r="L2370" s="6">
        <f>HYPERLINK("https://fin.land.naver.com/articles/2647185321", "매물Link")</f>
        <v/>
      </c>
      <c r="M2370" s="6">
        <f>HYPERLINK("https://map.naver.com/p/search/세종특별자치시 나성동 829", "지도Link")</f>
        <v/>
      </c>
      <c r="N2370" s="6">
        <f>HYPERLINK("http://www.eum.go.kr/web/ar/lu/luLandDet.jsp?pnu=3611010700108290000&amp;isNoScr=script&amp;mode=search", "토지이음")</f>
        <v/>
      </c>
      <c r="O2370" s="3" t="inlineStr">
        <is>
          <t>똑순이</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세종특별자치시 나성동 829</t>
        </is>
      </c>
      <c r="B2371" s="3" t="inlineStr">
        <is>
          <t>중심상업지역</t>
        </is>
      </c>
      <c r="C2371" s="3" t="inlineStr">
        <is>
          <t>대</t>
        </is>
      </c>
      <c r="D2371" s="3" t="inlineStr">
        <is>
          <t>대</t>
        </is>
      </c>
      <c r="E2371" s="3" t="inlineStr">
        <is>
          <t>매매</t>
        </is>
      </c>
      <c r="F2371" s="4" t="n">
        <v>30000</v>
      </c>
      <c r="G2371" s="4" t="n">
        <v>396</v>
      </c>
      <c r="H2371" s="4" t="n">
        <v>120</v>
      </c>
      <c r="I2371" s="5" t="n">
        <v>250</v>
      </c>
      <c r="J2371" s="4" t="n">
        <v>747.8</v>
      </c>
      <c r="K2371" s="3" t="inlineStr">
        <is>
          <t>남리 나대지 급매입니다</t>
        </is>
      </c>
      <c r="L2371" s="6">
        <f>HYPERLINK("https://fin.land.naver.com/articles/2648099694", "매물Link")</f>
        <v/>
      </c>
      <c r="M2371" s="6">
        <f>HYPERLINK("https://map.naver.com/p/search/세종특별자치시 나성동 829", "지도Link")</f>
        <v/>
      </c>
      <c r="N2371" s="6">
        <f>HYPERLINK("http://www.eum.go.kr/web/ar/lu/luLandDet.jsp?pnu=3611010700108290000&amp;isNoScr=script&amp;mode=search", "토지이음")</f>
        <v/>
      </c>
      <c r="O2371" s="3" t="inlineStr">
        <is>
          <t>다원</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세종특별자치시 나성동 829</t>
        </is>
      </c>
      <c r="B2372" s="3" t="inlineStr">
        <is>
          <t>중심상업지역</t>
        </is>
      </c>
      <c r="C2372" s="3" t="inlineStr">
        <is>
          <t>대</t>
        </is>
      </c>
      <c r="D2372" s="3" t="inlineStr">
        <is>
          <t>공장용지</t>
        </is>
      </c>
      <c r="E2372" s="3" t="inlineStr">
        <is>
          <t>매매</t>
        </is>
      </c>
      <c r="F2372" s="4" t="n">
        <v>420000</v>
      </c>
      <c r="G2372" s="4" t="n">
        <v>3489</v>
      </c>
      <c r="H2372" s="4" t="n">
        <v>1055</v>
      </c>
      <c r="I2372" s="5" t="n">
        <v>398.1</v>
      </c>
      <c r="J2372" s="4" t="n">
        <v>747.8</v>
      </c>
      <c r="K2372" s="3" t="inlineStr">
        <is>
          <t>조치원읍 신안리 토지매매</t>
        </is>
      </c>
      <c r="L2372" s="6">
        <f>HYPERLINK("https://fin.land.naver.com/articles/2644127659", "매물Link")</f>
        <v/>
      </c>
      <c r="M2372" s="6">
        <f>HYPERLINK("https://map.naver.com/p/search/세종특별자치시 나성동 829", "지도Link")</f>
        <v/>
      </c>
      <c r="N2372" s="6">
        <f>HYPERLINK("http://www.eum.go.kr/web/ar/lu/luLandDet.jsp?pnu=3611010700108290000&amp;isNoScr=script&amp;mode=search", "토지이음")</f>
        <v/>
      </c>
      <c r="O2372" s="3" t="inlineStr">
        <is>
          <t>가가</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세종특별자치시 나성동 829</t>
        </is>
      </c>
      <c r="B2373" s="3" t="inlineStr">
        <is>
          <t>중심상업지역</t>
        </is>
      </c>
      <c r="C2373" s="3" t="inlineStr">
        <is>
          <t>대</t>
        </is>
      </c>
      <c r="D2373" s="3" t="inlineStr">
        <is>
          <t>공장용지</t>
        </is>
      </c>
      <c r="E2373" s="3" t="inlineStr">
        <is>
          <t>매매</t>
        </is>
      </c>
      <c r="F2373" s="4" t="n">
        <v>300000</v>
      </c>
      <c r="G2373" s="4" t="n">
        <v>2144</v>
      </c>
      <c r="H2373" s="4" t="n">
        <v>649</v>
      </c>
      <c r="I2373" s="5" t="n">
        <v>462.2</v>
      </c>
      <c r="J2373" s="4" t="n">
        <v>747.8</v>
      </c>
      <c r="K2373" s="3" t="inlineStr">
        <is>
          <t>근생추천,조율가,대도로,소방포장도로접,광고효과 좋음.</t>
        </is>
      </c>
      <c r="L2373" s="6">
        <f>HYPERLINK("https://fin.land.naver.com/articles/2646158809", "매물Link")</f>
        <v/>
      </c>
      <c r="M2373" s="6">
        <f>HYPERLINK("https://map.naver.com/p/search/세종특별자치시 나성동 829", "지도Link")</f>
        <v/>
      </c>
      <c r="N2373" s="6">
        <f>HYPERLINK("http://www.eum.go.kr/web/ar/lu/luLandDet.jsp?pnu=3611010700108290000&amp;isNoScr=script&amp;mode=search", "토지이음")</f>
        <v/>
      </c>
      <c r="O2373" s="3" t="inlineStr">
        <is>
          <t>어반통</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세종특별자치시 나성동 829</t>
        </is>
      </c>
      <c r="B2374" s="3" t="inlineStr">
        <is>
          <t>중심상업지역</t>
        </is>
      </c>
      <c r="C2374" s="3" t="inlineStr">
        <is>
          <t>대</t>
        </is>
      </c>
      <c r="D2374" s="3" t="inlineStr">
        <is>
          <t>답</t>
        </is>
      </c>
      <c r="E2374" s="3" t="inlineStr">
        <is>
          <t>매매</t>
        </is>
      </c>
      <c r="F2374" s="4" t="n">
        <v>45000</v>
      </c>
      <c r="G2374" s="4" t="n">
        <v>660</v>
      </c>
      <c r="H2374" s="4" t="n">
        <v>200</v>
      </c>
      <c r="I2374" s="5" t="n">
        <v>225</v>
      </c>
      <c r="J2374" s="4" t="n">
        <v>747.8</v>
      </c>
      <c r="K2374" s="3" t="inlineStr">
        <is>
          <t>아파트인근 전원주택 근생 최적지</t>
        </is>
      </c>
      <c r="L2374" s="6">
        <f>HYPERLINK("https://fin.land.naver.com/articles/2649095475", "매물Link")</f>
        <v/>
      </c>
      <c r="M2374" s="6">
        <f>HYPERLINK("https://map.naver.com/p/search/세종특별자치시 나성동 829", "지도Link")</f>
        <v/>
      </c>
      <c r="N2374" s="6">
        <f>HYPERLINK("http://www.eum.go.kr/web/ar/lu/luLandDet.jsp?pnu=3611010700108290000&amp;isNoScr=script&amp;mode=search", "토지이음")</f>
        <v/>
      </c>
      <c r="O2374" s="3" t="inlineStr">
        <is>
          <t>세종유진</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세종특별자치시 나성동 829</t>
        </is>
      </c>
      <c r="B2375" s="3" t="inlineStr">
        <is>
          <t>중심상업지역</t>
        </is>
      </c>
      <c r="C2375" s="3" t="inlineStr">
        <is>
          <t>대</t>
        </is>
      </c>
      <c r="D2375" s="3" t="inlineStr">
        <is>
          <t>대</t>
        </is>
      </c>
      <c r="E2375" s="3" t="inlineStr">
        <is>
          <t>매매</t>
        </is>
      </c>
      <c r="F2375" s="4" t="n">
        <v>670000</v>
      </c>
      <c r="G2375" s="4" t="n">
        <v>1842</v>
      </c>
      <c r="H2375" s="4" t="n">
        <v>557</v>
      </c>
      <c r="I2375" s="5" t="n">
        <v>1202.9</v>
      </c>
      <c r="J2375" s="4" t="n">
        <v>747.8</v>
      </c>
      <c r="K2375" s="3" t="inlineStr">
        <is>
          <t>최상의 입지조건을 갖춘 국도에 접한 토지</t>
        </is>
      </c>
      <c r="L2375" s="6">
        <f>HYPERLINK("https://fin.land.naver.com/articles/2649471311", "매물Link")</f>
        <v/>
      </c>
      <c r="M2375" s="6">
        <f>HYPERLINK("https://map.naver.com/p/search/세종특별자치시 나성동 829", "지도Link")</f>
        <v/>
      </c>
      <c r="N2375" s="6">
        <f>HYPERLINK("http://www.eum.go.kr/web/ar/lu/luLandDet.jsp?pnu=3611010700108290000&amp;isNoScr=script&amp;mode=search", "토지이음")</f>
        <v/>
      </c>
      <c r="O2375" s="3" t="inlineStr">
        <is>
          <t>다온</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세종특별자치시 나성동 829</t>
        </is>
      </c>
      <c r="B2376" s="3" t="inlineStr">
        <is>
          <t>중심상업지역</t>
        </is>
      </c>
      <c r="C2376" s="3" t="inlineStr">
        <is>
          <t>대</t>
        </is>
      </c>
      <c r="D2376" s="3" t="inlineStr">
        <is>
          <t>전</t>
        </is>
      </c>
      <c r="E2376" s="3" t="inlineStr">
        <is>
          <t>매매</t>
        </is>
      </c>
      <c r="F2376" s="4" t="n">
        <v>107400</v>
      </c>
      <c r="G2376" s="4" t="n">
        <v>1184</v>
      </c>
      <c r="H2376" s="4" t="n">
        <v>358</v>
      </c>
      <c r="I2376" s="5" t="n">
        <v>300</v>
      </c>
      <c r="J2376" s="4" t="n">
        <v>747.8</v>
      </c>
      <c r="K2376" s="3" t="inlineStr">
        <is>
          <t>3필지연접.도로접.계획관리.향후상승요인높은토지.투자용.</t>
        </is>
      </c>
      <c r="L2376" s="6">
        <f>HYPERLINK("https://fin.land.naver.com/articles/2648908733", "매물Link")</f>
        <v/>
      </c>
      <c r="M2376" s="6">
        <f>HYPERLINK("https://map.naver.com/p/search/세종특별자치시 나성동 829", "지도Link")</f>
        <v/>
      </c>
      <c r="N2376" s="6">
        <f>HYPERLINK("http://www.eum.go.kr/web/ar/lu/luLandDet.jsp?pnu=3611010700108290000&amp;isNoScr=script&amp;mode=search", "토지이음")</f>
        <v/>
      </c>
      <c r="O2376" s="3" t="inlineStr">
        <is>
          <t>소담베스트</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세종특별자치시 나성동 829</t>
        </is>
      </c>
      <c r="B2377" s="3" t="inlineStr">
        <is>
          <t>중심상업지역</t>
        </is>
      </c>
      <c r="C2377" s="3" t="inlineStr">
        <is>
          <t>대</t>
        </is>
      </c>
      <c r="D2377" s="3" t="inlineStr">
        <is>
          <t>대</t>
        </is>
      </c>
      <c r="E2377" s="3" t="inlineStr">
        <is>
          <t>매매</t>
        </is>
      </c>
      <c r="F2377" s="4" t="n">
        <v>115000</v>
      </c>
      <c r="G2377" s="4" t="n">
        <v>493</v>
      </c>
      <c r="H2377" s="4" t="n">
        <v>149</v>
      </c>
      <c r="I2377" s="5" t="n">
        <v>771.8</v>
      </c>
      <c r="J2377" s="4" t="n">
        <v>747.8</v>
      </c>
      <c r="K2377" s="3" t="inlineStr">
        <is>
          <t>세종시 소형 토지 매매</t>
        </is>
      </c>
      <c r="L2377" s="6">
        <f>HYPERLINK("https://fin.land.naver.com/articles/2648729865", "매물Link")</f>
        <v/>
      </c>
      <c r="M2377" s="6">
        <f>HYPERLINK("https://map.naver.com/p/search/세종특별자치시 나성동 829", "지도Link")</f>
        <v/>
      </c>
      <c r="N2377" s="6">
        <f>HYPERLINK("http://www.eum.go.kr/web/ar/lu/luLandDet.jsp?pnu=3611010700108290000&amp;isNoScr=script&amp;mode=search", "토지이음")</f>
        <v/>
      </c>
      <c r="O2377" s="3" t="inlineStr">
        <is>
          <t>사거리</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세종특별자치시 나성동 829</t>
        </is>
      </c>
      <c r="B2378" s="3" t="inlineStr">
        <is>
          <t>중심상업지역</t>
        </is>
      </c>
      <c r="C2378" s="3" t="inlineStr">
        <is>
          <t>대</t>
        </is>
      </c>
      <c r="D2378" s="3" t="inlineStr">
        <is>
          <t>대</t>
        </is>
      </c>
      <c r="E2378" s="3" t="inlineStr">
        <is>
          <t>매매</t>
        </is>
      </c>
      <c r="F2378" s="4" t="n">
        <v>115000</v>
      </c>
      <c r="G2378" s="4" t="n">
        <v>305</v>
      </c>
      <c r="H2378" s="4" t="n">
        <v>92</v>
      </c>
      <c r="I2378" s="5" t="n">
        <v>1250</v>
      </c>
      <c r="J2378" s="4" t="n">
        <v>747.8</v>
      </c>
      <c r="K2378" s="3" t="inlineStr">
        <is>
          <t>도담동 말발굽 택지</t>
        </is>
      </c>
      <c r="L2378" s="6">
        <f>HYPERLINK("https://fin.land.naver.com/articles/2645471188", "매물Link")</f>
        <v/>
      </c>
      <c r="M2378" s="6">
        <f>HYPERLINK("https://map.naver.com/p/search/세종특별자치시 나성동 829", "지도Link")</f>
        <v/>
      </c>
      <c r="N2378" s="6">
        <f>HYPERLINK("http://www.eum.go.kr/web/ar/lu/luLandDet.jsp?pnu=3611010700108290000&amp;isNoScr=script&amp;mode=search", "토지이음")</f>
        <v/>
      </c>
      <c r="O2378" s="3" t="inlineStr">
        <is>
          <t>강아지풀</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세종특별자치시 나성동 829</t>
        </is>
      </c>
      <c r="B2379" s="3" t="inlineStr">
        <is>
          <t>중심상업지역</t>
        </is>
      </c>
      <c r="C2379" s="3" t="inlineStr">
        <is>
          <t>대</t>
        </is>
      </c>
      <c r="D2379" s="3" t="inlineStr">
        <is>
          <t>답</t>
        </is>
      </c>
      <c r="E2379" s="3" t="inlineStr">
        <is>
          <t>매매</t>
        </is>
      </c>
      <c r="F2379" s="4" t="n">
        <v>37000</v>
      </c>
      <c r="G2379" s="4" t="n">
        <v>1878</v>
      </c>
      <c r="H2379" s="4" t="n">
        <v>568</v>
      </c>
      <c r="I2379" s="5" t="n">
        <v>65.09999999999999</v>
      </c>
      <c r="J2379" s="4" t="n">
        <v>747.8</v>
      </c>
      <c r="K2379" s="3" t="inlineStr">
        <is>
          <t>주말농장으로 힐링하세요</t>
        </is>
      </c>
      <c r="L2379" s="6">
        <f>HYPERLINK("https://fin.land.naver.com/articles/2647325021", "매물Link")</f>
        <v/>
      </c>
      <c r="M2379" s="6">
        <f>HYPERLINK("https://map.naver.com/p/search/세종특별자치시 나성동 829", "지도Link")</f>
        <v/>
      </c>
      <c r="N2379" s="6">
        <f>HYPERLINK("http://www.eum.go.kr/web/ar/lu/luLandDet.jsp?pnu=3611010700108290000&amp;isNoScr=script&amp;mode=search", "토지이음")</f>
        <v/>
      </c>
      <c r="O2379" s="3" t="inlineStr">
        <is>
          <t>세종멘토</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세종특별자치시 나성동 829</t>
        </is>
      </c>
      <c r="B2380" s="3" t="inlineStr">
        <is>
          <t>중심상업지역</t>
        </is>
      </c>
      <c r="C2380" s="3" t="inlineStr">
        <is>
          <t>대</t>
        </is>
      </c>
      <c r="D2380" s="3" t="inlineStr">
        <is>
          <t>대</t>
        </is>
      </c>
      <c r="E2380" s="3" t="inlineStr">
        <is>
          <t>매매</t>
        </is>
      </c>
      <c r="F2380" s="4" t="n">
        <v>2000000</v>
      </c>
      <c r="G2380" s="4" t="n">
        <v>36763</v>
      </c>
      <c r="H2380" s="4" t="n">
        <v>11121</v>
      </c>
      <c r="I2380" s="5" t="n">
        <v>179.8</v>
      </c>
      <c r="J2380" s="4" t="n">
        <v>747.8</v>
      </c>
      <c r="K2380" s="3" t="inlineStr">
        <is>
          <t>계획관리지역. 총7필지, 토지건물</t>
        </is>
      </c>
      <c r="L2380" s="6">
        <f>HYPERLINK("https://fin.land.naver.com/articles/2649107392", "매물Link")</f>
        <v/>
      </c>
      <c r="M2380" s="6">
        <f>HYPERLINK("https://map.naver.com/p/search/세종특별자치시 나성동 829", "지도Link")</f>
        <v/>
      </c>
      <c r="N2380" s="6">
        <f>HYPERLINK("http://www.eum.go.kr/web/ar/lu/luLandDet.jsp?pnu=3611010700108290000&amp;isNoScr=script&amp;mode=search", "토지이음")</f>
        <v/>
      </c>
      <c r="O2380" s="3" t="inlineStr">
        <is>
          <t>터</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세종특별자치시 나성동 829</t>
        </is>
      </c>
      <c r="B2381" s="3" t="inlineStr">
        <is>
          <t>중심상업지역</t>
        </is>
      </c>
      <c r="C2381" s="3" t="inlineStr">
        <is>
          <t>대</t>
        </is>
      </c>
      <c r="D2381" s="3" t="inlineStr">
        <is>
          <t>대</t>
        </is>
      </c>
      <c r="E2381" s="3" t="inlineStr">
        <is>
          <t>매매</t>
        </is>
      </c>
      <c r="F2381" s="4" t="n">
        <v>2700000</v>
      </c>
      <c r="G2381" s="4" t="n">
        <v>3299</v>
      </c>
      <c r="H2381" s="4" t="n">
        <v>998</v>
      </c>
      <c r="I2381" s="5" t="n">
        <v>2705.4</v>
      </c>
      <c r="J2381" s="4" t="n">
        <v>747.8</v>
      </c>
      <c r="K2381" s="3" t="inlineStr">
        <is>
          <t>일반상업용 나대지</t>
        </is>
      </c>
      <c r="L2381" s="6">
        <f>HYPERLINK("https://fin.land.naver.com/articles/2644423306", "매물Link")</f>
        <v/>
      </c>
      <c r="M2381" s="6">
        <f>HYPERLINK("https://map.naver.com/p/search/세종특별자치시 나성동 829", "지도Link")</f>
        <v/>
      </c>
      <c r="N2381" s="6">
        <f>HYPERLINK("http://www.eum.go.kr/web/ar/lu/luLandDet.jsp?pnu=3611010700108290000&amp;isNoScr=script&amp;mode=search", "토지이음")</f>
        <v/>
      </c>
      <c r="O2381" s="3" t="inlineStr">
        <is>
          <t>세종</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세종특별자치시 나성동 829</t>
        </is>
      </c>
      <c r="B2382" s="3" t="inlineStr">
        <is>
          <t>중심상업지역</t>
        </is>
      </c>
      <c r="C2382" s="3" t="inlineStr">
        <is>
          <t>대</t>
        </is>
      </c>
      <c r="D2382" s="3" t="inlineStr">
        <is>
          <t>대</t>
        </is>
      </c>
      <c r="E2382" s="3" t="inlineStr">
        <is>
          <t>매매</t>
        </is>
      </c>
      <c r="F2382" s="4" t="n">
        <v>51000</v>
      </c>
      <c r="G2382" s="4" t="n">
        <v>2915</v>
      </c>
      <c r="H2382" s="4" t="n">
        <v>882</v>
      </c>
      <c r="I2382" s="5" t="n">
        <v>57.8</v>
      </c>
      <c r="J2382" s="4" t="n">
        <v>747.8</v>
      </c>
      <c r="K2382" s="3" t="inlineStr">
        <is>
          <t>nan</t>
        </is>
      </c>
      <c r="L2382" s="6">
        <f>HYPERLINK("https://fin.land.naver.com/articles/2645605072", "매물Link")</f>
        <v/>
      </c>
      <c r="M2382" s="6">
        <f>HYPERLINK("https://map.naver.com/p/search/세종특별자치시 나성동 829", "지도Link")</f>
        <v/>
      </c>
      <c r="N2382" s="6">
        <f>HYPERLINK("http://www.eum.go.kr/web/ar/lu/luLandDet.jsp?pnu=3611010700108290000&amp;isNoScr=script&amp;mode=search", "토지이음")</f>
        <v/>
      </c>
      <c r="O2382" s="3" t="inlineStr">
        <is>
          <t>세종다정랜드</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세종특별자치시 나성동 829</t>
        </is>
      </c>
      <c r="B2383" s="3" t="inlineStr">
        <is>
          <t>중심상업지역</t>
        </is>
      </c>
      <c r="C2383" s="3" t="inlineStr">
        <is>
          <t>대</t>
        </is>
      </c>
      <c r="D2383" s="3" t="inlineStr">
        <is>
          <t>대</t>
        </is>
      </c>
      <c r="E2383" s="3" t="inlineStr">
        <is>
          <t>매매</t>
        </is>
      </c>
      <c r="F2383" s="4" t="n">
        <v>85000</v>
      </c>
      <c r="G2383" s="4" t="n">
        <v>384</v>
      </c>
      <c r="H2383" s="4" t="n">
        <v>116</v>
      </c>
      <c r="I2383" s="5" t="n">
        <v>732.8</v>
      </c>
      <c r="J2383" s="4" t="n">
        <v>747.8</v>
      </c>
      <c r="K2383" s="3" t="inlineStr">
        <is>
          <t>세종시 아름동</t>
        </is>
      </c>
      <c r="L2383" s="6">
        <f>HYPERLINK("https://fin.land.naver.com/articles/2647900371", "매물Link")</f>
        <v/>
      </c>
      <c r="M2383" s="6">
        <f>HYPERLINK("https://map.naver.com/p/search/세종특별자치시 나성동 829", "지도Link")</f>
        <v/>
      </c>
      <c r="N2383" s="6">
        <f>HYPERLINK("http://www.eum.go.kr/web/ar/lu/luLandDet.jsp?pnu=3611010700108290000&amp;isNoScr=script&amp;mode=search", "토지이음")</f>
        <v/>
      </c>
      <c r="O2383" s="3" t="inlineStr">
        <is>
          <t>아름</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세종특별자치시 나성동 829</t>
        </is>
      </c>
      <c r="B2384" s="3" t="inlineStr">
        <is>
          <t>중심상업지역</t>
        </is>
      </c>
      <c r="C2384" s="3" t="inlineStr">
        <is>
          <t>대</t>
        </is>
      </c>
      <c r="D2384" s="3" t="inlineStr">
        <is>
          <t>대</t>
        </is>
      </c>
      <c r="E2384" s="3" t="inlineStr">
        <is>
          <t>매매</t>
        </is>
      </c>
      <c r="F2384" s="4" t="n">
        <v>70000</v>
      </c>
      <c r="G2384" s="4" t="n">
        <v>321</v>
      </c>
      <c r="H2384" s="4" t="n">
        <v>97</v>
      </c>
      <c r="I2384" s="5" t="n">
        <v>721.6</v>
      </c>
      <c r="J2384" s="4" t="n">
        <v>747.8</v>
      </c>
      <c r="K2384" s="3" t="inlineStr">
        <is>
          <t>전원주택용지 .남향. 종촌동.아름동 상권 이용이 편리한 위치</t>
        </is>
      </c>
      <c r="L2384" s="6">
        <f>HYPERLINK("https://fin.land.naver.com/articles/2645947175", "매물Link")</f>
        <v/>
      </c>
      <c r="M2384" s="6">
        <f>HYPERLINK("https://map.naver.com/p/search/세종특별자치시 나성동 829", "지도Link")</f>
        <v/>
      </c>
      <c r="N2384" s="6">
        <f>HYPERLINK("http://www.eum.go.kr/web/ar/lu/luLandDet.jsp?pnu=3611010700108290000&amp;isNoScr=script&amp;mode=search", "토지이음")</f>
        <v/>
      </c>
      <c r="O2384" s="3" t="inlineStr">
        <is>
          <t>한양랜드</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세종특별자치시 나성동 829</t>
        </is>
      </c>
      <c r="B2385" s="3" t="inlineStr">
        <is>
          <t>중심상업지역</t>
        </is>
      </c>
      <c r="C2385" s="3" t="inlineStr">
        <is>
          <t>대</t>
        </is>
      </c>
      <c r="D2385" s="3" t="inlineStr">
        <is>
          <t>답</t>
        </is>
      </c>
      <c r="E2385" s="3" t="inlineStr">
        <is>
          <t>매매</t>
        </is>
      </c>
      <c r="F2385" s="4" t="n">
        <v>38000</v>
      </c>
      <c r="G2385" s="4" t="n">
        <v>1170</v>
      </c>
      <c r="H2385" s="4" t="n">
        <v>354</v>
      </c>
      <c r="I2385" s="5" t="n">
        <v>107.3</v>
      </c>
      <c r="J2385" s="4" t="n">
        <v>747.8</v>
      </c>
      <c r="K2385" s="3" t="inlineStr">
        <is>
          <t>급매 농업보호구역  아스팔트</t>
        </is>
      </c>
      <c r="L2385" s="6">
        <f>HYPERLINK("https://fin.land.naver.com/articles/2646109656", "매물Link")</f>
        <v/>
      </c>
      <c r="M2385" s="6">
        <f>HYPERLINK("https://map.naver.com/p/search/세종특별자치시 나성동 829", "지도Link")</f>
        <v/>
      </c>
      <c r="N2385" s="6">
        <f>HYPERLINK("http://www.eum.go.kr/web/ar/lu/luLandDet.jsp?pnu=3611010700108290000&amp;isNoScr=script&amp;mode=search", "토지이음")</f>
        <v/>
      </c>
      <c r="O2385" s="3" t="inlineStr">
        <is>
          <t>THE행복</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세종특별자치시 나성동 829</t>
        </is>
      </c>
      <c r="B2386" s="3" t="inlineStr">
        <is>
          <t>중심상업지역</t>
        </is>
      </c>
      <c r="C2386" s="3" t="inlineStr">
        <is>
          <t>대</t>
        </is>
      </c>
      <c r="D2386" s="3" t="inlineStr">
        <is>
          <t>전</t>
        </is>
      </c>
      <c r="E2386" s="3" t="inlineStr">
        <is>
          <t>매매</t>
        </is>
      </c>
      <c r="F2386" s="4" t="n">
        <v>115500</v>
      </c>
      <c r="G2386" s="4" t="n">
        <v>1193</v>
      </c>
      <c r="H2386" s="4" t="n">
        <v>361</v>
      </c>
      <c r="I2386" s="5" t="n">
        <v>319.9</v>
      </c>
      <c r="J2386" s="4" t="n">
        <v>747.8</v>
      </c>
      <c r="K2386" s="3" t="inlineStr">
        <is>
          <t>Point 국유지 구거, 도로 접하고 모양 좋음</t>
        </is>
      </c>
      <c r="L2386" s="6">
        <f>HYPERLINK("https://fin.land.naver.com/articles/2647900379", "매물Link")</f>
        <v/>
      </c>
      <c r="M2386" s="6">
        <f>HYPERLINK("https://map.naver.com/p/search/세종특별자치시 나성동 829", "지도Link")</f>
        <v/>
      </c>
      <c r="N2386" s="6">
        <f>HYPERLINK("http://www.eum.go.kr/web/ar/lu/luLandDet.jsp?pnu=3611010700108290000&amp;isNoScr=script&amp;mode=search", "토지이음")</f>
        <v/>
      </c>
      <c r="O2386" s="3" t="inlineStr">
        <is>
          <t>도마호반</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세종특별자치시 나성동 829</t>
        </is>
      </c>
      <c r="B2387" s="3" t="inlineStr">
        <is>
          <t>중심상업지역</t>
        </is>
      </c>
      <c r="C2387" s="3" t="inlineStr">
        <is>
          <t>대</t>
        </is>
      </c>
      <c r="D2387" s="3" t="inlineStr">
        <is>
          <t>답</t>
        </is>
      </c>
      <c r="E2387" s="3" t="inlineStr">
        <is>
          <t>매매</t>
        </is>
      </c>
      <c r="F2387" s="4" t="n">
        <v>70000</v>
      </c>
      <c r="G2387" s="4" t="n">
        <v>1477</v>
      </c>
      <c r="H2387" s="4" t="n">
        <v>447</v>
      </c>
      <c r="I2387" s="5" t="n">
        <v>156.6</v>
      </c>
      <c r="J2387" s="4" t="n">
        <v>747.8</v>
      </c>
      <c r="K2387" s="3" t="inlineStr">
        <is>
          <t>급매 2차선도로에 접한 토지, 세종시3분거리,투자가치</t>
        </is>
      </c>
      <c r="L2387" s="6">
        <f>HYPERLINK("https://fin.land.naver.com/articles/2645699157", "매물Link")</f>
        <v/>
      </c>
      <c r="M2387" s="6">
        <f>HYPERLINK("https://map.naver.com/p/search/세종특별자치시 나성동 829", "지도Link")</f>
        <v/>
      </c>
      <c r="N2387" s="6">
        <f>HYPERLINK("http://www.eum.go.kr/web/ar/lu/luLandDet.jsp?pnu=3611010700108290000&amp;isNoScr=script&amp;mode=search", "토지이음")</f>
        <v/>
      </c>
      <c r="O2387" s="3" t="inlineStr">
        <is>
          <t>다정</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세종특별자치시 나성동 829</t>
        </is>
      </c>
      <c r="B2388" s="3" t="inlineStr">
        <is>
          <t>중심상업지역</t>
        </is>
      </c>
      <c r="C2388" s="3" t="inlineStr">
        <is>
          <t>대</t>
        </is>
      </c>
      <c r="D2388" s="3" t="inlineStr">
        <is>
          <t>대</t>
        </is>
      </c>
      <c r="E2388" s="3" t="inlineStr">
        <is>
          <t>매매</t>
        </is>
      </c>
      <c r="F2388" s="4" t="n">
        <v>80000</v>
      </c>
      <c r="G2388" s="4" t="n">
        <v>386</v>
      </c>
      <c r="H2388" s="4" t="n">
        <v>117</v>
      </c>
      <c r="I2388" s="5" t="n">
        <v>683.8</v>
      </c>
      <c r="J2388" s="4" t="n">
        <v>747.8</v>
      </c>
      <c r="K2388" s="3" t="inlineStr">
        <is>
          <t>타운하우스 내 토지. 공원 산책로 상업지역 인접</t>
        </is>
      </c>
      <c r="L2388" s="6">
        <f>HYPERLINK("https://fin.land.naver.com/articles/2644763300", "매물Link")</f>
        <v/>
      </c>
      <c r="M2388" s="6">
        <f>HYPERLINK("https://map.naver.com/p/search/세종특별자치시 나성동 829", "지도Link")</f>
        <v/>
      </c>
      <c r="N2388" s="6">
        <f>HYPERLINK("http://www.eum.go.kr/web/ar/lu/luLandDet.jsp?pnu=3611010700108290000&amp;isNoScr=script&amp;mode=search", "토지이음")</f>
        <v/>
      </c>
      <c r="O2388" s="3" t="inlineStr">
        <is>
          <t>세종해비치</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세종특별자치시 나성동 829</t>
        </is>
      </c>
      <c r="B2389" s="3" t="inlineStr">
        <is>
          <t>중심상업지역</t>
        </is>
      </c>
      <c r="C2389" s="3" t="inlineStr">
        <is>
          <t>대</t>
        </is>
      </c>
      <c r="D2389" s="3" t="inlineStr">
        <is>
          <t>대</t>
        </is>
      </c>
      <c r="E2389" s="3" t="inlineStr">
        <is>
          <t>매매</t>
        </is>
      </c>
      <c r="F2389" s="4" t="n">
        <v>60000</v>
      </c>
      <c r="G2389" s="4" t="n">
        <v>355</v>
      </c>
      <c r="H2389" s="4" t="n">
        <v>107</v>
      </c>
      <c r="I2389" s="5" t="n">
        <v>560.7</v>
      </c>
      <c r="J2389" s="4" t="n">
        <v>747.8</v>
      </c>
      <c r="K2389" s="3" t="inlineStr">
        <is>
          <t>nan</t>
        </is>
      </c>
      <c r="L2389" s="6">
        <f>HYPERLINK("https://fin.land.naver.com/articles/2647071665", "매물Link")</f>
        <v/>
      </c>
      <c r="M2389" s="6">
        <f>HYPERLINK("https://map.naver.com/p/search/세종특별자치시 나성동 829", "지도Link")</f>
        <v/>
      </c>
      <c r="N2389" s="6">
        <f>HYPERLINK("http://www.eum.go.kr/web/ar/lu/luLandDet.jsp?pnu=3611010700108290000&amp;isNoScr=script&amp;mode=search", "토지이음")</f>
        <v/>
      </c>
      <c r="O2389" s="3" t="inlineStr">
        <is>
          <t>세종리더스</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세종특별자치시 나성동 829</t>
        </is>
      </c>
      <c r="B2390" s="3" t="inlineStr">
        <is>
          <t>중심상업지역</t>
        </is>
      </c>
      <c r="C2390" s="3" t="inlineStr">
        <is>
          <t>대</t>
        </is>
      </c>
      <c r="D2390" s="3" t="inlineStr">
        <is>
          <t>대</t>
        </is>
      </c>
      <c r="E2390" s="3" t="inlineStr">
        <is>
          <t>매매</t>
        </is>
      </c>
      <c r="F2390" s="4" t="n">
        <v>51500</v>
      </c>
      <c r="G2390" s="4" t="n">
        <v>341</v>
      </c>
      <c r="H2390" s="4" t="n">
        <v>103</v>
      </c>
      <c r="I2390" s="5" t="n">
        <v>500</v>
      </c>
      <c r="J2390" s="4" t="n">
        <v>747.8</v>
      </c>
      <c r="K2390" s="3" t="inlineStr">
        <is>
          <t>급매.고운동 중심상권인접.초중 도보거리</t>
        </is>
      </c>
      <c r="L2390" s="6">
        <f>HYPERLINK("https://fin.land.naver.com/articles/2647444976", "매물Link")</f>
        <v/>
      </c>
      <c r="M2390" s="6">
        <f>HYPERLINK("https://map.naver.com/p/search/세종특별자치시 나성동 829", "지도Link")</f>
        <v/>
      </c>
      <c r="N2390" s="6">
        <f>HYPERLINK("http://www.eum.go.kr/web/ar/lu/luLandDet.jsp?pnu=3611010700108290000&amp;isNoScr=script&amp;mode=search", "토지이음")</f>
        <v/>
      </c>
      <c r="O2390" s="3" t="inlineStr">
        <is>
          <t>킹</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세종특별자치시 나성동 829</t>
        </is>
      </c>
      <c r="B2391" s="3" t="inlineStr">
        <is>
          <t>중심상업지역</t>
        </is>
      </c>
      <c r="C2391" s="3" t="inlineStr">
        <is>
          <t>대</t>
        </is>
      </c>
      <c r="D2391" s="3" t="inlineStr">
        <is>
          <t>대</t>
        </is>
      </c>
      <c r="E2391" s="3" t="inlineStr">
        <is>
          <t>매매</t>
        </is>
      </c>
      <c r="F2391" s="4" t="n">
        <v>100000</v>
      </c>
      <c r="G2391" s="4" t="n">
        <v>409</v>
      </c>
      <c r="H2391" s="4" t="n">
        <v>124</v>
      </c>
      <c r="I2391" s="5" t="n">
        <v>806.5</v>
      </c>
      <c r="J2391" s="4" t="n">
        <v>747.8</v>
      </c>
      <c r="K2391" s="3" t="inlineStr">
        <is>
          <t>15m접 근린생활 상가건물 가능</t>
        </is>
      </c>
      <c r="L2391" s="6">
        <f>HYPERLINK("https://fin.land.naver.com/articles/2649139560", "매물Link")</f>
        <v/>
      </c>
      <c r="M2391" s="6">
        <f>HYPERLINK("https://map.naver.com/p/search/세종특별자치시 나성동 829", "지도Link")</f>
        <v/>
      </c>
      <c r="N2391" s="6">
        <f>HYPERLINK("http://www.eum.go.kr/web/ar/lu/luLandDet.jsp?pnu=3611010700108290000&amp;isNoScr=script&amp;mode=search", "토지이음")</f>
        <v/>
      </c>
      <c r="O2391" s="3" t="inlineStr">
        <is>
          <t>평원</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세종특별자치시 나성동 829</t>
        </is>
      </c>
      <c r="B2392" s="3" t="inlineStr">
        <is>
          <t>중심상업지역</t>
        </is>
      </c>
      <c r="C2392" s="3" t="inlineStr">
        <is>
          <t>대</t>
        </is>
      </c>
      <c r="D2392" s="3" t="inlineStr">
        <is>
          <t>대</t>
        </is>
      </c>
      <c r="E2392" s="3" t="inlineStr">
        <is>
          <t>매매</t>
        </is>
      </c>
      <c r="F2392" s="4" t="n">
        <v>60000</v>
      </c>
      <c r="G2392" s="4" t="n">
        <v>362</v>
      </c>
      <c r="H2392" s="4" t="n">
        <v>110</v>
      </c>
      <c r="I2392" s="5" t="n">
        <v>545.5</v>
      </c>
      <c r="J2392" s="4" t="n">
        <v>747.8</v>
      </c>
      <c r="K2392" s="3" t="inlineStr">
        <is>
          <t>고운동 단독주택 택지 매매.</t>
        </is>
      </c>
      <c r="L2392" s="6">
        <f>HYPERLINK("https://fin.land.naver.com/articles/2645771407", "매물Link")</f>
        <v/>
      </c>
      <c r="M2392" s="6">
        <f>HYPERLINK("https://map.naver.com/p/search/세종특별자치시 나성동 829", "지도Link")</f>
        <v/>
      </c>
      <c r="N2392" s="6">
        <f>HYPERLINK("http://www.eum.go.kr/web/ar/lu/luLandDet.jsp?pnu=3611010700108290000&amp;isNoScr=script&amp;mode=search", "토지이음")</f>
        <v/>
      </c>
      <c r="O2392" s="3" t="inlineStr">
        <is>
          <t>세종강산</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세종특별자치시 나성동 829</t>
        </is>
      </c>
      <c r="B2393" s="3" t="inlineStr">
        <is>
          <t>중심상업지역</t>
        </is>
      </c>
      <c r="C2393" s="3" t="inlineStr">
        <is>
          <t>대</t>
        </is>
      </c>
      <c r="D2393" s="3" t="inlineStr">
        <is>
          <t>대</t>
        </is>
      </c>
      <c r="E2393" s="3" t="inlineStr">
        <is>
          <t>매매</t>
        </is>
      </c>
      <c r="F2393" s="4" t="n">
        <v>52000</v>
      </c>
      <c r="G2393" s="4" t="n">
        <v>342</v>
      </c>
      <c r="H2393" s="4" t="n">
        <v>103</v>
      </c>
      <c r="I2393" s="5" t="n">
        <v>504.9</v>
      </c>
      <c r="J2393" s="4" t="n">
        <v>747.8</v>
      </c>
      <c r="K2393" s="3" t="inlineStr">
        <is>
          <t>편의시설 가까운 주택용지 조율가능</t>
        </is>
      </c>
      <c r="L2393" s="6">
        <f>HYPERLINK("https://fin.land.naver.com/articles/2644884025", "매물Link")</f>
        <v/>
      </c>
      <c r="M2393" s="6">
        <f>HYPERLINK("https://map.naver.com/p/search/세종특별자치시 나성동 829", "지도Link")</f>
        <v/>
      </c>
      <c r="N2393" s="6">
        <f>HYPERLINK("http://www.eum.go.kr/web/ar/lu/luLandDet.jsp?pnu=3611010700108290000&amp;isNoScr=script&amp;mode=search", "토지이음")</f>
        <v/>
      </c>
      <c r="O2393" s="3" t="inlineStr">
        <is>
          <t>킹</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세종특별자치시 나성동 829</t>
        </is>
      </c>
      <c r="B2394" s="3" t="inlineStr">
        <is>
          <t>중심상업지역</t>
        </is>
      </c>
      <c r="C2394" s="3" t="inlineStr">
        <is>
          <t>대</t>
        </is>
      </c>
      <c r="D2394" s="3" t="inlineStr">
        <is>
          <t>대</t>
        </is>
      </c>
      <c r="E2394" s="3" t="inlineStr">
        <is>
          <t>매매</t>
        </is>
      </c>
      <c r="F2394" s="4" t="n">
        <v>45000</v>
      </c>
      <c r="G2394" s="4" t="n">
        <v>337</v>
      </c>
      <c r="H2394" s="4" t="n">
        <v>102</v>
      </c>
      <c r="I2394" s="5" t="n">
        <v>441.2</v>
      </c>
      <c r="J2394" s="4" t="n">
        <v>747.8</v>
      </c>
      <c r="K2394" s="3" t="inlineStr">
        <is>
          <t>구옥철거 후 공장창고 신축가능 코너각지 토지모양 좋음 공업지역</t>
        </is>
      </c>
      <c r="L2394" s="6">
        <f>HYPERLINK("https://fin.land.naver.com/articles/2645274621", "매물Link")</f>
        <v/>
      </c>
      <c r="M2394" s="6">
        <f>HYPERLINK("https://map.naver.com/p/search/세종특별자치시 나성동 829", "지도Link")</f>
        <v/>
      </c>
      <c r="N2394" s="6">
        <f>HYPERLINK("http://www.eum.go.kr/web/ar/lu/luLandDet.jsp?pnu=3611010700108290000&amp;isNoScr=script&amp;mode=search", "토지이음")</f>
        <v/>
      </c>
      <c r="O2394" s="3" t="inlineStr">
        <is>
          <t>태영컨설팅</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세종특별자치시 나성동 829</t>
        </is>
      </c>
      <c r="B2395" s="3" t="inlineStr">
        <is>
          <t>중심상업지역</t>
        </is>
      </c>
      <c r="C2395" s="3" t="inlineStr">
        <is>
          <t>대</t>
        </is>
      </c>
      <c r="D2395" s="3" t="inlineStr">
        <is>
          <t>전</t>
        </is>
      </c>
      <c r="E2395" s="3" t="inlineStr">
        <is>
          <t>매매</t>
        </is>
      </c>
      <c r="F2395" s="4" t="n">
        <v>420000</v>
      </c>
      <c r="G2395" s="4" t="n">
        <v>2245</v>
      </c>
      <c r="H2395" s="4" t="n">
        <v>679</v>
      </c>
      <c r="I2395" s="5" t="n">
        <v>618.6</v>
      </c>
      <c r="J2395" s="4" t="n">
        <v>747.8</v>
      </c>
      <c r="K2395" s="3" t="inlineStr">
        <is>
          <t>조치원청사뒤,주변아파트단지</t>
        </is>
      </c>
      <c r="L2395" s="6">
        <f>HYPERLINK("https://fin.land.naver.com/articles/2646854755", "매물Link")</f>
        <v/>
      </c>
      <c r="M2395" s="6">
        <f>HYPERLINK("https://map.naver.com/p/search/세종특별자치시 나성동 829", "지도Link")</f>
        <v/>
      </c>
      <c r="N2395" s="6">
        <f>HYPERLINK("http://www.eum.go.kr/web/ar/lu/luLandDet.jsp?pnu=3611010700108290000&amp;isNoScr=script&amp;mode=search", "토지이음")</f>
        <v/>
      </c>
      <c r="O2395" s="3" t="inlineStr">
        <is>
          <t>아름다운</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세종특별자치시 나성동 829</t>
        </is>
      </c>
      <c r="B2396" s="3" t="inlineStr">
        <is>
          <t>중심상업지역</t>
        </is>
      </c>
      <c r="C2396" s="3" t="inlineStr">
        <is>
          <t>대</t>
        </is>
      </c>
      <c r="D2396" s="3" t="inlineStr">
        <is>
          <t>답</t>
        </is>
      </c>
      <c r="E2396" s="3" t="inlineStr">
        <is>
          <t>매매</t>
        </is>
      </c>
      <c r="F2396" s="4" t="n">
        <v>745800</v>
      </c>
      <c r="G2396" s="4" t="n">
        <v>6271</v>
      </c>
      <c r="H2396" s="4" t="n">
        <v>1897</v>
      </c>
      <c r="I2396" s="5" t="n">
        <v>393.1</v>
      </c>
      <c r="J2396" s="4" t="n">
        <v>747.8</v>
      </c>
      <c r="K2396" s="3" t="inlineStr">
        <is>
          <t>nan</t>
        </is>
      </c>
      <c r="L2396" s="6">
        <f>HYPERLINK("https://fin.land.naver.com/articles/2645398684", "매물Link")</f>
        <v/>
      </c>
      <c r="M2396" s="6">
        <f>HYPERLINK("https://map.naver.com/p/search/세종특별자치시 나성동 829", "지도Link")</f>
        <v/>
      </c>
      <c r="N2396" s="6">
        <f>HYPERLINK("http://www.eum.go.kr/web/ar/lu/luLandDet.jsp?pnu=3611010700108290000&amp;isNoScr=script&amp;mode=search", "토지이음")</f>
        <v/>
      </c>
      <c r="O2396" s="3" t="inlineStr">
        <is>
          <t>운산</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세종특별자치시 나성동 829</t>
        </is>
      </c>
      <c r="B2397" s="3" t="inlineStr">
        <is>
          <t>중심상업지역</t>
        </is>
      </c>
      <c r="C2397" s="3" t="inlineStr">
        <is>
          <t>대</t>
        </is>
      </c>
      <c r="D2397" s="3" t="inlineStr">
        <is>
          <t>대</t>
        </is>
      </c>
      <c r="E2397" s="3" t="inlineStr">
        <is>
          <t>매매</t>
        </is>
      </c>
      <c r="F2397" s="4" t="n">
        <v>30000</v>
      </c>
      <c r="G2397" s="4" t="n">
        <v>353</v>
      </c>
      <c r="H2397" s="4" t="n">
        <v>107</v>
      </c>
      <c r="I2397" s="5" t="n">
        <v>280.4</v>
      </c>
      <c r="J2397" s="4" t="n">
        <v>747.8</v>
      </c>
      <c r="K2397" s="3" t="inlineStr">
        <is>
          <t>급. 금남면 두만리 주택지</t>
        </is>
      </c>
      <c r="L2397" s="6">
        <f>HYPERLINK("https://fin.land.naver.com/articles/2645479280", "매물Link")</f>
        <v/>
      </c>
      <c r="M2397" s="6">
        <f>HYPERLINK("https://map.naver.com/p/search/세종특별자치시 나성동 829", "지도Link")</f>
        <v/>
      </c>
      <c r="N2397" s="6">
        <f>HYPERLINK("http://www.eum.go.kr/web/ar/lu/luLandDet.jsp?pnu=3611010700108290000&amp;isNoScr=script&amp;mode=search", "토지이음")</f>
        <v/>
      </c>
      <c r="O2397" s="3" t="inlineStr">
        <is>
          <t>강아지풀</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세종특별자치시 나성동 829</t>
        </is>
      </c>
      <c r="B2398" s="3" t="inlineStr">
        <is>
          <t>중심상업지역</t>
        </is>
      </c>
      <c r="C2398" s="3" t="inlineStr">
        <is>
          <t>대</t>
        </is>
      </c>
      <c r="D2398" s="3" t="inlineStr">
        <is>
          <t>임야</t>
        </is>
      </c>
      <c r="E2398" s="3" t="inlineStr">
        <is>
          <t>매매</t>
        </is>
      </c>
      <c r="F2398" s="4" t="n">
        <v>98000</v>
      </c>
      <c r="G2398" s="4" t="n">
        <v>9006</v>
      </c>
      <c r="H2398" s="4" t="n">
        <v>2724</v>
      </c>
      <c r="I2398" s="5" t="n">
        <v>36</v>
      </c>
      <c r="J2398" s="4" t="n">
        <v>747.8</v>
      </c>
      <c r="K2398" s="3" t="inlineStr">
        <is>
          <t>원봉리 보전관리 토지매매</t>
        </is>
      </c>
      <c r="L2398" s="6">
        <f>HYPERLINK("https://fin.land.naver.com/articles/2644651330", "매물Link")</f>
        <v/>
      </c>
      <c r="M2398" s="6">
        <f>HYPERLINK("https://map.naver.com/p/search/세종특별자치시 나성동 829", "지도Link")</f>
        <v/>
      </c>
      <c r="N2398" s="6">
        <f>HYPERLINK("http://www.eum.go.kr/web/ar/lu/luLandDet.jsp?pnu=3611010700108290000&amp;isNoScr=script&amp;mode=search", "토지이음")</f>
        <v/>
      </c>
      <c r="O2398" s="3" t="inlineStr">
        <is>
          <t>국제</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세종특별자치시 나성동 829</t>
        </is>
      </c>
      <c r="B2399" s="3" t="inlineStr">
        <is>
          <t>중심상업지역</t>
        </is>
      </c>
      <c r="C2399" s="3" t="inlineStr">
        <is>
          <t>대</t>
        </is>
      </c>
      <c r="D2399" s="3" t="inlineStr">
        <is>
          <t>답</t>
        </is>
      </c>
      <c r="E2399" s="3" t="inlineStr">
        <is>
          <t>매매</t>
        </is>
      </c>
      <c r="F2399" s="4" t="n">
        <v>151000</v>
      </c>
      <c r="G2399" s="4" t="n">
        <v>4975</v>
      </c>
      <c r="H2399" s="4" t="n">
        <v>1505</v>
      </c>
      <c r="I2399" s="5" t="n">
        <v>100.3</v>
      </c>
      <c r="J2399" s="4" t="n">
        <v>747.8</v>
      </c>
      <c r="K2399" s="3" t="inlineStr">
        <is>
          <t>세종시 금남면 축산리 마을도로접한 예쁜토지</t>
        </is>
      </c>
      <c r="L2399" s="6">
        <f>HYPERLINK("https://fin.land.naver.com/articles/2644609839", "매물Link")</f>
        <v/>
      </c>
      <c r="M2399" s="6">
        <f>HYPERLINK("https://map.naver.com/p/search/세종특별자치시 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세종특별자치시 나성동 829</t>
        </is>
      </c>
      <c r="B2400" s="3" t="inlineStr">
        <is>
          <t>중심상업지역</t>
        </is>
      </c>
      <c r="C2400" s="3" t="inlineStr">
        <is>
          <t>대</t>
        </is>
      </c>
      <c r="D2400" s="3" t="inlineStr">
        <is>
          <t>전</t>
        </is>
      </c>
      <c r="E2400" s="3" t="inlineStr">
        <is>
          <t>매매</t>
        </is>
      </c>
      <c r="F2400" s="4" t="n">
        <v>39900</v>
      </c>
      <c r="G2400" s="4" t="n">
        <v>941</v>
      </c>
      <c r="H2400" s="4" t="n">
        <v>285</v>
      </c>
      <c r="I2400" s="5" t="n">
        <v>140</v>
      </c>
      <c r="J2400" s="4" t="n">
        <v>747.8</v>
      </c>
      <c r="K2400" s="3" t="inlineStr">
        <is>
          <t>세종 시내 가까운 토지 주변과 같이 개발하면 좋아요</t>
        </is>
      </c>
      <c r="L2400" s="6">
        <f>HYPERLINK("https://fin.land.naver.com/articles/2644607118", "매물Link")</f>
        <v/>
      </c>
      <c r="M2400" s="6">
        <f>HYPERLINK("https://map.naver.com/p/search/세종특별자치시 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세종특별자치시 나성동 829</t>
        </is>
      </c>
      <c r="B2401" s="3" t="inlineStr">
        <is>
          <t>중심상업지역</t>
        </is>
      </c>
      <c r="C2401" s="3" t="inlineStr">
        <is>
          <t>대</t>
        </is>
      </c>
      <c r="D2401" s="3" t="inlineStr">
        <is>
          <t>임야</t>
        </is>
      </c>
      <c r="E2401" s="3" t="inlineStr">
        <is>
          <t>매매</t>
        </is>
      </c>
      <c r="F2401" s="4" t="n">
        <v>36000</v>
      </c>
      <c r="G2401" s="4" t="n">
        <v>3967</v>
      </c>
      <c r="H2401" s="4" t="n">
        <v>1200</v>
      </c>
      <c r="I2401" s="5" t="n">
        <v>30</v>
      </c>
      <c r="J2401" s="4" t="n">
        <v>747.8</v>
      </c>
      <c r="K2401" s="3" t="inlineStr">
        <is>
          <t>세종역 예정지 바로 옆에 있는 토지</t>
        </is>
      </c>
      <c r="L2401" s="6">
        <f>HYPERLINK("https://fin.land.naver.com/articles/2644606548", "매물Link")</f>
        <v/>
      </c>
      <c r="M2401" s="6">
        <f>HYPERLINK("https://map.naver.com/p/search/세종특별자치시 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세종특별자치시 나성동 829</t>
        </is>
      </c>
      <c r="B2402" s="3" t="inlineStr">
        <is>
          <t>중심상업지역</t>
        </is>
      </c>
      <c r="C2402" s="3" t="inlineStr">
        <is>
          <t>대</t>
        </is>
      </c>
      <c r="D2402" s="3" t="inlineStr">
        <is>
          <t>대</t>
        </is>
      </c>
      <c r="E2402" s="3" t="inlineStr">
        <is>
          <t>매매</t>
        </is>
      </c>
      <c r="F2402" s="4" t="n">
        <v>40100</v>
      </c>
      <c r="G2402" s="4" t="n">
        <v>386</v>
      </c>
      <c r="H2402" s="4" t="n">
        <v>117</v>
      </c>
      <c r="I2402" s="5" t="n">
        <v>342.7</v>
      </c>
      <c r="J2402" s="4" t="n">
        <v>747.8</v>
      </c>
      <c r="K2402" s="3" t="inlineStr">
        <is>
          <t>세종시 행복도시 근접지역
위치 좋은 작은 전원주택지</t>
        </is>
      </c>
      <c r="L2402" s="6">
        <f>HYPERLINK("https://fin.land.naver.com/articles/2644606195", "매물Link")</f>
        <v/>
      </c>
      <c r="M2402" s="6">
        <f>HYPERLINK("https://map.naver.com/p/search/세종특별자치시 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세종특별자치시 나성동 829</t>
        </is>
      </c>
      <c r="B2403" s="3" t="inlineStr">
        <is>
          <t>중심상업지역</t>
        </is>
      </c>
      <c r="C2403" s="3" t="inlineStr">
        <is>
          <t>대</t>
        </is>
      </c>
      <c r="D2403" s="3" t="inlineStr">
        <is>
          <t>대</t>
        </is>
      </c>
      <c r="E2403" s="3" t="inlineStr">
        <is>
          <t>매매</t>
        </is>
      </c>
      <c r="F2403" s="4" t="n">
        <v>35000</v>
      </c>
      <c r="G2403" s="4" t="n">
        <v>613</v>
      </c>
      <c r="H2403" s="4" t="n">
        <v>185</v>
      </c>
      <c r="I2403" s="5" t="n">
        <v>189.2</v>
      </c>
      <c r="J2403" s="4" t="n">
        <v>747.8</v>
      </c>
      <c r="K2403" s="3" t="inlineStr">
        <is>
          <t>전원단지내 맨 앞 토지로 가장 좋아요</t>
        </is>
      </c>
      <c r="L2403" s="6">
        <f>HYPERLINK("https://fin.land.naver.com/articles/2644606083", "매물Link")</f>
        <v/>
      </c>
      <c r="M2403" s="6">
        <f>HYPERLINK("https://map.naver.com/p/search/세종특별자치시 나성동 829", "지도Link")</f>
        <v/>
      </c>
      <c r="N2403" s="6">
        <f>HYPERLINK("http://www.eum.go.kr/web/ar/lu/luLandDet.jsp?pnu=3611010700108290000&amp;isNoScr=script&amp;mode=search", "토지이음")</f>
        <v/>
      </c>
      <c r="O2403" s="3" t="inlineStr">
        <is>
          <t>하늘채</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세종특별자치시 나성동 829</t>
        </is>
      </c>
      <c r="B2404" s="3" t="inlineStr">
        <is>
          <t>중심상업지역</t>
        </is>
      </c>
      <c r="C2404" s="3" t="inlineStr">
        <is>
          <t>대</t>
        </is>
      </c>
      <c r="D2404" s="3" t="inlineStr">
        <is>
          <t>임야</t>
        </is>
      </c>
      <c r="E2404" s="3" t="inlineStr">
        <is>
          <t>매매</t>
        </is>
      </c>
      <c r="F2404" s="4" t="n">
        <v>20000</v>
      </c>
      <c r="G2404" s="4" t="n">
        <v>9788</v>
      </c>
      <c r="H2404" s="4" t="n">
        <v>2961</v>
      </c>
      <c r="I2404" s="5" t="n">
        <v>6.8</v>
      </c>
      <c r="J2404" s="4" t="n">
        <v>747.8</v>
      </c>
      <c r="K2404" s="3" t="inlineStr">
        <is>
          <t>nan</t>
        </is>
      </c>
      <c r="L2404" s="6">
        <f>HYPERLINK("https://fin.land.naver.com/articles/2644445908", "매물Link")</f>
        <v/>
      </c>
      <c r="M2404" s="6">
        <f>HYPERLINK("https://map.naver.com/p/search/세종특별자치시 나성동 829", "지도Link")</f>
        <v/>
      </c>
      <c r="N2404" s="6">
        <f>HYPERLINK("http://www.eum.go.kr/web/ar/lu/luLandDet.jsp?pnu=3611010700108290000&amp;isNoScr=script&amp;mode=search", "토지이음")</f>
        <v/>
      </c>
      <c r="O2404" s="3" t="inlineStr">
        <is>
          <t>바른</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세종특별자치시 나성동 829</t>
        </is>
      </c>
      <c r="B2405" s="3" t="inlineStr">
        <is>
          <t>중심상업지역</t>
        </is>
      </c>
      <c r="C2405" s="3" t="inlineStr">
        <is>
          <t>대</t>
        </is>
      </c>
      <c r="D2405" s="3" t="inlineStr">
        <is>
          <t>전</t>
        </is>
      </c>
      <c r="E2405" s="3" t="inlineStr">
        <is>
          <t>매매</t>
        </is>
      </c>
      <c r="F2405" s="4" t="n">
        <v>32500</v>
      </c>
      <c r="G2405" s="4" t="n">
        <v>827</v>
      </c>
      <c r="H2405" s="4" t="n">
        <v>250</v>
      </c>
      <c r="I2405" s="5" t="n">
        <v>130</v>
      </c>
      <c r="J2405" s="4" t="n">
        <v>747.8</v>
      </c>
      <c r="K2405" s="3" t="inlineStr">
        <is>
          <t>계획관리 남향 전원주택부지 추천</t>
        </is>
      </c>
      <c r="L2405" s="6">
        <f>HYPERLINK("https://fin.land.naver.com/articles/2644413650", "매물Link")</f>
        <v/>
      </c>
      <c r="M2405" s="6">
        <f>HYPERLINK("https://map.naver.com/p/search/세종특별자치시 나성동 829", "지도Link")</f>
        <v/>
      </c>
      <c r="N2405" s="6">
        <f>HYPERLINK("http://www.eum.go.kr/web/ar/lu/luLandDet.jsp?pnu=3611010700108290000&amp;isNoScr=script&amp;mode=search", "토지이음")</f>
        <v/>
      </c>
      <c r="O2405" s="3" t="inlineStr">
        <is>
          <t>로데오상가</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세종특별자치시 나성동 829</t>
        </is>
      </c>
      <c r="B2406" s="3" t="inlineStr">
        <is>
          <t>중심상업지역</t>
        </is>
      </c>
      <c r="C2406" s="3" t="inlineStr">
        <is>
          <t>대</t>
        </is>
      </c>
      <c r="D2406" s="3" t="inlineStr">
        <is>
          <t>공장용지</t>
        </is>
      </c>
      <c r="E2406" s="3" t="inlineStr">
        <is>
          <t>매매</t>
        </is>
      </c>
      <c r="F2406" s="4" t="n">
        <v>441000</v>
      </c>
      <c r="G2406" s="4" t="n">
        <v>1892</v>
      </c>
      <c r="H2406" s="4" t="n">
        <v>572</v>
      </c>
      <c r="I2406" s="5" t="n">
        <v>771</v>
      </c>
      <c r="J2406" s="4" t="n">
        <v>747.8</v>
      </c>
      <c r="K2406" s="3" t="inlineStr">
        <is>
          <t>국도1호6차선에 허가된 가감차선과 진입로가 확보되어 상업지로 최상</t>
        </is>
      </c>
      <c r="L2406" s="6">
        <f>HYPERLINK("https://fin.land.naver.com/articles/2645954678", "매물Link")</f>
        <v/>
      </c>
      <c r="M2406" s="6">
        <f>HYPERLINK("https://map.naver.com/p/search/세종특별자치시 나성동 829", "지도Link")</f>
        <v/>
      </c>
      <c r="N2406" s="6">
        <f>HYPERLINK("http://www.eum.go.kr/web/ar/lu/luLandDet.jsp?pnu=3611010700108290000&amp;isNoScr=script&amp;mode=search", "토지이음")</f>
        <v/>
      </c>
      <c r="O2406" s="3" t="inlineStr">
        <is>
          <t>온누리</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세종특별자치시 나성동 829</t>
        </is>
      </c>
      <c r="B2407" s="3" t="inlineStr">
        <is>
          <t>중심상업지역</t>
        </is>
      </c>
      <c r="C2407" s="3" t="inlineStr">
        <is>
          <t>대</t>
        </is>
      </c>
      <c r="D2407" s="3" t="inlineStr">
        <is>
          <t>전</t>
        </is>
      </c>
      <c r="E2407" s="3" t="inlineStr">
        <is>
          <t>매매</t>
        </is>
      </c>
      <c r="F2407" s="4" t="n">
        <v>46000</v>
      </c>
      <c r="G2407" s="4" t="n">
        <v>1126</v>
      </c>
      <c r="H2407" s="4" t="n">
        <v>341</v>
      </c>
      <c r="I2407" s="5" t="n">
        <v>134.9</v>
      </c>
      <c r="J2407" s="4" t="n">
        <v>747.8</v>
      </c>
      <c r="K2407" s="3" t="inlineStr">
        <is>
          <t>현재 무허가주택있음. 동호인 전원주택지로 최적합, 가격 저렴.</t>
        </is>
      </c>
      <c r="L2407" s="6">
        <f>HYPERLINK("https://fin.land.naver.com/articles/2646358164", "매물Link")</f>
        <v/>
      </c>
      <c r="M2407" s="6">
        <f>HYPERLINK("https://map.naver.com/p/search/세종특별자치시 나성동 829", "지도Link")</f>
        <v/>
      </c>
      <c r="N2407" s="6">
        <f>HYPERLINK("http://www.eum.go.kr/web/ar/lu/luLandDet.jsp?pnu=3611010700108290000&amp;isNoScr=script&amp;mode=search", "토지이음")</f>
        <v/>
      </c>
      <c r="O2407" s="3" t="inlineStr">
        <is>
          <t>뉴탑</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세종특별자치시 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HYPERLINK("https://map.naver.com/p/search/세종특별자치시 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세종특별자치시 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HYPERLINK("https://map.naver.com/p/search/세종특별자치시 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세종특별자치시 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HYPERLINK("https://map.naver.com/p/search/세종특별자치시 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세종특별자치시 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HYPERLINK("https://map.naver.com/p/search/세종특별자치시 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세종특별자치시 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HYPERLINK("https://map.naver.com/p/search/세종특별자치시 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세종특별자치시 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HYPERLINK("https://map.naver.com/p/search/세종특별자치시 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세종특별자치시 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HYPERLINK("https://map.naver.com/p/search/세종특별자치시 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세종특별자치시 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HYPERLINK("https://map.naver.com/p/search/세종특별자치시 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세종특별자치시 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HYPERLINK("https://map.naver.com/p/search/세종특별자치시 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세종특별자치시 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HYPERLINK("https://map.naver.com/p/search/세종특별자치시 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세종특별자치시 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HYPERLINK("https://map.naver.com/p/search/세종특별자치시 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세종특별자치시 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HYPERLINK("https://map.naver.com/p/search/세종특별자치시 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세종특별자치시 나성동 829</t>
        </is>
      </c>
      <c r="B2420" s="3" t="inlineStr">
        <is>
          <t>중심상업지역</t>
        </is>
      </c>
      <c r="C2420" s="3" t="inlineStr">
        <is>
          <t>대</t>
        </is>
      </c>
      <c r="D2420" s="3" t="inlineStr">
        <is>
          <t>과수원</t>
        </is>
      </c>
      <c r="E2420" s="3" t="inlineStr">
        <is>
          <t>매매</t>
        </is>
      </c>
      <c r="F2420" s="4" t="n">
        <v>339000</v>
      </c>
      <c r="G2420" s="4" t="n">
        <v>2237</v>
      </c>
      <c r="H2420" s="4" t="n">
        <v>677</v>
      </c>
      <c r="I2420" s="5" t="n">
        <v>500.7</v>
      </c>
      <c r="J2420" s="4" t="n">
        <v>747.8</v>
      </c>
      <c r="K2420" s="3" t="inlineStr">
        <is>
          <t>nan</t>
        </is>
      </c>
      <c r="L2420" s="6">
        <f>HYPERLINK("https://fin.land.naver.com/articles/2645042761", "매물Link")</f>
        <v/>
      </c>
      <c r="M2420" s="6">
        <f>HYPERLINK("https://map.naver.com/p/search/세종특별자치시 나성동 829", "지도Link")</f>
        <v/>
      </c>
      <c r="N2420" s="6">
        <f>HYPERLINK("http://www.eum.go.kr/web/ar/lu/luLandDet.jsp?pnu=3611010700108290000&amp;isNoScr=script&amp;mode=search", "토지이음")</f>
        <v/>
      </c>
      <c r="O2420" s="3" t="inlineStr">
        <is>
          <t>번암주공</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세종특별자치시 나성동 829</t>
        </is>
      </c>
      <c r="B2421" s="3" t="inlineStr">
        <is>
          <t>중심상업지역</t>
        </is>
      </c>
      <c r="C2421" s="3" t="inlineStr">
        <is>
          <t>대</t>
        </is>
      </c>
      <c r="D2421" s="3" t="inlineStr">
        <is>
          <t>대</t>
        </is>
      </c>
      <c r="E2421" s="3" t="inlineStr">
        <is>
          <t>매매</t>
        </is>
      </c>
      <c r="F2421" s="4" t="n">
        <v>88500</v>
      </c>
      <c r="G2421" s="4" t="n">
        <v>488</v>
      </c>
      <c r="H2421" s="4" t="n">
        <v>148</v>
      </c>
      <c r="I2421" s="5" t="n">
        <v>598</v>
      </c>
      <c r="J2421" s="4" t="n">
        <v>747.8</v>
      </c>
      <c r="K2421" s="3" t="inlineStr">
        <is>
          <t>넓은 평수 청주대전 세종 교통이 편리 조용하고 앞으로 부촌이 될자리</t>
        </is>
      </c>
      <c r="L2421" s="6">
        <f>HYPERLINK("https://fin.land.naver.com/articles/2647655795", "매물Link")</f>
        <v/>
      </c>
      <c r="M2421" s="6">
        <f>HYPERLINK("https://map.naver.com/p/search/세종특별자치시 나성동 829", "지도Link")</f>
        <v/>
      </c>
      <c r="N2421" s="6">
        <f>HYPERLINK("http://www.eum.go.kr/web/ar/lu/luLandDet.jsp?pnu=3611010700108290000&amp;isNoScr=script&amp;mode=search", "토지이음")</f>
        <v/>
      </c>
      <c r="O2421" s="3" t="inlineStr">
        <is>
          <t>세종OK</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세종특별자치시 나성동 829</t>
        </is>
      </c>
      <c r="B2422" s="3" t="inlineStr">
        <is>
          <t>중심상업지역</t>
        </is>
      </c>
      <c r="C2422" s="3" t="inlineStr">
        <is>
          <t>대</t>
        </is>
      </c>
      <c r="D2422" s="3" t="inlineStr">
        <is>
          <t>대</t>
        </is>
      </c>
      <c r="E2422" s="3" t="inlineStr">
        <is>
          <t>매매</t>
        </is>
      </c>
      <c r="F2422" s="4" t="n">
        <v>81690</v>
      </c>
      <c r="G2422" s="4" t="n">
        <v>310</v>
      </c>
      <c r="H2422" s="4" t="n">
        <v>94</v>
      </c>
      <c r="I2422" s="5" t="n">
        <v>869</v>
      </c>
      <c r="J2422" s="4" t="n">
        <v>747.8</v>
      </c>
      <c r="K2422" s="3" t="inlineStr">
        <is>
          <t>눈에 띄는 대로변에 위치,양면도로 물린,가설계 뛰어남</t>
        </is>
      </c>
      <c r="L2422" s="6">
        <f>HYPERLINK("https://fin.land.naver.com/articles/2645115906", "매물Link")</f>
        <v/>
      </c>
      <c r="M2422" s="6">
        <f>HYPERLINK("https://map.naver.com/p/search/세종특별자치시 나성동 829", "지도Link")</f>
        <v/>
      </c>
      <c r="N2422" s="6">
        <f>HYPERLINK("http://www.eum.go.kr/web/ar/lu/luLandDet.jsp?pnu=3611010700108290000&amp;isNoScr=script&amp;mode=search", "토지이음")</f>
        <v/>
      </c>
      <c r="O2422" s="3" t="inlineStr">
        <is>
          <t>오투꿈무소</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세종특별자치시 나성동 829</t>
        </is>
      </c>
      <c r="B2423" s="3" t="inlineStr">
        <is>
          <t>중심상업지역</t>
        </is>
      </c>
      <c r="C2423" s="3" t="inlineStr">
        <is>
          <t>대</t>
        </is>
      </c>
      <c r="D2423" s="3" t="inlineStr">
        <is>
          <t>전</t>
        </is>
      </c>
      <c r="E2423" s="3" t="inlineStr">
        <is>
          <t>매매</t>
        </is>
      </c>
      <c r="F2423" s="4" t="n">
        <v>300000</v>
      </c>
      <c r="G2423" s="4" t="n">
        <v>2719</v>
      </c>
      <c r="H2423" s="4" t="n">
        <v>822</v>
      </c>
      <c r="I2423" s="5" t="n">
        <v>365</v>
      </c>
      <c r="J2423" s="4" t="n">
        <v>747.8</v>
      </c>
      <c r="K2423" s="3" t="inlineStr">
        <is>
          <t>17번 국도에 접한 자연녹지로 판매시설 전시장 추천함</t>
        </is>
      </c>
      <c r="L2423" s="6">
        <f>HYPERLINK("https://fin.land.naver.com/articles/2646452250", "매물Link")</f>
        <v/>
      </c>
      <c r="M2423" s="6">
        <f>HYPERLINK("https://map.naver.com/p/search/세종특별자치시 나성동 829", "지도Link")</f>
        <v/>
      </c>
      <c r="N2423" s="6">
        <f>HYPERLINK("http://www.eum.go.kr/web/ar/lu/luLandDet.jsp?pnu=3611010700108290000&amp;isNoScr=script&amp;mode=search", "토지이음")</f>
        <v/>
      </c>
      <c r="O2423" s="3" t="inlineStr">
        <is>
          <t>금정</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세종특별자치시 나성동 829</t>
        </is>
      </c>
      <c r="B2424" s="3" t="inlineStr">
        <is>
          <t>중심상업지역</t>
        </is>
      </c>
      <c r="C2424" s="3" t="inlineStr">
        <is>
          <t>대</t>
        </is>
      </c>
      <c r="D2424" s="3" t="inlineStr">
        <is>
          <t>대</t>
        </is>
      </c>
      <c r="E2424" s="3" t="inlineStr">
        <is>
          <t>매매</t>
        </is>
      </c>
      <c r="F2424" s="4" t="n">
        <v>250000</v>
      </c>
      <c r="G2424" s="4" t="n">
        <v>1027</v>
      </c>
      <c r="H2424" s="4" t="n">
        <v>311</v>
      </c>
      <c r="I2424" s="5" t="n">
        <v>803.9</v>
      </c>
      <c r="J2424" s="4" t="n">
        <v>747.8</v>
      </c>
      <c r="K2424" s="3" t="inlineStr">
        <is>
          <t>대로변 요지 전시매장 상가건물 카페 등 전시효과 좋아 다양용도 활용 가능</t>
        </is>
      </c>
      <c r="L2424" s="6">
        <f>HYPERLINK("https://fin.land.naver.com/articles/2649343843", "매물Link")</f>
        <v/>
      </c>
      <c r="M2424" s="6">
        <f>HYPERLINK("https://map.naver.com/p/search/세종특별자치시 나성동 829", "지도Link")</f>
        <v/>
      </c>
      <c r="N2424" s="6">
        <f>HYPERLINK("http://www.eum.go.kr/web/ar/lu/luLandDet.jsp?pnu=3611010700108290000&amp;isNoScr=script&amp;mode=search", "토지이음")</f>
        <v/>
      </c>
      <c r="O2424" s="3" t="inlineStr">
        <is>
          <t>뉴태양</t>
        </is>
      </c>
      <c r="P2424" s="3" t="n">
        <v>1</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세종특별자치시 나성동 829</t>
        </is>
      </c>
      <c r="B2425" s="3" t="inlineStr">
        <is>
          <t>중심상업지역</t>
        </is>
      </c>
      <c r="C2425" s="3" t="inlineStr">
        <is>
          <t>대</t>
        </is>
      </c>
      <c r="D2425" s="3" t="inlineStr">
        <is>
          <t>대</t>
        </is>
      </c>
      <c r="E2425" s="3" t="inlineStr">
        <is>
          <t>매매</t>
        </is>
      </c>
      <c r="F2425" s="4" t="n">
        <v>240000</v>
      </c>
      <c r="G2425" s="4" t="n">
        <v>1578</v>
      </c>
      <c r="H2425" s="4" t="n">
        <v>477</v>
      </c>
      <c r="I2425" s="5" t="n">
        <v>503.1</v>
      </c>
      <c r="J2425" s="4" t="n">
        <v>747.8</v>
      </c>
      <c r="K2425" s="3" t="inlineStr">
        <is>
          <t>대화1, 2공단 내 신축공장용 토지로 접근성이 뛰어남</t>
        </is>
      </c>
      <c r="L2425" s="6">
        <f>HYPERLINK("https://fin.land.naver.com/articles/2648136564", "매물Link")</f>
        <v/>
      </c>
      <c r="M2425" s="6">
        <f>HYPERLINK("https://map.naver.com/p/search/세종특별자치시 나성동 829", "지도Link")</f>
        <v/>
      </c>
      <c r="N2425" s="6">
        <f>HYPERLINK("http://www.eum.go.kr/web/ar/lu/luLandDet.jsp?pnu=3611010700108290000&amp;isNoScr=script&amp;mode=search", "토지이음")</f>
        <v/>
      </c>
      <c r="O2425" s="3" t="inlineStr">
        <is>
          <t>지운</t>
        </is>
      </c>
      <c r="P2425" s="3" t="n">
        <v>2</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세종특별자치시 나성동 829</t>
        </is>
      </c>
      <c r="B2426" s="3" t="inlineStr">
        <is>
          <t>중심상업지역</t>
        </is>
      </c>
      <c r="C2426" s="3" t="inlineStr">
        <is>
          <t>대</t>
        </is>
      </c>
      <c r="D2426" s="3" t="inlineStr">
        <is>
          <t>전</t>
        </is>
      </c>
      <c r="E2426" s="3" t="inlineStr">
        <is>
          <t>매매</t>
        </is>
      </c>
      <c r="F2426" s="4" t="n">
        <v>123000</v>
      </c>
      <c r="G2426" s="4" t="n">
        <v>429</v>
      </c>
      <c r="H2426" s="4" t="n">
        <v>130</v>
      </c>
      <c r="I2426" s="5" t="n">
        <v>946.2</v>
      </c>
      <c r="J2426" s="4" t="n">
        <v>747.8</v>
      </c>
      <c r="K2426" s="3" t="inlineStr">
        <is>
          <t>2027,5월 인근 신축아파트 입주, 병원,기타 운동시설,적합</t>
        </is>
      </c>
      <c r="L2426" s="6">
        <f>HYPERLINK("https://fin.land.naver.com/articles/2649538911", "매물Link")</f>
        <v/>
      </c>
      <c r="M2426" s="6">
        <f>HYPERLINK("https://map.naver.com/p/search/세종특별자치시 나성동 829", "지도Link")</f>
        <v/>
      </c>
      <c r="N2426" s="6">
        <f>HYPERLINK("http://www.eum.go.kr/web/ar/lu/luLandDet.jsp?pnu=3611010700108290000&amp;isNoScr=script&amp;mode=search", "토지이음")</f>
        <v/>
      </c>
      <c r="O2426" s="3" t="inlineStr">
        <is>
          <t>한국 사무소</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세종특별자치시 나성동 829</t>
        </is>
      </c>
      <c r="B2427" s="3" t="inlineStr">
        <is>
          <t>중심상업지역</t>
        </is>
      </c>
      <c r="C2427" s="3" t="inlineStr">
        <is>
          <t>대</t>
        </is>
      </c>
      <c r="D2427" s="3" t="inlineStr">
        <is>
          <t>대</t>
        </is>
      </c>
      <c r="E2427" s="3" t="inlineStr">
        <is>
          <t>매매</t>
        </is>
      </c>
      <c r="F2427" s="4" t="n">
        <v>30000</v>
      </c>
      <c r="G2427" s="4" t="n">
        <v>165</v>
      </c>
      <c r="H2427" s="4" t="n">
        <v>50</v>
      </c>
      <c r="I2427" s="5" t="n">
        <v>600</v>
      </c>
      <c r="J2427" s="4" t="n">
        <v>747.8</v>
      </c>
      <c r="K2427" s="3" t="inlineStr">
        <is>
          <t>nan</t>
        </is>
      </c>
      <c r="L2427" s="6">
        <f>HYPERLINK("https://fin.land.naver.com/articles/2648948540", "매물Link")</f>
        <v/>
      </c>
      <c r="M2427" s="6">
        <f>HYPERLINK("https://map.naver.com/p/search/세종특별자치시 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세종특별자치시 나성동 829</t>
        </is>
      </c>
      <c r="B2428" s="3" t="inlineStr">
        <is>
          <t>중심상업지역</t>
        </is>
      </c>
      <c r="C2428" s="3" t="inlineStr">
        <is>
          <t>대</t>
        </is>
      </c>
      <c r="D2428" s="3" t="inlineStr">
        <is>
          <t>전</t>
        </is>
      </c>
      <c r="E2428" s="3" t="inlineStr">
        <is>
          <t>매매</t>
        </is>
      </c>
      <c r="F2428" s="4" t="n">
        <v>23000</v>
      </c>
      <c r="G2428" s="4" t="n">
        <v>80</v>
      </c>
      <c r="H2428" s="4" t="n">
        <v>24</v>
      </c>
      <c r="I2428" s="5" t="n">
        <v>958.3</v>
      </c>
      <c r="J2428" s="4" t="n">
        <v>747.8</v>
      </c>
      <c r="K2428" s="3" t="inlineStr">
        <is>
          <t>nan</t>
        </is>
      </c>
      <c r="L2428" s="6">
        <f>HYPERLINK("https://fin.land.naver.com/articles/2648799002", "매물Link")</f>
        <v/>
      </c>
      <c r="M2428" s="6">
        <f>HYPERLINK("https://map.naver.com/p/search/세종특별자치시 나성동 829", "지도Link")</f>
        <v/>
      </c>
      <c r="N2428" s="6">
        <f>HYPERLINK("http://www.eum.go.kr/web/ar/lu/luLandDet.jsp?pnu=3611010700108290000&amp;isNoScr=script&amp;mode=search", "토지이음")</f>
        <v/>
      </c>
      <c r="O2428" s="3" t="inlineStr">
        <is>
          <t>가나</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세종특별자치시 나성동 829</t>
        </is>
      </c>
      <c r="B2429" s="3" t="inlineStr">
        <is>
          <t>중심상업지역</t>
        </is>
      </c>
      <c r="C2429" s="3" t="inlineStr">
        <is>
          <t>대</t>
        </is>
      </c>
      <c r="D2429" s="3" t="inlineStr">
        <is>
          <t>대</t>
        </is>
      </c>
      <c r="E2429" s="3" t="inlineStr">
        <is>
          <t>매매</t>
        </is>
      </c>
      <c r="F2429" s="4" t="n">
        <v>240000</v>
      </c>
      <c r="G2429" s="4" t="n">
        <v>1578</v>
      </c>
      <c r="H2429" s="4" t="n">
        <v>477</v>
      </c>
      <c r="I2429" s="5" t="n">
        <v>503.1</v>
      </c>
      <c r="J2429" s="4" t="n">
        <v>747.8</v>
      </c>
      <c r="K2429" s="3" t="inlineStr">
        <is>
          <t>nan</t>
        </is>
      </c>
      <c r="L2429" s="6">
        <f>HYPERLINK("https://fin.land.naver.com/articles/2645687281", "매물Link")</f>
        <v/>
      </c>
      <c r="M2429" s="6">
        <f>HYPERLINK("https://map.naver.com/p/search/세종특별자치시 나성동 829", "지도Link")</f>
        <v/>
      </c>
      <c r="N2429" s="6">
        <f>HYPERLINK("http://www.eum.go.kr/web/ar/lu/luLandDet.jsp?pnu=3611010700108290000&amp;isNoScr=script&amp;mode=search", "토지이음")</f>
        <v/>
      </c>
      <c r="O2429" s="3" t="inlineStr">
        <is>
          <t>모아</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세종특별자치시 나성동 829</t>
        </is>
      </c>
      <c r="B2430" s="3" t="inlineStr">
        <is>
          <t>중심상업지역</t>
        </is>
      </c>
      <c r="C2430" s="3" t="inlineStr">
        <is>
          <t>대</t>
        </is>
      </c>
      <c r="D2430" s="3" t="inlineStr">
        <is>
          <t>공장용지</t>
        </is>
      </c>
      <c r="E2430" s="3" t="inlineStr">
        <is>
          <t>매매</t>
        </is>
      </c>
      <c r="F2430" s="4" t="n">
        <v>210000</v>
      </c>
      <c r="G2430" s="4" t="n">
        <v>1011</v>
      </c>
      <c r="H2430" s="4" t="n">
        <v>306</v>
      </c>
      <c r="I2430" s="5" t="n">
        <v>686.3</v>
      </c>
      <c r="J2430" s="4" t="n">
        <v>747.8</v>
      </c>
      <c r="K2430" s="3" t="inlineStr">
        <is>
          <t>위치 좋음 각지에 있는 땅 다양한 업종 가능</t>
        </is>
      </c>
      <c r="L2430" s="6">
        <f>HYPERLINK("https://fin.land.naver.com/articles/2646174443", "매물Link")</f>
        <v/>
      </c>
      <c r="M2430" s="6">
        <f>HYPERLINK("https://map.naver.com/p/search/세종특별자치시 나성동 829", "지도Link")</f>
        <v/>
      </c>
      <c r="N2430" s="6">
        <f>HYPERLINK("http://www.eum.go.kr/web/ar/lu/luLandDet.jsp?pnu=3611010700108290000&amp;isNoScr=script&amp;mode=search", "토지이음")</f>
        <v/>
      </c>
      <c r="O2430" s="3" t="inlineStr">
        <is>
          <t>삼익</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세종특별자치시 나성동 829</t>
        </is>
      </c>
      <c r="B2431" s="3" t="inlineStr">
        <is>
          <t>중심상업지역</t>
        </is>
      </c>
      <c r="C2431" s="3" t="inlineStr">
        <is>
          <t>대</t>
        </is>
      </c>
      <c r="D2431" s="3" t="inlineStr">
        <is>
          <t>대</t>
        </is>
      </c>
      <c r="E2431" s="3" t="inlineStr">
        <is>
          <t>매매</t>
        </is>
      </c>
      <c r="F2431" s="4" t="n">
        <v>19200</v>
      </c>
      <c r="G2431" s="4" t="n">
        <v>179</v>
      </c>
      <c r="H2431" s="4" t="n">
        <v>54</v>
      </c>
      <c r="I2431" s="5" t="n">
        <v>355.6</v>
      </c>
      <c r="J2431" s="4" t="n">
        <v>747.8</v>
      </c>
      <c r="K2431" s="3" t="inlineStr">
        <is>
          <t>급매 계족산자락 교통편리하고 경관 좋은 대지 전원주택 텃밭 투자용 최상</t>
        </is>
      </c>
      <c r="L2431" s="6">
        <f>HYPERLINK("https://fin.land.naver.com/articles/2648972674", "매물Link")</f>
        <v/>
      </c>
      <c r="M2431" s="6">
        <f>HYPERLINK("https://map.naver.com/p/search/세종특별자치시 나성동 829", "지도Link")</f>
        <v/>
      </c>
      <c r="N2431" s="6">
        <f>HYPERLINK("http://www.eum.go.kr/web/ar/lu/luLandDet.jsp?pnu=3611010700108290000&amp;isNoScr=script&amp;mode=search", "토지이음")</f>
        <v/>
      </c>
      <c r="O2431" s="3" t="inlineStr">
        <is>
          <t>뉴태양</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세종특별자치시 나성동 829</t>
        </is>
      </c>
      <c r="B2432" s="3" t="inlineStr">
        <is>
          <t>중심상업지역</t>
        </is>
      </c>
      <c r="C2432" s="3" t="inlineStr">
        <is>
          <t>대</t>
        </is>
      </c>
      <c r="D2432" s="3" t="inlineStr">
        <is>
          <t>대</t>
        </is>
      </c>
      <c r="E2432" s="3" t="inlineStr">
        <is>
          <t>매매</t>
        </is>
      </c>
      <c r="F2432" s="4" t="n">
        <v>37000</v>
      </c>
      <c r="G2432" s="4" t="n">
        <v>488</v>
      </c>
      <c r="H2432" s="4" t="n">
        <v>148</v>
      </c>
      <c r="I2432" s="5" t="n">
        <v>250</v>
      </c>
      <c r="J2432" s="4" t="n">
        <v>747.8</v>
      </c>
      <c r="K2432" s="3" t="inlineStr">
        <is>
          <t>Point 회덕IC, 충청광역철도 회덕역 주변 단독주택 신축, 투자용</t>
        </is>
      </c>
      <c r="L2432" s="6">
        <f>HYPERLINK("https://fin.land.naver.com/articles/2644916283", "매물Link")</f>
        <v/>
      </c>
      <c r="M2432" s="6">
        <f>HYPERLINK("https://map.naver.com/p/search/세종특별자치시 나성동 829", "지도Link")</f>
        <v/>
      </c>
      <c r="N2432" s="6">
        <f>HYPERLINK("http://www.eum.go.kr/web/ar/lu/luLandDet.jsp?pnu=3611010700108290000&amp;isNoScr=script&amp;mode=search", "토지이음")</f>
        <v/>
      </c>
      <c r="O2432" s="3" t="inlineStr">
        <is>
          <t>도마호반</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세종특별자치시 나성동 829</t>
        </is>
      </c>
      <c r="B2433" s="3" t="inlineStr">
        <is>
          <t>중심상업지역</t>
        </is>
      </c>
      <c r="C2433" s="3" t="inlineStr">
        <is>
          <t>대</t>
        </is>
      </c>
      <c r="D2433" s="3" t="inlineStr">
        <is>
          <t>대</t>
        </is>
      </c>
      <c r="E2433" s="3" t="inlineStr">
        <is>
          <t>매매</t>
        </is>
      </c>
      <c r="F2433" s="4" t="n">
        <v>22000</v>
      </c>
      <c r="G2433" s="4" t="n">
        <v>247</v>
      </c>
      <c r="H2433" s="4" t="n">
        <v>75</v>
      </c>
      <c r="I2433" s="5" t="n">
        <v>293.3</v>
      </c>
      <c r="J2433" s="4" t="n">
        <v>747.8</v>
      </c>
      <c r="K2433" s="3" t="inlineStr">
        <is>
          <t>접근 용이하고 일반주택, 전원주택 가능합니다.</t>
        </is>
      </c>
      <c r="L2433" s="6">
        <f>HYPERLINK("https://fin.land.naver.com/articles/2645696866", "매물Link")</f>
        <v/>
      </c>
      <c r="M2433" s="6">
        <f>HYPERLINK("https://map.naver.com/p/search/세종특별자치시 나성동 829", "지도Link")</f>
        <v/>
      </c>
      <c r="N2433" s="6">
        <f>HYPERLINK("http://www.eum.go.kr/web/ar/lu/luLandDet.jsp?pnu=3611010700108290000&amp;isNoScr=script&amp;mode=search", "토지이음")</f>
        <v/>
      </c>
      <c r="O2433" s="3" t="inlineStr">
        <is>
          <t>이재욱</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세종특별자치시 나성동 829</t>
        </is>
      </c>
      <c r="B2434" s="3" t="inlineStr">
        <is>
          <t>중심상업지역</t>
        </is>
      </c>
      <c r="C2434" s="3" t="inlineStr">
        <is>
          <t>대</t>
        </is>
      </c>
      <c r="D2434" s="3" t="inlineStr">
        <is>
          <t>대</t>
        </is>
      </c>
      <c r="E2434" s="3" t="inlineStr">
        <is>
          <t>매매</t>
        </is>
      </c>
      <c r="F2434" s="4" t="n">
        <v>39000</v>
      </c>
      <c r="G2434" s="4" t="n">
        <v>196</v>
      </c>
      <c r="H2434" s="4" t="n">
        <v>59</v>
      </c>
      <c r="I2434" s="5" t="n">
        <v>661</v>
      </c>
      <c r="J2434" s="4" t="n">
        <v>747.8</v>
      </c>
      <c r="K2434" s="3" t="inlineStr">
        <is>
          <t>8m도로 접한 나대지</t>
        </is>
      </c>
      <c r="L2434" s="6">
        <f>HYPERLINK("https://fin.land.naver.com/articles/2649007960", "매물Link")</f>
        <v/>
      </c>
      <c r="M2434" s="6">
        <f>HYPERLINK("https://map.naver.com/p/search/세종특별자치시 나성동 829", "지도Link")</f>
        <v/>
      </c>
      <c r="N2434" s="6">
        <f>HYPERLINK("http://www.eum.go.kr/web/ar/lu/luLandDet.jsp?pnu=3611010700108290000&amp;isNoScr=script&amp;mode=search", "토지이음")</f>
        <v/>
      </c>
      <c r="O2434" s="3" t="inlineStr">
        <is>
          <t>원호</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세종특별자치시 나성동 829</t>
        </is>
      </c>
      <c r="B2435" s="3" t="inlineStr">
        <is>
          <t>중심상업지역</t>
        </is>
      </c>
      <c r="C2435" s="3" t="inlineStr">
        <is>
          <t>대</t>
        </is>
      </c>
      <c r="D2435" s="3" t="inlineStr">
        <is>
          <t>대</t>
        </is>
      </c>
      <c r="E2435" s="3" t="inlineStr">
        <is>
          <t>매매</t>
        </is>
      </c>
      <c r="F2435" s="4" t="n">
        <v>39000</v>
      </c>
      <c r="G2435" s="4" t="n">
        <v>198</v>
      </c>
      <c r="H2435" s="4" t="n">
        <v>60</v>
      </c>
      <c r="I2435" s="5" t="n">
        <v>650</v>
      </c>
      <c r="J2435" s="4" t="n">
        <v>747.8</v>
      </c>
      <c r="K2435" s="3" t="inlineStr">
        <is>
          <t>nan</t>
        </is>
      </c>
      <c r="L2435" s="6">
        <f>HYPERLINK("https://fin.land.naver.com/articles/2647465915", "매물Link")</f>
        <v/>
      </c>
      <c r="M2435" s="6">
        <f>HYPERLINK("https://map.naver.com/p/search/세종특별자치시 나성동 829", "지도Link")</f>
        <v/>
      </c>
      <c r="N2435" s="6">
        <f>HYPERLINK("http://www.eum.go.kr/web/ar/lu/luLandDet.jsp?pnu=3611010700108290000&amp;isNoScr=script&amp;mode=search", "토지이음")</f>
        <v/>
      </c>
      <c r="O2435" s="3" t="inlineStr">
        <is>
          <t>봉황</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세종특별자치시 나성동 829</t>
        </is>
      </c>
      <c r="B2436" s="3" t="inlineStr">
        <is>
          <t>중심상업지역</t>
        </is>
      </c>
      <c r="C2436" s="3" t="inlineStr">
        <is>
          <t>대</t>
        </is>
      </c>
      <c r="D2436" s="3" t="inlineStr">
        <is>
          <t>답</t>
        </is>
      </c>
      <c r="E2436" s="3" t="inlineStr">
        <is>
          <t>매매</t>
        </is>
      </c>
      <c r="F2436" s="4" t="n">
        <v>158000</v>
      </c>
      <c r="G2436" s="4" t="n">
        <v>3084</v>
      </c>
      <c r="H2436" s="4" t="n">
        <v>933</v>
      </c>
      <c r="I2436" s="5" t="n">
        <v>169.3</v>
      </c>
      <c r="J2436" s="4" t="n">
        <v>747.8</v>
      </c>
      <c r="K2436" s="3" t="inlineStr">
        <is>
          <t>다묵적 사용 가능한 토지</t>
        </is>
      </c>
      <c r="L2436" s="6">
        <f>HYPERLINK("https://fin.land.naver.com/articles/2646824961", "매물Link")</f>
        <v/>
      </c>
      <c r="M2436" s="6">
        <f>HYPERLINK("https://map.naver.com/p/search/세종특별자치시 나성동 829", "지도Link")</f>
        <v/>
      </c>
      <c r="N2436" s="6">
        <f>HYPERLINK("http://www.eum.go.kr/web/ar/lu/luLandDet.jsp?pnu=3611010700108290000&amp;isNoScr=script&amp;mode=search", "토지이음")</f>
        <v/>
      </c>
      <c r="O2436" s="3" t="inlineStr">
        <is>
          <t>새땅</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세종특별자치시 나성동 829</t>
        </is>
      </c>
      <c r="B2437" s="3" t="inlineStr">
        <is>
          <t>중심상업지역</t>
        </is>
      </c>
      <c r="C2437" s="3" t="inlineStr">
        <is>
          <t>대</t>
        </is>
      </c>
      <c r="D2437" s="3" t="inlineStr">
        <is>
          <t>답</t>
        </is>
      </c>
      <c r="E2437" s="3" t="inlineStr">
        <is>
          <t>매매</t>
        </is>
      </c>
      <c r="F2437" s="4" t="n">
        <v>290000</v>
      </c>
      <c r="G2437" s="4" t="n">
        <v>7175</v>
      </c>
      <c r="H2437" s="4" t="n">
        <v>2170</v>
      </c>
      <c r="I2437" s="5" t="n">
        <v>133.6</v>
      </c>
      <c r="J2437" s="4" t="n">
        <v>747.8</v>
      </c>
      <c r="K2437" s="3" t="inlineStr">
        <is>
          <t>총 3필지로 1필지씩 매매가능</t>
        </is>
      </c>
      <c r="L2437" s="6">
        <f>HYPERLINK("https://fin.land.naver.com/articles/2646630340", "매물Link")</f>
        <v/>
      </c>
      <c r="M2437" s="6">
        <f>HYPERLINK("https://map.naver.com/p/search/세종특별자치시 나성동 829", "지도Link")</f>
        <v/>
      </c>
      <c r="N2437" s="6">
        <f>HYPERLINK("http://www.eum.go.kr/web/ar/lu/luLandDet.jsp?pnu=3611010700108290000&amp;isNoScr=script&amp;mode=search", "토지이음")</f>
        <v/>
      </c>
      <c r="O2437" s="3" t="inlineStr">
        <is>
          <t>새땅</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세종특별자치시 나성동 829</t>
        </is>
      </c>
      <c r="B2438" s="3" t="inlineStr">
        <is>
          <t>중심상업지역</t>
        </is>
      </c>
      <c r="C2438" s="3" t="inlineStr">
        <is>
          <t>대</t>
        </is>
      </c>
      <c r="D2438" s="3" t="inlineStr">
        <is>
          <t>대</t>
        </is>
      </c>
      <c r="E2438" s="3" t="inlineStr">
        <is>
          <t>매매</t>
        </is>
      </c>
      <c r="F2438" s="4" t="n">
        <v>380000</v>
      </c>
      <c r="G2438" s="4" t="n">
        <v>3120</v>
      </c>
      <c r="H2438" s="4" t="n">
        <v>944</v>
      </c>
      <c r="I2438" s="5" t="n">
        <v>402.5</v>
      </c>
      <c r="J2438" s="4" t="n">
        <v>747.8</v>
      </c>
      <c r="K2438" s="3" t="inlineStr">
        <is>
          <t>토지건물 총 6필지</t>
        </is>
      </c>
      <c r="L2438" s="6">
        <f>HYPERLINK("https://fin.land.naver.com/articles/2644865766", "매물Link")</f>
        <v/>
      </c>
      <c r="M2438" s="6">
        <f>HYPERLINK("https://map.naver.com/p/search/세종특별자치시 나성동 829", "지도Link")</f>
        <v/>
      </c>
      <c r="N2438" s="6">
        <f>HYPERLINK("http://www.eum.go.kr/web/ar/lu/luLandDet.jsp?pnu=3611010700108290000&amp;isNoScr=script&amp;mode=search", "토지이음")</f>
        <v/>
      </c>
      <c r="O2438" s="3" t="inlineStr">
        <is>
          <t>터</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세종특별자치시 나성동 829</t>
        </is>
      </c>
      <c r="B2439" s="3" t="inlineStr">
        <is>
          <t>중심상업지역</t>
        </is>
      </c>
      <c r="C2439" s="3" t="inlineStr">
        <is>
          <t>대</t>
        </is>
      </c>
      <c r="D2439" s="3" t="inlineStr">
        <is>
          <t>임야</t>
        </is>
      </c>
      <c r="E2439" s="3" t="inlineStr">
        <is>
          <t>매매</t>
        </is>
      </c>
      <c r="F2439" s="4" t="n">
        <v>700000</v>
      </c>
      <c r="G2439" s="4" t="n">
        <v>30545</v>
      </c>
      <c r="H2439" s="4" t="n">
        <v>9240</v>
      </c>
      <c r="I2439" s="5" t="n">
        <v>75.8</v>
      </c>
      <c r="J2439" s="4" t="n">
        <v>747.8</v>
      </c>
      <c r="K2439" s="3" t="inlineStr">
        <is>
          <t>임야 총 3필지</t>
        </is>
      </c>
      <c r="L2439" s="6">
        <f>HYPERLINK("https://fin.land.naver.com/articles/2644877632", "매물Link")</f>
        <v/>
      </c>
      <c r="M2439" s="6">
        <f>HYPERLINK("https://map.naver.com/p/search/세종특별자치시 나성동 829", "지도Link")</f>
        <v/>
      </c>
      <c r="N2439" s="6">
        <f>HYPERLINK("http://www.eum.go.kr/web/ar/lu/luLandDet.jsp?pnu=3611010700108290000&amp;isNoScr=script&amp;mode=search", "토지이음")</f>
        <v/>
      </c>
      <c r="O2439" s="3" t="inlineStr">
        <is>
          <t>터</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세종특별자치시 나성동 829</t>
        </is>
      </c>
      <c r="B2440" s="3" t="inlineStr">
        <is>
          <t>중심상업지역</t>
        </is>
      </c>
      <c r="C2440" s="3" t="inlineStr">
        <is>
          <t>대</t>
        </is>
      </c>
      <c r="D2440" s="3" t="inlineStr">
        <is>
          <t>공장용지</t>
        </is>
      </c>
      <c r="E2440" s="3" t="inlineStr">
        <is>
          <t>매매</t>
        </is>
      </c>
      <c r="F2440" s="4" t="n">
        <v>380000</v>
      </c>
      <c r="G2440" s="4" t="n">
        <v>3300</v>
      </c>
      <c r="H2440" s="4" t="n">
        <v>998</v>
      </c>
      <c r="I2440" s="5" t="n">
        <v>380.8</v>
      </c>
      <c r="J2440" s="4" t="n">
        <v>747.8</v>
      </c>
      <c r="K2440" s="3" t="inlineStr">
        <is>
          <t>대화공단 내 요충지 토지매매, 3,300 ㎡ 전체분할 가능입지최상</t>
        </is>
      </c>
      <c r="L2440" s="6">
        <f>HYPERLINK("https://fin.land.naver.com/articles/2644199428", "매물Link")</f>
        <v/>
      </c>
      <c r="M2440" s="6">
        <f>HYPERLINK("https://map.naver.com/p/search/세종특별자치시 나성동 829", "지도Link")</f>
        <v/>
      </c>
      <c r="N2440" s="6">
        <f>HYPERLINK("http://www.eum.go.kr/web/ar/lu/luLandDet.jsp?pnu=3611010700108290000&amp;isNoScr=script&amp;mode=search", "토지이음")</f>
        <v/>
      </c>
      <c r="O2440" s="3" t="inlineStr">
        <is>
          <t>삼익</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세종특별자치시 나성동 829</t>
        </is>
      </c>
      <c r="B2441" s="3" t="inlineStr">
        <is>
          <t>중심상업지역</t>
        </is>
      </c>
      <c r="C2441" s="3" t="inlineStr">
        <is>
          <t>대</t>
        </is>
      </c>
      <c r="D2441" s="3" t="inlineStr">
        <is>
          <t>대</t>
        </is>
      </c>
      <c r="E2441" s="3" t="inlineStr">
        <is>
          <t>매매</t>
        </is>
      </c>
      <c r="F2441" s="4" t="n">
        <v>130000</v>
      </c>
      <c r="G2441" s="4" t="n">
        <v>1100</v>
      </c>
      <c r="H2441" s="4" t="n">
        <v>333</v>
      </c>
      <c r="I2441" s="5" t="n">
        <v>390.4</v>
      </c>
      <c r="J2441" s="4" t="n">
        <v>747.8</v>
      </c>
      <c r="K2441" s="3" t="inlineStr">
        <is>
          <t>현재 세입자 있으나 명도 가능, 2차선 접</t>
        </is>
      </c>
      <c r="L2441" s="6">
        <f>HYPERLINK("https://fin.land.naver.com/articles/2647390485", "매물Link")</f>
        <v/>
      </c>
      <c r="M2441" s="6">
        <f>HYPERLINK("https://map.naver.com/p/search/세종특별자치시 나성동 829", "지도Link")</f>
        <v/>
      </c>
      <c r="N2441" s="6">
        <f>HYPERLINK("http://www.eum.go.kr/web/ar/lu/luLandDet.jsp?pnu=3611010700108290000&amp;isNoScr=script&amp;mode=search", "토지이음")</f>
        <v/>
      </c>
      <c r="O2441" s="3" t="inlineStr">
        <is>
          <t>황금 사무소</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세종특별자치시 나성동 829</t>
        </is>
      </c>
      <c r="B2442" s="3" t="inlineStr">
        <is>
          <t>중심상업지역</t>
        </is>
      </c>
      <c r="C2442" s="3" t="inlineStr">
        <is>
          <t>대</t>
        </is>
      </c>
      <c r="D2442" s="3" t="inlineStr">
        <is>
          <t>임야</t>
        </is>
      </c>
      <c r="E2442" s="3" t="inlineStr">
        <is>
          <t>매매</t>
        </is>
      </c>
      <c r="F2442" s="4" t="n">
        <v>400000</v>
      </c>
      <c r="G2442" s="4" t="n">
        <v>65240</v>
      </c>
      <c r="H2442" s="4" t="n">
        <v>19735</v>
      </c>
      <c r="I2442" s="5" t="n">
        <v>20.3</v>
      </c>
      <c r="J2442" s="4" t="n">
        <v>747.8</v>
      </c>
      <c r="K2442" s="3" t="inlineStr">
        <is>
          <t>대로변에 접한 경사도 완만한 임야로 개발가능하며 투자용으로 추천함</t>
        </is>
      </c>
      <c r="L2442" s="6">
        <f>HYPERLINK("https://fin.land.naver.com/articles/2646453380", "매물Link")</f>
        <v/>
      </c>
      <c r="M2442" s="6">
        <f>HYPERLINK("https://map.naver.com/p/search/세종특별자치시 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세종특별자치시 나성동 829</t>
        </is>
      </c>
      <c r="B2443" s="3" t="inlineStr">
        <is>
          <t>중심상업지역</t>
        </is>
      </c>
      <c r="C2443" s="3" t="inlineStr">
        <is>
          <t>대</t>
        </is>
      </c>
      <c r="D2443" s="3" t="inlineStr">
        <is>
          <t>임야</t>
        </is>
      </c>
      <c r="E2443" s="3" t="inlineStr">
        <is>
          <t>매매</t>
        </is>
      </c>
      <c r="F2443" s="4" t="n">
        <v>108000</v>
      </c>
      <c r="G2443" s="4" t="n">
        <v>1753</v>
      </c>
      <c r="H2443" s="4" t="n">
        <v>530</v>
      </c>
      <c r="I2443" s="5" t="n">
        <v>203.8</v>
      </c>
      <c r="J2443" s="4" t="n">
        <v>747.8</v>
      </c>
      <c r="K2443" s="3" t="inlineStr">
        <is>
          <t>지목은 임야이나 암자로 사용함으로 토목 일부완료</t>
        </is>
      </c>
      <c r="L2443" s="6">
        <f>HYPERLINK("https://fin.land.naver.com/articles/2646452960", "매물Link")</f>
        <v/>
      </c>
      <c r="M2443" s="6">
        <f>HYPERLINK("https://map.naver.com/p/search/세종특별자치시 나성동 829", "지도Link")</f>
        <v/>
      </c>
      <c r="N2443" s="6">
        <f>HYPERLINK("http://www.eum.go.kr/web/ar/lu/luLandDet.jsp?pnu=3611010700108290000&amp;isNoScr=script&amp;mode=search", "토지이음")</f>
        <v/>
      </c>
      <c r="O2443" s="3" t="inlineStr">
        <is>
          <t>금정</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세종특별자치시 나성동 829</t>
        </is>
      </c>
      <c r="B2444" s="3" t="inlineStr">
        <is>
          <t>중심상업지역</t>
        </is>
      </c>
      <c r="C2444" s="3" t="inlineStr">
        <is>
          <t>대</t>
        </is>
      </c>
      <c r="D2444" s="3" t="inlineStr">
        <is>
          <t>대</t>
        </is>
      </c>
      <c r="E2444" s="3" t="inlineStr">
        <is>
          <t>매매</t>
        </is>
      </c>
      <c r="F2444" s="4" t="n">
        <v>64500</v>
      </c>
      <c r="G2444" s="4" t="n">
        <v>496</v>
      </c>
      <c r="H2444" s="4" t="n">
        <v>150</v>
      </c>
      <c r="I2444" s="5" t="n">
        <v>430</v>
      </c>
      <c r="J2444" s="4" t="n">
        <v>747.8</v>
      </c>
      <c r="K2444" s="3" t="inlineStr">
        <is>
          <t>1필지 포함</t>
        </is>
      </c>
      <c r="L2444" s="6">
        <f>HYPERLINK("https://fin.land.naver.com/articles/2645163993", "매물Link")</f>
        <v/>
      </c>
      <c r="M2444" s="6">
        <f>HYPERLINK("https://map.naver.com/p/search/세종특별자치시 나성동 829", "지도Link")</f>
        <v/>
      </c>
      <c r="N2444" s="6">
        <f>HYPERLINK("http://www.eum.go.kr/web/ar/lu/luLandDet.jsp?pnu=3611010700108290000&amp;isNoScr=script&amp;mode=search", "토지이음")</f>
        <v/>
      </c>
      <c r="O2444" s="3" t="inlineStr">
        <is>
          <t>웰컴</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세종특별자치시 나성동 829</t>
        </is>
      </c>
      <c r="B2445" s="3" t="inlineStr">
        <is>
          <t>중심상업지역</t>
        </is>
      </c>
      <c r="C2445" s="3" t="inlineStr">
        <is>
          <t>대</t>
        </is>
      </c>
      <c r="D2445" s="3" t="inlineStr">
        <is>
          <t>공장용지</t>
        </is>
      </c>
      <c r="E2445" s="3" t="inlineStr">
        <is>
          <t>매매</t>
        </is>
      </c>
      <c r="F2445" s="4" t="n">
        <v>127000</v>
      </c>
      <c r="G2445" s="4" t="n">
        <v>1126</v>
      </c>
      <c r="H2445" s="4" t="n">
        <v>341</v>
      </c>
      <c r="I2445" s="5" t="n">
        <v>372.4</v>
      </c>
      <c r="J2445" s="4" t="n">
        <v>747.8</v>
      </c>
      <c r="K2445" s="3" t="inlineStr">
        <is>
          <t>토지매매 공장 ,창고, 자동차시설 가능부지  큰 차 진입 가능</t>
        </is>
      </c>
      <c r="L2445" s="6">
        <f>HYPERLINK("https://fin.land.naver.com/articles/2646194864", "매물Link")</f>
        <v/>
      </c>
      <c r="M2445" s="6">
        <f>HYPERLINK("https://map.naver.com/p/search/세종특별자치시 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세종특별자치시 나성동 829</t>
        </is>
      </c>
      <c r="B2446" s="3" t="inlineStr">
        <is>
          <t>중심상업지역</t>
        </is>
      </c>
      <c r="C2446" s="3" t="inlineStr">
        <is>
          <t>대</t>
        </is>
      </c>
      <c r="D2446" s="3" t="inlineStr">
        <is>
          <t>공장용지</t>
        </is>
      </c>
      <c r="E2446" s="3" t="inlineStr">
        <is>
          <t>매매</t>
        </is>
      </c>
      <c r="F2446" s="4" t="n">
        <v>250000</v>
      </c>
      <c r="G2446" s="4" t="n">
        <v>2230</v>
      </c>
      <c r="H2446" s="4" t="n">
        <v>675</v>
      </c>
      <c r="I2446" s="5" t="n">
        <v>370.4</v>
      </c>
      <c r="J2446" s="4" t="n">
        <v>747.8</v>
      </c>
      <c r="K2446" s="3" t="inlineStr">
        <is>
          <t>공장,창고,자동찬관련시 신축가능 토지매매</t>
        </is>
      </c>
      <c r="L2446" s="6">
        <f>HYPERLINK("https://fin.land.naver.com/articles/2646113313", "매물Link")</f>
        <v/>
      </c>
      <c r="M2446" s="6">
        <f>HYPERLINK("https://map.naver.com/p/search/세종특별자치시 나성동 829", "지도Link")</f>
        <v/>
      </c>
      <c r="N2446" s="6">
        <f>HYPERLINK("http://www.eum.go.kr/web/ar/lu/luLandDet.jsp?pnu=3611010700108290000&amp;isNoScr=script&amp;mode=search", "토지이음")</f>
        <v/>
      </c>
      <c r="O2446" s="3" t="inlineStr">
        <is>
          <t>삼익</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세종특별자치시 나성동 829</t>
        </is>
      </c>
      <c r="B2447" s="3" t="inlineStr">
        <is>
          <t>중심상업지역</t>
        </is>
      </c>
      <c r="C2447" s="3" t="inlineStr">
        <is>
          <t>대</t>
        </is>
      </c>
      <c r="D2447" s="3" t="inlineStr">
        <is>
          <t>대</t>
        </is>
      </c>
      <c r="E2447" s="3" t="inlineStr">
        <is>
          <t>매매</t>
        </is>
      </c>
      <c r="F2447" s="4" t="n">
        <v>26000</v>
      </c>
      <c r="G2447" s="4" t="n">
        <v>285</v>
      </c>
      <c r="H2447" s="4" t="n">
        <v>86</v>
      </c>
      <c r="I2447" s="5" t="n">
        <v>302.3</v>
      </c>
      <c r="J2447" s="4" t="n">
        <v>747.8</v>
      </c>
      <c r="K2447" s="3" t="inlineStr">
        <is>
          <t>나대지.창고가능.토지거래 허가구역</t>
        </is>
      </c>
      <c r="L2447" s="6">
        <f>HYPERLINK("https://fin.land.naver.com/articles/2649959593", "매물Link")</f>
        <v/>
      </c>
      <c r="M2447" s="6">
        <f>HYPERLINK("https://map.naver.com/p/search/세종특별자치시 나성동 829", "지도Link")</f>
        <v/>
      </c>
      <c r="N2447" s="6">
        <f>HYPERLINK("http://www.eum.go.kr/web/ar/lu/luLandDet.jsp?pnu=3611010700108290000&amp;isNoScr=script&amp;mode=search", "토지이음")</f>
        <v/>
      </c>
      <c r="O2447" s="3" t="inlineStr">
        <is>
          <t>명진</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세종특별자치시 나성동 829</t>
        </is>
      </c>
      <c r="B2448" s="3" t="inlineStr">
        <is>
          <t>중심상업지역</t>
        </is>
      </c>
      <c r="C2448" s="3" t="inlineStr">
        <is>
          <t>대</t>
        </is>
      </c>
      <c r="D2448" s="3" t="inlineStr">
        <is>
          <t>전</t>
        </is>
      </c>
      <c r="E2448" s="3" t="inlineStr">
        <is>
          <t>매매</t>
        </is>
      </c>
      <c r="F2448" s="4" t="n">
        <v>23000</v>
      </c>
      <c r="G2448" s="4" t="n">
        <v>365</v>
      </c>
      <c r="H2448" s="4" t="n">
        <v>110</v>
      </c>
      <c r="I2448" s="5" t="n">
        <v>209.1</v>
      </c>
      <c r="J2448" s="4" t="n">
        <v>747.8</v>
      </c>
      <c r="K2448" s="3" t="inlineStr">
        <is>
          <t>현 나대지, 4M 도로접</t>
        </is>
      </c>
      <c r="L2448" s="6">
        <f>HYPERLINK("https://fin.land.naver.com/articles/2645580752", "매물Link")</f>
        <v/>
      </c>
      <c r="M2448" s="6">
        <f>HYPERLINK("https://map.naver.com/p/search/세종특별자치시 나성동 829", "지도Link")</f>
        <v/>
      </c>
      <c r="N2448" s="6">
        <f>HYPERLINK("http://www.eum.go.kr/web/ar/lu/luLandDet.jsp?pnu=3611010700108290000&amp;isNoScr=script&amp;mode=search", "토지이음")</f>
        <v/>
      </c>
      <c r="O2448" s="3" t="inlineStr">
        <is>
          <t>산업</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세종특별자치시 나성동 829</t>
        </is>
      </c>
      <c r="B2449" s="3" t="inlineStr">
        <is>
          <t>중심상업지역</t>
        </is>
      </c>
      <c r="C2449" s="3" t="inlineStr">
        <is>
          <t>대</t>
        </is>
      </c>
      <c r="D2449" s="3" t="inlineStr">
        <is>
          <t>전</t>
        </is>
      </c>
      <c r="E2449" s="3" t="inlineStr">
        <is>
          <t>매매</t>
        </is>
      </c>
      <c r="F2449" s="4" t="n">
        <v>2300000</v>
      </c>
      <c r="G2449" s="4" t="n">
        <v>32616</v>
      </c>
      <c r="H2449" s="4" t="n">
        <v>9866</v>
      </c>
      <c r="I2449" s="5" t="n">
        <v>233.1</v>
      </c>
      <c r="J2449" s="4" t="n">
        <v>747.8</v>
      </c>
      <c r="K2449" s="3" t="inlineStr">
        <is>
          <t>회덕ic에서5분,허가난물류부지연면적47,436m2,오염없는공장부지</t>
        </is>
      </c>
      <c r="L2449" s="6">
        <f>HYPERLINK("https://fin.land.naver.com/articles/2648154190", "매물Link")</f>
        <v/>
      </c>
      <c r="M2449" s="6">
        <f>HYPERLINK("https://map.naver.com/p/search/세종특별자치시 나성동 829", "지도Link")</f>
        <v/>
      </c>
      <c r="N2449" s="6">
        <f>HYPERLINK("http://www.eum.go.kr/web/ar/lu/luLandDet.jsp?pnu=3611010700108290000&amp;isNoScr=script&amp;mode=search", "토지이음")</f>
        <v/>
      </c>
      <c r="O2449" s="3" t="inlineStr">
        <is>
          <t>아름다운</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세종특별자치시 나성동 829</t>
        </is>
      </c>
      <c r="B2450" s="3" t="inlineStr">
        <is>
          <t>중심상업지역</t>
        </is>
      </c>
      <c r="C2450" s="3" t="inlineStr">
        <is>
          <t>대</t>
        </is>
      </c>
      <c r="D2450" s="3" t="inlineStr">
        <is>
          <t>답</t>
        </is>
      </c>
      <c r="E2450" s="3" t="inlineStr">
        <is>
          <t>매매</t>
        </is>
      </c>
      <c r="F2450" s="4" t="n">
        <v>122800</v>
      </c>
      <c r="G2450" s="4" t="n">
        <v>1016</v>
      </c>
      <c r="H2450" s="4" t="n">
        <v>307</v>
      </c>
      <c r="I2450" s="5" t="n">
        <v>400</v>
      </c>
      <c r="J2450" s="4" t="n">
        <v>747.8</v>
      </c>
      <c r="K2450" s="3" t="inlineStr">
        <is>
          <t>자연녹지 토지 매매 , 큰 차 진입 가능, 마당 넓게 사용하실 분 추천</t>
        </is>
      </c>
      <c r="L2450" s="6">
        <f>HYPERLINK("https://fin.land.naver.com/articles/2644221908", "매물Link")</f>
        <v/>
      </c>
      <c r="M2450" s="6">
        <f>HYPERLINK("https://map.naver.com/p/search/세종특별자치시 나성동 829", "지도Link")</f>
        <v/>
      </c>
      <c r="N2450" s="6">
        <f>HYPERLINK("http://www.eum.go.kr/web/ar/lu/luLandDet.jsp?pnu=3611010700108290000&amp;isNoScr=script&amp;mode=search", "토지이음")</f>
        <v/>
      </c>
      <c r="O2450" s="3" t="inlineStr">
        <is>
          <t>삼익</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세종특별자치시 나성동 829</t>
        </is>
      </c>
      <c r="B2451" s="3" t="inlineStr">
        <is>
          <t>중심상업지역</t>
        </is>
      </c>
      <c r="C2451" s="3" t="inlineStr">
        <is>
          <t>대</t>
        </is>
      </c>
      <c r="D2451" s="3" t="inlineStr">
        <is>
          <t>대</t>
        </is>
      </c>
      <c r="E2451" s="3" t="inlineStr">
        <is>
          <t>매매</t>
        </is>
      </c>
      <c r="F2451" s="4" t="n">
        <v>18000</v>
      </c>
      <c r="G2451" s="4" t="n">
        <v>169</v>
      </c>
      <c r="H2451" s="4" t="n">
        <v>51</v>
      </c>
      <c r="I2451" s="5" t="n">
        <v>352.9</v>
      </c>
      <c r="J2451" s="4" t="n">
        <v>747.8</v>
      </c>
      <c r="K2451" s="3" t="inlineStr">
        <is>
          <t>나대지 도로접 단독 ,다가구 신축추천</t>
        </is>
      </c>
      <c r="L2451" s="6">
        <f>HYPERLINK("https://fin.land.naver.com/articles/2648936795", "매물Link")</f>
        <v/>
      </c>
      <c r="M2451" s="6">
        <f>HYPERLINK("https://map.naver.com/p/search/세종특별자치시 나성동 829", "지도Link")</f>
        <v/>
      </c>
      <c r="N2451" s="6">
        <f>HYPERLINK("http://www.eum.go.kr/web/ar/lu/luLandDet.jsp?pnu=3611010700108290000&amp;isNoScr=script&amp;mode=search", "토지이음")</f>
        <v/>
      </c>
      <c r="O2451" s="3" t="inlineStr">
        <is>
          <t>우리동네</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세종특별자치시 나성동 829</t>
        </is>
      </c>
      <c r="B2452" s="3" t="inlineStr">
        <is>
          <t>중심상업지역</t>
        </is>
      </c>
      <c r="C2452" s="3" t="inlineStr">
        <is>
          <t>대</t>
        </is>
      </c>
      <c r="D2452" s="3" t="inlineStr">
        <is>
          <t>대</t>
        </is>
      </c>
      <c r="E2452" s="3" t="inlineStr">
        <is>
          <t>매매</t>
        </is>
      </c>
      <c r="F2452" s="4" t="n">
        <v>83000</v>
      </c>
      <c r="G2452" s="4" t="n">
        <v>342</v>
      </c>
      <c r="H2452" s="4" t="n">
        <v>103</v>
      </c>
      <c r="I2452" s="5" t="n">
        <v>805.8</v>
      </c>
      <c r="J2452" s="4" t="n">
        <v>747.8</v>
      </c>
      <c r="K2452" s="3" t="inlineStr">
        <is>
          <t>아파트 정문앞 사이즈좋고 가격좋은 토지</t>
        </is>
      </c>
      <c r="L2452" s="6">
        <f>HYPERLINK("https://fin.land.naver.com/articles/2645117123", "매물Link")</f>
        <v/>
      </c>
      <c r="M2452" s="6">
        <f>HYPERLINK("https://map.naver.com/p/search/세종특별자치시 나성동 829", "지도Link")</f>
        <v/>
      </c>
      <c r="N2452" s="6">
        <f>HYPERLINK("http://www.eum.go.kr/web/ar/lu/luLandDet.jsp?pnu=3611010700108290000&amp;isNoScr=script&amp;mode=search", "토지이음")</f>
        <v/>
      </c>
      <c r="O2452" s="3" t="inlineStr">
        <is>
          <t>오투꿈무소</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세종특별자치시 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HYPERLINK("https://map.naver.com/p/search/세종특별자치시 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세종특별자치시 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HYPERLINK("https://map.naver.com/p/search/세종특별자치시 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세종특별자치시 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HYPERLINK("https://map.naver.com/p/search/세종특별자치시 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세종특별자치시 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HYPERLINK("https://map.naver.com/p/search/세종특별자치시 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세종특별자치시 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HYPERLINK("https://map.naver.com/p/search/세종특별자치시 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세종특별자치시 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HYPERLINK("https://map.naver.com/p/search/세종특별자치시 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세종특별자치시 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HYPERLINK("https://map.naver.com/p/search/세종특별자치시 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세종특별자치시 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HYPERLINK("https://map.naver.com/p/search/세종특별자치시 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세종특별자치시 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HYPERLINK("https://map.naver.com/p/search/세종특별자치시 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세종특별자치시 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HYPERLINK("https://map.naver.com/p/search/세종특별자치시 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세종특별자치시 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HYPERLINK("https://map.naver.com/p/search/세종특별자치시 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세종특별자치시 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HYPERLINK("https://map.naver.com/p/search/세종특별자치시 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세종특별자치시 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HYPERLINK("https://map.naver.com/p/search/세종특별자치시 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세종특별자치시 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HYPERLINK("https://map.naver.com/p/search/세종특별자치시 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세종특별자치시 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HYPERLINK("https://map.naver.com/p/search/세종특별자치시 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세종특별자치시 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HYPERLINK("https://map.naver.com/p/search/세종특별자치시 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세종특별자치시 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HYPERLINK("https://map.naver.com/p/search/세종특별자치시 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세종특별자치시 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HYPERLINK("https://map.naver.com/p/search/세종특별자치시 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세종특별자치시 나성동 829</t>
        </is>
      </c>
      <c r="B2471" s="3" t="inlineStr">
        <is>
          <t>중심상업지역</t>
        </is>
      </c>
      <c r="C2471" s="3" t="inlineStr">
        <is>
          <t>대</t>
        </is>
      </c>
      <c r="D2471" s="3" t="inlineStr">
        <is>
          <t>답</t>
        </is>
      </c>
      <c r="E2471" s="3" t="inlineStr">
        <is>
          <t>매매</t>
        </is>
      </c>
      <c r="F2471" s="4" t="n">
        <v>55400</v>
      </c>
      <c r="G2471" s="4" t="n">
        <v>2617</v>
      </c>
      <c r="H2471" s="4" t="n">
        <v>792</v>
      </c>
      <c r="I2471" s="5" t="n">
        <v>69.90000000000001</v>
      </c>
      <c r="J2471" s="4" t="n">
        <v>747.8</v>
      </c>
      <c r="K2471" s="3" t="inlineStr">
        <is>
          <t>향후 시세차익을 바라볼 수 있는 투자용 토지</t>
        </is>
      </c>
      <c r="L2471" s="6">
        <f>HYPERLINK("https://fin.land.naver.com/articles/2649006230", "매물Link")</f>
        <v/>
      </c>
      <c r="M2471" s="6">
        <f>HYPERLINK("https://map.naver.com/p/search/세종특별자치시 나성동 829", "지도Link")</f>
        <v/>
      </c>
      <c r="N2471" s="6">
        <f>HYPERLINK("http://www.eum.go.kr/web/ar/lu/luLandDet.jsp?pnu=3611010700108290000&amp;isNoScr=script&amp;mode=search", "토지이음")</f>
        <v/>
      </c>
      <c r="O2471" s="3" t="inlineStr">
        <is>
          <t>세종푸르지오</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세종특별자치시 나성동 829</t>
        </is>
      </c>
      <c r="B2472" s="3" t="inlineStr">
        <is>
          <t>중심상업지역</t>
        </is>
      </c>
      <c r="C2472" s="3" t="inlineStr">
        <is>
          <t>대</t>
        </is>
      </c>
      <c r="D2472" s="3" t="inlineStr">
        <is>
          <t>답</t>
        </is>
      </c>
      <c r="E2472" s="3" t="inlineStr">
        <is>
          <t>매매</t>
        </is>
      </c>
      <c r="F2472" s="4" t="n">
        <v>21500</v>
      </c>
      <c r="G2472" s="4" t="n">
        <v>1430</v>
      </c>
      <c r="H2472" s="4" t="n">
        <v>433</v>
      </c>
      <c r="I2472" s="5" t="n">
        <v>49.7</v>
      </c>
      <c r="J2472" s="4" t="n">
        <v>747.8</v>
      </c>
      <c r="K2472" s="3" t="inlineStr">
        <is>
          <t>급매물. 세종5생활권인접.4차선2차선도로접.시세저렴.지가상승기대지역</t>
        </is>
      </c>
      <c r="L2472" s="6">
        <f>HYPERLINK("https://fin.land.naver.com/articles/2648569467", "매물Link")</f>
        <v/>
      </c>
      <c r="M2472" s="6">
        <f>HYPERLINK("https://map.naver.com/p/search/세종특별자치시 나성동 829", "지도Link")</f>
        <v/>
      </c>
      <c r="N2472" s="6">
        <f>HYPERLINK("http://www.eum.go.kr/web/ar/lu/luLandDet.jsp?pnu=3611010700108290000&amp;isNoScr=script&amp;mode=search", "토지이음")</f>
        <v/>
      </c>
      <c r="O2472" s="3" t="inlineStr">
        <is>
          <t>세종연동탑</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세종특별자치시 나성동 829</t>
        </is>
      </c>
      <c r="B2473" s="3" t="inlineStr">
        <is>
          <t>중심상업지역</t>
        </is>
      </c>
      <c r="C2473" s="3" t="inlineStr">
        <is>
          <t>대</t>
        </is>
      </c>
      <c r="D2473" s="3" t="inlineStr">
        <is>
          <t>답</t>
        </is>
      </c>
      <c r="E2473" s="3" t="inlineStr">
        <is>
          <t>매매</t>
        </is>
      </c>
      <c r="F2473" s="4" t="n">
        <v>103200</v>
      </c>
      <c r="G2473" s="4" t="n">
        <v>7112</v>
      </c>
      <c r="H2473" s="4" t="n">
        <v>2151</v>
      </c>
      <c r="I2473" s="5" t="n">
        <v>48</v>
      </c>
      <c r="J2473" s="4" t="n">
        <v>747.8</v>
      </c>
      <c r="K2473" s="3" t="inlineStr">
        <is>
          <t>농사짓기편리한땅.가격저렴.향후지가상승기대지역.대토지.</t>
        </is>
      </c>
      <c r="L2473" s="6">
        <f>HYPERLINK("https://fin.land.naver.com/articles/2648568686", "매물Link")</f>
        <v/>
      </c>
      <c r="M2473" s="6">
        <f>HYPERLINK("https://map.naver.com/p/search/세종특별자치시 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세종특별자치시 나성동 829</t>
        </is>
      </c>
      <c r="B2474" s="3" t="inlineStr">
        <is>
          <t>중심상업지역</t>
        </is>
      </c>
      <c r="C2474" s="3" t="inlineStr">
        <is>
          <t>대</t>
        </is>
      </c>
      <c r="D2474" s="3" t="inlineStr">
        <is>
          <t>답</t>
        </is>
      </c>
      <c r="E2474" s="3" t="inlineStr">
        <is>
          <t>매매</t>
        </is>
      </c>
      <c r="F2474" s="4" t="n">
        <v>172200</v>
      </c>
      <c r="G2474" s="4" t="n">
        <v>10165</v>
      </c>
      <c r="H2474" s="4" t="n">
        <v>3075</v>
      </c>
      <c r="I2474" s="5" t="n">
        <v>56</v>
      </c>
      <c r="J2474" s="4" t="n">
        <v>747.8</v>
      </c>
      <c r="K2474" s="3" t="inlineStr">
        <is>
          <t>농사짓기편리한땅.세종시5생인접지역.가격저렴.대토지.향후지가상승최대수혜지.</t>
        </is>
      </c>
      <c r="L2474" s="6">
        <f>HYPERLINK("https://fin.land.naver.com/articles/2648563825", "매물Link")</f>
        <v/>
      </c>
      <c r="M2474" s="6">
        <f>HYPERLINK("https://map.naver.com/p/search/세종특별자치시 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세종특별자치시 나성동 829</t>
        </is>
      </c>
      <c r="B2475" s="3" t="inlineStr">
        <is>
          <t>중심상업지역</t>
        </is>
      </c>
      <c r="C2475" s="3" t="inlineStr">
        <is>
          <t>대</t>
        </is>
      </c>
      <c r="D2475" s="3" t="inlineStr">
        <is>
          <t>답</t>
        </is>
      </c>
      <c r="E2475" s="3" t="inlineStr">
        <is>
          <t>매매</t>
        </is>
      </c>
      <c r="F2475" s="4" t="n">
        <v>23000</v>
      </c>
      <c r="G2475" s="4" t="n">
        <v>330</v>
      </c>
      <c r="H2475" s="4" t="n">
        <v>100</v>
      </c>
      <c r="I2475" s="5" t="n">
        <v>230</v>
      </c>
      <c r="J2475" s="4" t="n">
        <v>747.8</v>
      </c>
      <c r="K2475" s="3" t="inlineStr">
        <is>
          <t>2차선접.소형사무실.상가.소형창고.광고효과최상.세종5생활권초인접.</t>
        </is>
      </c>
      <c r="L2475" s="6">
        <f>HYPERLINK("https://fin.land.naver.com/articles/2647920758", "매물Link")</f>
        <v/>
      </c>
      <c r="M2475" s="6">
        <f>HYPERLINK("https://map.naver.com/p/search/세종특별자치시 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세종특별자치시 나성동 829</t>
        </is>
      </c>
      <c r="B2476" s="3" t="inlineStr">
        <is>
          <t>중심상업지역</t>
        </is>
      </c>
      <c r="C2476" s="3" t="inlineStr">
        <is>
          <t>대</t>
        </is>
      </c>
      <c r="D2476" s="3" t="inlineStr">
        <is>
          <t>임야</t>
        </is>
      </c>
      <c r="E2476" s="3" t="inlineStr">
        <is>
          <t>매매</t>
        </is>
      </c>
      <c r="F2476" s="4" t="n">
        <v>95000</v>
      </c>
      <c r="G2476" s="4" t="n">
        <v>1125</v>
      </c>
      <c r="H2476" s="4" t="n">
        <v>340</v>
      </c>
      <c r="I2476" s="5" t="n">
        <v>279.4</v>
      </c>
      <c r="J2476" s="4" t="n">
        <v>747.8</v>
      </c>
      <c r="K2476" s="3" t="inlineStr">
        <is>
          <t>도로에 접해 있는 예쁜땅, 킨더동화어린이집 근처 입구땅,하봉교차로.</t>
        </is>
      </c>
      <c r="L2476" s="6">
        <f>HYPERLINK("https://fin.land.naver.com/articles/2648742004", "매물Link")</f>
        <v/>
      </c>
      <c r="M2476" s="6">
        <f>HYPERLINK("https://map.naver.com/p/search/세종특별자치시 나성동 829", "지도Link")</f>
        <v/>
      </c>
      <c r="N2476" s="6">
        <f>HYPERLINK("http://www.eum.go.kr/web/ar/lu/luLandDet.jsp?pnu=3611010700108290000&amp;isNoScr=script&amp;mode=search", "토지이음")</f>
        <v/>
      </c>
      <c r="O2476" s="3" t="inlineStr">
        <is>
          <t>하이스트정원</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세종특별자치시 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HYPERLINK("https://map.naver.com/p/search/세종특별자치시 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세종특별자치시 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HYPERLINK("https://map.naver.com/p/search/세종특별자치시 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세종특별자치시 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HYPERLINK("https://map.naver.com/p/search/세종특별자치시 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세종특별자치시 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HYPERLINK("https://map.naver.com/p/search/세종특별자치시 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세종특별자치시 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HYPERLINK("https://map.naver.com/p/search/세종특별자치시 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세종특별자치시 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HYPERLINK("https://map.naver.com/p/search/세종특별자치시 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세종특별자치시 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HYPERLINK("https://map.naver.com/p/search/세종특별자치시 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세종특별자치시 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HYPERLINK("https://map.naver.com/p/search/세종특별자치시 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세종특별자치시 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HYPERLINK("https://map.naver.com/p/search/세종특별자치시 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세종특별자치시 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HYPERLINK("https://map.naver.com/p/search/세종특별자치시 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세종특별자치시 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HYPERLINK("https://map.naver.com/p/search/세종특별자치시 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세종특별자치시 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HYPERLINK("https://map.naver.com/p/search/세종특별자치시 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세종특별자치시 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HYPERLINK("https://map.naver.com/p/search/세종특별자치시 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세종특별자치시 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HYPERLINK("https://map.naver.com/p/search/세종특별자치시 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세종특별자치시 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HYPERLINK("https://map.naver.com/p/search/세종특별자치시 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세종특별자치시 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HYPERLINK("https://map.naver.com/p/search/세종특별자치시 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세종특별자치시 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HYPERLINK("https://map.naver.com/p/search/세종특별자치시 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세종특별자치시 나성동 829</t>
        </is>
      </c>
      <c r="B2494" s="3" t="inlineStr">
        <is>
          <t>중심상업지역</t>
        </is>
      </c>
      <c r="C2494" s="3" t="inlineStr">
        <is>
          <t>대</t>
        </is>
      </c>
      <c r="D2494" s="3" t="inlineStr">
        <is>
          <t>답</t>
        </is>
      </c>
      <c r="E2494" s="3" t="inlineStr">
        <is>
          <t>매매</t>
        </is>
      </c>
      <c r="F2494" s="4" t="n">
        <v>20500</v>
      </c>
      <c r="G2494" s="4" t="n">
        <v>1233</v>
      </c>
      <c r="H2494" s="4" t="n">
        <v>373</v>
      </c>
      <c r="I2494" s="5" t="n">
        <v>55</v>
      </c>
      <c r="J2494" s="4" t="n">
        <v>747.8</v>
      </c>
      <c r="K2494" s="3" t="inlineStr">
        <is>
          <t>도로접(주차가능).수도.전기.야외화장실.비닐하우스2동.</t>
        </is>
      </c>
      <c r="L2494" s="6">
        <f>HYPERLINK("https://fin.land.naver.com/articles/2644895383", "매물Link")</f>
        <v/>
      </c>
      <c r="M2494" s="6">
        <f>HYPERLINK("https://map.naver.com/p/search/세종특별자치시 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세종특별자치시 나성동 829</t>
        </is>
      </c>
      <c r="B2495" s="3" t="inlineStr">
        <is>
          <t>중심상업지역</t>
        </is>
      </c>
      <c r="C2495" s="3" t="inlineStr">
        <is>
          <t>대</t>
        </is>
      </c>
      <c r="D2495" s="3" t="inlineStr">
        <is>
          <t>답</t>
        </is>
      </c>
      <c r="E2495" s="3" t="inlineStr">
        <is>
          <t>매매</t>
        </is>
      </c>
      <c r="F2495" s="4" t="n">
        <v>53000</v>
      </c>
      <c r="G2495" s="4" t="n">
        <v>3536</v>
      </c>
      <c r="H2495" s="4" t="n">
        <v>1070</v>
      </c>
      <c r="I2495" s="5" t="n">
        <v>49.5</v>
      </c>
      <c r="J2495" s="4" t="n">
        <v>747.8</v>
      </c>
      <c r="K2495" s="3" t="inlineStr">
        <is>
          <t>도로, 하천접. 전으로 사용</t>
        </is>
      </c>
      <c r="L2495" s="6">
        <f>HYPERLINK("https://fin.land.naver.com/articles/2644895193", "매물Link")</f>
        <v/>
      </c>
      <c r="M2495" s="6">
        <f>HYPERLINK("https://map.naver.com/p/search/세종특별자치시 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세종특별자치시 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HYPERLINK("https://map.naver.com/p/search/세종특별자치시 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세종특별자치시 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HYPERLINK("https://map.naver.com/p/search/세종특별자치시 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세종특별자치시 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HYPERLINK("https://map.naver.com/p/search/세종특별자치시 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세종특별자치시 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HYPERLINK("https://map.naver.com/p/search/세종특별자치시 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세종특별자치시 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HYPERLINK("https://map.naver.com/p/search/세종특별자치시 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세종특별자치시 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HYPERLINK("https://map.naver.com/p/search/세종특별자치시 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세종특별자치시 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HYPERLINK("https://map.naver.com/p/search/세종특별자치시 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세종특별자치시 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HYPERLINK("https://map.naver.com/p/search/세종특별자치시 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세종특별자치시 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HYPERLINK("https://map.naver.com/p/search/세종특별자치시 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세종특별자치시 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HYPERLINK("https://map.naver.com/p/search/세종특별자치시 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세종특별자치시 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HYPERLINK("https://map.naver.com/p/search/세종특별자치시 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세종특별자치시 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HYPERLINK("https://map.naver.com/p/search/세종특별자치시 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세종특별자치시 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HYPERLINK("https://map.naver.com/p/search/세종특별자치시 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세종특별자치시 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HYPERLINK("https://map.naver.com/p/search/세종특별자치시 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세종특별자치시 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HYPERLINK("https://map.naver.com/p/search/세종특별자치시 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세종특별자치시 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HYPERLINK("https://map.naver.com/p/search/세종특별자치시 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세종특별자치시 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HYPERLINK("https://map.naver.com/p/search/세종특별자치시 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세종특별자치시 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HYPERLINK("https://map.naver.com/p/search/세종특별자치시 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세종특별자치시 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HYPERLINK("https://map.naver.com/p/search/세종특별자치시 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세종특별자치시 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HYPERLINK("https://map.naver.com/p/search/세종특별자치시 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세종특별자치시 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HYPERLINK("https://map.naver.com/p/search/세종특별자치시 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세종특별자치시 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HYPERLINK("https://map.naver.com/p/search/세종특별자치시 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세종특별자치시 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HYPERLINK("https://map.naver.com/p/search/세종특별자치시 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세종특별자치시 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HYPERLINK("https://map.naver.com/p/search/세종특별자치시 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세종특별자치시 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HYPERLINK("https://map.naver.com/p/search/세종특별자치시 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세종특별자치시 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HYPERLINK("https://map.naver.com/p/search/세종특별자치시 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세종특별자치시 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HYPERLINK("https://map.naver.com/p/search/세종특별자치시 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세종특별자치시 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HYPERLINK("https://map.naver.com/p/search/세종특별자치시 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세종특별자치시 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HYPERLINK("https://map.naver.com/p/search/세종특별자치시 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세종특별자치시 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HYPERLINK("https://map.naver.com/p/search/세종특별자치시 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세종특별자치시 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HYPERLINK("https://map.naver.com/p/search/세종특별자치시 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세종특별자치시 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HYPERLINK("https://map.naver.com/p/search/세종특별자치시 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세종특별자치시 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HYPERLINK("https://map.naver.com/p/search/세종특별자치시 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세종특별자치시 나성동 829</t>
        </is>
      </c>
      <c r="B2529" s="3" t="inlineStr">
        <is>
          <t>중심상업지역</t>
        </is>
      </c>
      <c r="C2529" s="3" t="inlineStr">
        <is>
          <t>대</t>
        </is>
      </c>
      <c r="D2529" s="3" t="inlineStr">
        <is>
          <t>대</t>
        </is>
      </c>
      <c r="E2529" s="3" t="inlineStr">
        <is>
          <t>매매</t>
        </is>
      </c>
      <c r="F2529" s="4" t="n">
        <v>760000</v>
      </c>
      <c r="G2529" s="4" t="n">
        <v>4312</v>
      </c>
      <c r="H2529" s="4" t="n">
        <v>1304</v>
      </c>
      <c r="I2529" s="5" t="n">
        <v>582.8</v>
      </c>
      <c r="J2529" s="4" t="n">
        <v>747.8</v>
      </c>
      <c r="K2529" s="3" t="inlineStr">
        <is>
          <t>자동차정비공장, 창고용지,아파트부지,</t>
        </is>
      </c>
      <c r="L2529" s="6">
        <f>HYPERLINK("https://fin.land.naver.com/articles/2646405738", "매물Link")</f>
        <v/>
      </c>
      <c r="M2529" s="6">
        <f>HYPERLINK("https://map.naver.com/p/search/세종특별자치시 나성동 829", "지도Link")</f>
        <v/>
      </c>
      <c r="N2529" s="6">
        <f>HYPERLINK("http://www.eum.go.kr/web/ar/lu/luLandDet.jsp?pnu=3611010700108290000&amp;isNoScr=script&amp;mode=search", "토지이음")</f>
        <v/>
      </c>
      <c r="O2529" s="3" t="inlineStr">
        <is>
          <t>명동</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세종특별자치시 나성동 829</t>
        </is>
      </c>
      <c r="B2530" s="3" t="inlineStr">
        <is>
          <t>중심상업지역</t>
        </is>
      </c>
      <c r="C2530" s="3" t="inlineStr">
        <is>
          <t>대</t>
        </is>
      </c>
      <c r="D2530" s="3" t="inlineStr">
        <is>
          <t>대</t>
        </is>
      </c>
      <c r="E2530" s="3" t="inlineStr">
        <is>
          <t>매매</t>
        </is>
      </c>
      <c r="F2530" s="4" t="n">
        <v>45230</v>
      </c>
      <c r="G2530" s="4" t="n">
        <v>213</v>
      </c>
      <c r="H2530" s="4" t="n">
        <v>64</v>
      </c>
      <c r="I2530" s="5" t="n">
        <v>706.7</v>
      </c>
      <c r="J2530" s="4" t="n">
        <v>747.8</v>
      </c>
      <c r="K2530" s="3" t="inlineStr">
        <is>
          <t>nan</t>
        </is>
      </c>
      <c r="L2530" s="6">
        <f>HYPERLINK("https://fin.land.naver.com/articles/2644937014", "매물Link")</f>
        <v/>
      </c>
      <c r="M2530" s="6">
        <f>HYPERLINK("https://map.naver.com/p/search/세종특별자치시 나성동 829", "지도Link")</f>
        <v/>
      </c>
      <c r="N2530" s="6">
        <f>HYPERLINK("http://www.eum.go.kr/web/ar/lu/luLandDet.jsp?pnu=3611010700108290000&amp;isNoScr=script&amp;mode=search", "토지이음")</f>
        <v/>
      </c>
      <c r="O2530" s="3" t="inlineStr">
        <is>
          <t>새터전</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세종특별자치시 나성동 829</t>
        </is>
      </c>
      <c r="B2531" s="3" t="inlineStr">
        <is>
          <t>중심상업지역</t>
        </is>
      </c>
      <c r="C2531" s="3" t="inlineStr">
        <is>
          <t>대</t>
        </is>
      </c>
      <c r="D2531" s="3" t="inlineStr">
        <is>
          <t>대</t>
        </is>
      </c>
      <c r="E2531" s="3" t="inlineStr">
        <is>
          <t>매매</t>
        </is>
      </c>
      <c r="F2531" s="4" t="n">
        <v>42000</v>
      </c>
      <c r="G2531" s="4" t="n">
        <v>199</v>
      </c>
      <c r="H2531" s="4" t="n">
        <v>60</v>
      </c>
      <c r="I2531" s="5" t="n">
        <v>700</v>
      </c>
      <c r="J2531" s="4" t="n">
        <v>747.8</v>
      </c>
      <c r="K2531" s="3" t="inlineStr">
        <is>
          <t>8mX6m 코너(각지), 건축을 건장함, 조율가</t>
        </is>
      </c>
      <c r="L2531" s="6">
        <f>HYPERLINK("https://fin.land.naver.com/articles/2644455641", "매물Link")</f>
        <v/>
      </c>
      <c r="M2531" s="6">
        <f>HYPERLINK("https://map.naver.com/p/search/세종특별자치시 나성동 829", "지도Link")</f>
        <v/>
      </c>
      <c r="N2531" s="6">
        <f>HYPERLINK("http://www.eum.go.kr/web/ar/lu/luLandDet.jsp?pnu=3611010700108290000&amp;isNoScr=script&amp;mode=search", "토지이음")</f>
        <v/>
      </c>
      <c r="O2531" s="3" t="inlineStr">
        <is>
          <t>파밀리에재덕 사무소</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세종특별자치시 나성동 829</t>
        </is>
      </c>
      <c r="B2532" s="3" t="inlineStr">
        <is>
          <t>중심상업지역</t>
        </is>
      </c>
      <c r="C2532" s="3" t="inlineStr">
        <is>
          <t>대</t>
        </is>
      </c>
      <c r="D2532" s="3" t="inlineStr">
        <is>
          <t>전</t>
        </is>
      </c>
      <c r="E2532" s="3" t="inlineStr">
        <is>
          <t>매매</t>
        </is>
      </c>
      <c r="F2532" s="4" t="n">
        <v>125000</v>
      </c>
      <c r="G2532" s="4" t="n">
        <v>1608</v>
      </c>
      <c r="H2532" s="4" t="n">
        <v>486</v>
      </c>
      <c r="I2532" s="5" t="n">
        <v>257.2</v>
      </c>
      <c r="J2532" s="4" t="n">
        <v>747.8</v>
      </c>
      <c r="K2532" s="3" t="inlineStr">
        <is>
          <t>계획관리 포장도로접</t>
        </is>
      </c>
      <c r="L2532" s="6">
        <f>HYPERLINK("https://fin.land.naver.com/articles/2649136761", "매물Link")</f>
        <v/>
      </c>
      <c r="M2532" s="6">
        <f>HYPERLINK("https://map.naver.com/p/search/세종특별자치시 나성동 829", "지도Link")</f>
        <v/>
      </c>
      <c r="N2532" s="6">
        <f>HYPERLINK("http://www.eum.go.kr/web/ar/lu/luLandDet.jsp?pnu=3611010700108290000&amp;isNoScr=script&amp;mode=search", "토지이음")</f>
        <v/>
      </c>
      <c r="O2532" s="3" t="inlineStr">
        <is>
          <t>평원</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세종특별자치시 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HYPERLINK("https://map.naver.com/p/search/세종특별자치시 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세종특별자치시 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HYPERLINK("https://map.naver.com/p/search/세종특별자치시 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세종특별자치시 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HYPERLINK("https://map.naver.com/p/search/세종특별자치시 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세종특별자치시 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HYPERLINK("https://map.naver.com/p/search/세종특별자치시 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세종특별자치시 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HYPERLINK("https://map.naver.com/p/search/세종특별자치시 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세종특별자치시 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HYPERLINK("https://map.naver.com/p/search/세종특별자치시 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세종특별자치시 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HYPERLINK("https://map.naver.com/p/search/세종특별자치시 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세종특별자치시 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HYPERLINK("https://map.naver.com/p/search/세종특별자치시 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세종특별자치시 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HYPERLINK("https://map.naver.com/p/search/세종특별자치시 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세종특별자치시 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HYPERLINK("https://map.naver.com/p/search/세종특별자치시 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세종특별자치시 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HYPERLINK("https://map.naver.com/p/search/세종특별자치시 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세종특별자치시 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HYPERLINK("https://map.naver.com/p/search/세종특별자치시 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세종특별자치시 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HYPERLINK("https://map.naver.com/p/search/세종특별자치시 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세종특별자치시 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HYPERLINK("https://map.naver.com/p/search/세종특별자치시 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세종특별자치시 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HYPERLINK("https://map.naver.com/p/search/세종특별자치시 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세종특별자치시 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HYPERLINK("https://map.naver.com/p/search/세종특별자치시 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세종특별자치시 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HYPERLINK("https://map.naver.com/p/search/세종특별자치시 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세종특별자치시 나성동 829</t>
        </is>
      </c>
      <c r="B2550" s="3" t="inlineStr">
        <is>
          <t>중심상업지역</t>
        </is>
      </c>
      <c r="C2550" s="3" t="inlineStr">
        <is>
          <t>대</t>
        </is>
      </c>
      <c r="D2550" s="3" t="inlineStr">
        <is>
          <t>대</t>
        </is>
      </c>
      <c r="E2550" s="3" t="inlineStr">
        <is>
          <t>매매</t>
        </is>
      </c>
      <c r="F2550" s="4" t="n">
        <v>610000</v>
      </c>
      <c r="G2550" s="4" t="n">
        <v>4298</v>
      </c>
      <c r="H2550" s="4" t="n">
        <v>1300</v>
      </c>
      <c r="I2550" s="5" t="n">
        <v>469.2</v>
      </c>
      <c r="J2550" s="4" t="n">
        <v>747.8</v>
      </c>
      <c r="K2550" s="3" t="inlineStr">
        <is>
          <t>급매 도심속 나대지 교통편리 아파트 창고 물류센터 식품 조립공장 투자최상</t>
        </is>
      </c>
      <c r="L2550" s="6">
        <f>HYPERLINK("https://fin.land.naver.com/articles/2646670454", "매물Link")</f>
        <v/>
      </c>
      <c r="M2550" s="6">
        <f>HYPERLINK("https://map.naver.com/p/search/세종특별자치시 나성동 829", "지도Link")</f>
        <v/>
      </c>
      <c r="N2550" s="6">
        <f>HYPERLINK("http://www.eum.go.kr/web/ar/lu/luLandDet.jsp?pnu=3611010700108290000&amp;isNoScr=script&amp;mode=search", "토지이음")</f>
        <v/>
      </c>
      <c r="O2550" s="3" t="inlineStr">
        <is>
          <t>뉴태양</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세종특별자치시 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HYPERLINK("https://fin.land.naver.com/articles/2644426659", "매물Link")</f>
        <v/>
      </c>
      <c r="M2551" s="6">
        <f>HYPERLINK("https://map.naver.com/p/search/세종특별자치시 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세종특별자치시 나성동 829</t>
        </is>
      </c>
      <c r="B2552" s="3" t="inlineStr">
        <is>
          <t>중심상업지역</t>
        </is>
      </c>
      <c r="C2552" s="3" t="inlineStr">
        <is>
          <t>대</t>
        </is>
      </c>
      <c r="D2552" s="3" t="inlineStr">
        <is>
          <t>대</t>
        </is>
      </c>
      <c r="E2552" s="3" t="inlineStr">
        <is>
          <t>매매</t>
        </is>
      </c>
      <c r="F2552" s="4" t="n">
        <v>48800</v>
      </c>
      <c r="G2552" s="4" t="n">
        <v>201</v>
      </c>
      <c r="H2552" s="4" t="n">
        <v>61</v>
      </c>
      <c r="I2552" s="5" t="n">
        <v>800</v>
      </c>
      <c r="J2552" s="4" t="n">
        <v>747.8</v>
      </c>
      <c r="K2552" s="3" t="inlineStr">
        <is>
          <t>nan</t>
        </is>
      </c>
      <c r="L2552" s="6">
        <f>HYPERLINK("https://fin.land.naver.com/articles/2644428581", "매물Link")</f>
        <v/>
      </c>
      <c r="M2552" s="6">
        <f>HYPERLINK("https://map.naver.com/p/search/세종특별자치시 나성동 829", "지도Link")</f>
        <v/>
      </c>
      <c r="N2552" s="6">
        <f>HYPERLINK("http://www.eum.go.kr/web/ar/lu/luLandDet.jsp?pnu=3611010700108290000&amp;isNoScr=script&amp;mode=search", "토지이음")</f>
        <v/>
      </c>
      <c r="O2552" s="3" t="inlineStr">
        <is>
          <t>푸른솔 공인중인중개사</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세종특별자치시 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HYPERLINK("https://map.naver.com/p/search/세종특별자치시 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세종특별자치시 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HYPERLINK("https://map.naver.com/p/search/세종특별자치시 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세종특별자치시 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HYPERLINK("https://map.naver.com/p/search/세종특별자치시 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세종특별자치시 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HYPERLINK("https://map.naver.com/p/search/세종특별자치시 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세종특별자치시 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HYPERLINK("https://map.naver.com/p/search/세종특별자치시 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세종특별자치시 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HYPERLINK("https://map.naver.com/p/search/세종특별자치시 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세종특별자치시 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HYPERLINK("https://map.naver.com/p/search/세종특별자치시 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세종특별자치시 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HYPERLINK("https://map.naver.com/p/search/세종특별자치시 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세종특별자치시 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HYPERLINK("https://map.naver.com/p/search/세종특별자치시 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세종특별자치시 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HYPERLINK("https://map.naver.com/p/search/세종특별자치시 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세종특별자치시 나성동 829</t>
        </is>
      </c>
      <c r="B2563" s="3" t="inlineStr">
        <is>
          <t>중심상업지역</t>
        </is>
      </c>
      <c r="C2563" s="3" t="inlineStr">
        <is>
          <t>대</t>
        </is>
      </c>
      <c r="D2563" s="3" t="inlineStr">
        <is>
          <t>대</t>
        </is>
      </c>
      <c r="E2563" s="3" t="inlineStr">
        <is>
          <t>매매</t>
        </is>
      </c>
      <c r="F2563" s="4" t="n">
        <v>87000</v>
      </c>
      <c r="G2563" s="4" t="n">
        <v>314</v>
      </c>
      <c r="H2563" s="4" t="n">
        <v>95</v>
      </c>
      <c r="I2563" s="5" t="n">
        <v>915.8</v>
      </c>
      <c r="J2563" s="4" t="n">
        <v>747.8</v>
      </c>
      <c r="K2563" s="3" t="inlineStr">
        <is>
          <t>대도로변계획정리된 대학가인근 토지로 고시텔, 다중,다가구,상가주택 적지임</t>
        </is>
      </c>
      <c r="L2563" s="6">
        <f>HYPERLINK("https://fin.land.naver.com/articles/2645781166", "매물Link")</f>
        <v/>
      </c>
      <c r="M2563" s="6">
        <f>HYPERLINK("https://map.naver.com/p/search/세종특별자치시 나성동 829", "지도Link")</f>
        <v/>
      </c>
      <c r="N2563" s="6">
        <f>HYPERLINK("http://www.eum.go.kr/web/ar/lu/luLandDet.jsp?pnu=3611010700108290000&amp;isNoScr=script&amp;mode=search", "토지이음")</f>
        <v/>
      </c>
      <c r="O2563" s="3" t="inlineStr">
        <is>
          <t>스타</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세종특별자치시 나성동 829</t>
        </is>
      </c>
      <c r="B2564" s="3" t="inlineStr">
        <is>
          <t>중심상업지역</t>
        </is>
      </c>
      <c r="C2564" s="3" t="inlineStr">
        <is>
          <t>대</t>
        </is>
      </c>
      <c r="D2564" s="3" t="inlineStr">
        <is>
          <t>답</t>
        </is>
      </c>
      <c r="E2564" s="3" t="inlineStr">
        <is>
          <t>매매</t>
        </is>
      </c>
      <c r="F2564" s="4" t="n">
        <v>35000</v>
      </c>
      <c r="G2564" s="4" t="n">
        <v>263</v>
      </c>
      <c r="H2564" s="4" t="n">
        <v>80</v>
      </c>
      <c r="I2564" s="5" t="n">
        <v>437.5</v>
      </c>
      <c r="J2564" s="4" t="n">
        <v>747.8</v>
      </c>
      <c r="K2564" s="3" t="inlineStr">
        <is>
          <t>일반주거지역으로 다양한 용도 사용, 기타 추가 협의</t>
        </is>
      </c>
      <c r="L2564" s="6">
        <f>HYPERLINK("https://fin.land.naver.com/articles/2645508025", "매물Link")</f>
        <v/>
      </c>
      <c r="M2564" s="6">
        <f>HYPERLINK("https://map.naver.com/p/search/세종특별자치시 나성동 829", "지도Link")</f>
        <v/>
      </c>
      <c r="N2564" s="6">
        <f>HYPERLINK("http://www.eum.go.kr/web/ar/lu/luLandDet.jsp?pnu=3611010700108290000&amp;isNoScr=script&amp;mode=search", "토지이음")</f>
        <v/>
      </c>
      <c r="O2564" s="3" t="inlineStr">
        <is>
          <t>예미지대표</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세종특별자치시 나성동 829</t>
        </is>
      </c>
      <c r="B2565" s="3" t="inlineStr">
        <is>
          <t>중심상업지역</t>
        </is>
      </c>
      <c r="C2565" s="3" t="inlineStr">
        <is>
          <t>대</t>
        </is>
      </c>
      <c r="D2565" s="3" t="inlineStr">
        <is>
          <t>임야</t>
        </is>
      </c>
      <c r="E2565" s="3" t="inlineStr">
        <is>
          <t>매매</t>
        </is>
      </c>
      <c r="F2565" s="4" t="n">
        <v>411000</v>
      </c>
      <c r="G2565" s="4" t="n">
        <v>6795</v>
      </c>
      <c r="H2565" s="4" t="n">
        <v>2055</v>
      </c>
      <c r="I2565" s="5" t="n">
        <v>200</v>
      </c>
      <c r="J2565" s="4" t="n">
        <v>747.8</v>
      </c>
      <c r="K2565" s="3" t="inlineStr">
        <is>
          <t>용운동 e편한세상아파트와 대전대학교 동문 인접지 토지</t>
        </is>
      </c>
      <c r="L2565" s="6">
        <f>HYPERLINK("https://fin.land.naver.com/articles/2644455508", "매물Link")</f>
        <v/>
      </c>
      <c r="M2565" s="6">
        <f>HYPERLINK("https://map.naver.com/p/search/세종특별자치시 나성동 829", "지도Link")</f>
        <v/>
      </c>
      <c r="N2565" s="6">
        <f>HYPERLINK("http://www.eum.go.kr/web/ar/lu/luLandDet.jsp?pnu=3611010700108290000&amp;isNoScr=script&amp;mode=search", "토지이음")</f>
        <v/>
      </c>
      <c r="O2565" s="3" t="inlineStr">
        <is>
          <t>행운</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세종특별자치시 나성동 829</t>
        </is>
      </c>
      <c r="B2566" s="3" t="inlineStr">
        <is>
          <t>중심상업지역</t>
        </is>
      </c>
      <c r="C2566" s="3" t="inlineStr">
        <is>
          <t>대</t>
        </is>
      </c>
      <c r="D2566" s="3" t="inlineStr">
        <is>
          <t>대</t>
        </is>
      </c>
      <c r="E2566" s="3" t="inlineStr">
        <is>
          <t>매매</t>
        </is>
      </c>
      <c r="F2566" s="4" t="n">
        <v>200000</v>
      </c>
      <c r="G2566" s="4" t="n">
        <v>262</v>
      </c>
      <c r="H2566" s="4" t="n">
        <v>79</v>
      </c>
      <c r="I2566" s="5" t="n">
        <v>2531.6</v>
      </c>
      <c r="J2566" s="4" t="n">
        <v>747.8</v>
      </c>
      <c r="K2566" s="3" t="inlineStr">
        <is>
          <t>대로변 상업지 토지 땅값에 나온 귀한 토지 코너각지</t>
        </is>
      </c>
      <c r="L2566" s="6">
        <f>HYPERLINK("https://fin.land.naver.com/articles/2647243330", "매물Link")</f>
        <v/>
      </c>
      <c r="M2566" s="6">
        <f>HYPERLINK("https://map.naver.com/p/search/세종특별자치시 나성동 829", "지도Link")</f>
        <v/>
      </c>
      <c r="N2566" s="6">
        <f>HYPERLINK("http://www.eum.go.kr/web/ar/lu/luLandDet.jsp?pnu=3611010700108290000&amp;isNoScr=script&amp;mode=search", "토지이음")</f>
        <v/>
      </c>
      <c r="O2566" s="3" t="inlineStr">
        <is>
          <t>(주)정민근</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세종특별자치시 나성동 829</t>
        </is>
      </c>
      <c r="B2567" s="3" t="inlineStr">
        <is>
          <t>중심상업지역</t>
        </is>
      </c>
      <c r="C2567" s="3" t="inlineStr">
        <is>
          <t>대</t>
        </is>
      </c>
      <c r="D2567" s="3" t="inlineStr">
        <is>
          <t>대</t>
        </is>
      </c>
      <c r="E2567" s="3" t="inlineStr">
        <is>
          <t>매매</t>
        </is>
      </c>
      <c r="F2567" s="4" t="n">
        <v>47000</v>
      </c>
      <c r="G2567" s="4" t="n">
        <v>166</v>
      </c>
      <c r="H2567" s="4" t="n">
        <v>50</v>
      </c>
      <c r="I2567" s="5" t="n">
        <v>940</v>
      </c>
      <c r="J2567" s="4" t="n">
        <v>747.8</v>
      </c>
      <c r="K2567" s="3" t="inlineStr">
        <is>
          <t>코너 각지의 다가구주택 최적지입니다 현재 2층건물 소재</t>
        </is>
      </c>
      <c r="L2567" s="6">
        <f>HYPERLINK("https://fin.land.naver.com/articles/2644943689", "매물Link")</f>
        <v/>
      </c>
      <c r="M2567" s="6">
        <f>HYPERLINK("https://map.naver.com/p/search/세종특별자치시 나성동 829", "지도Link")</f>
        <v/>
      </c>
      <c r="N2567" s="6">
        <f>HYPERLINK("http://www.eum.go.kr/web/ar/lu/luLandDet.jsp?pnu=3611010700108290000&amp;isNoScr=script&amp;mode=search", "토지이음")</f>
        <v/>
      </c>
      <c r="O2567" s="3" t="inlineStr">
        <is>
          <t>국화</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세종특별자치시 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HYPERLINK("https://map.naver.com/p/search/세종특별자치시 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세종특별자치시 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HYPERLINK("https://map.naver.com/p/search/세종특별자치시 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세종특별자치시 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HYPERLINK("https://map.naver.com/p/search/세종특별자치시 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세종특별자치시 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HYPERLINK("https://map.naver.com/p/search/세종특별자치시 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세종특별자치시 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HYPERLINK("https://map.naver.com/p/search/세종특별자치시 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세종특별자치시 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HYPERLINK("https://map.naver.com/p/search/세종특별자치시 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세종특별자치시 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HYPERLINK("https://map.naver.com/p/search/세종특별자치시 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세종특별자치시 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HYPERLINK("https://map.naver.com/p/search/세종특별자치시 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세종특별자치시 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HYPERLINK("https://map.naver.com/p/search/세종특별자치시 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세종특별자치시 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HYPERLINK("https://map.naver.com/p/search/세종특별자치시 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세종특별자치시 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HYPERLINK("https://map.naver.com/p/search/세종특별자치시 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세종특별자치시 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HYPERLINK("https://map.naver.com/p/search/세종특별자치시 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세종특별자치시 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HYPERLINK("https://map.naver.com/p/search/세종특별자치시 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세종특별자치시 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HYPERLINK("https://map.naver.com/p/search/세종특별자치시 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세종특별자치시 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HYPERLINK("https://map.naver.com/p/search/세종특별자치시 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세종특별자치시 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HYPERLINK("https://map.naver.com/p/search/세종특별자치시 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세종특별자치시 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HYPERLINK("https://map.naver.com/p/search/세종특별자치시 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세종특별자치시 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HYPERLINK("https://map.naver.com/p/search/세종특별자치시 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세종특별자치시 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HYPERLINK("https://map.naver.com/p/search/세종특별자치시 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세종특별자치시 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HYPERLINK("https://map.naver.com/p/search/세종특별자치시 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세종특별자치시 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HYPERLINK("https://map.naver.com/p/search/세종특별자치시 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세종특별자치시 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HYPERLINK("https://map.naver.com/p/search/세종특별자치시 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세종특별자치시 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HYPERLINK("https://map.naver.com/p/search/세종특별자치시 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세종특별자치시 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HYPERLINK("https://map.naver.com/p/search/세종특별자치시 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세종특별자치시 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HYPERLINK("https://map.naver.com/p/search/세종특별자치시 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세종특별자치시 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HYPERLINK("https://map.naver.com/p/search/세종특별자치시 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세종특별자치시 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HYPERLINK("https://map.naver.com/p/search/세종특별자치시 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세종특별자치시 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HYPERLINK("https://map.naver.com/p/search/세종특별자치시 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세종특별자치시 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HYPERLINK("https://map.naver.com/p/search/세종특별자치시 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세종특별자치시 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HYPERLINK("https://map.naver.com/p/search/세종특별자치시 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세종특별자치시 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HYPERLINK("https://map.naver.com/p/search/세종특별자치시 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세종특별자치시 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HYPERLINK("https://map.naver.com/p/search/세종특별자치시 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세종특별자치시 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HYPERLINK("https://map.naver.com/p/search/세종특별자치시 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세종특별자치시 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HYPERLINK("https://map.naver.com/p/search/세종특별자치시 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세종특별자치시 나성동 829</t>
        </is>
      </c>
      <c r="B2602" s="3" t="inlineStr">
        <is>
          <t>중심상업지역</t>
        </is>
      </c>
      <c r="C2602" s="3" t="inlineStr">
        <is>
          <t>대</t>
        </is>
      </c>
      <c r="D2602" s="3" t="inlineStr">
        <is>
          <t>임야</t>
        </is>
      </c>
      <c r="E2602" s="3" t="inlineStr">
        <is>
          <t>매매</t>
        </is>
      </c>
      <c r="F2602" s="4" t="n">
        <v>50000</v>
      </c>
      <c r="G2602" s="4" t="n">
        <v>5219</v>
      </c>
      <c r="H2602" s="4" t="n">
        <v>1579</v>
      </c>
      <c r="I2602" s="5" t="n">
        <v>31.7</v>
      </c>
      <c r="J2602" s="4" t="n">
        <v>747.8</v>
      </c>
      <c r="K2602" s="3" t="inlineStr">
        <is>
          <t>nan</t>
        </is>
      </c>
      <c r="L2602" s="6">
        <f>HYPERLINK("https://fin.land.naver.com/articles/2649538166", "매물Link")</f>
        <v/>
      </c>
      <c r="M2602" s="6">
        <f>HYPERLINK("https://map.naver.com/p/search/세종특별자치시 나성동 829", "지도Link")</f>
        <v/>
      </c>
      <c r="N2602" s="6">
        <f>HYPERLINK("http://www.eum.go.kr/web/ar/lu/luLandDet.jsp?pnu=3611010700108290000&amp;isNoScr=script&amp;mode=search", "토지이음")</f>
        <v/>
      </c>
      <c r="O2602" s="3" t="inlineStr">
        <is>
          <t>마당발</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세종특별자치시 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HYPERLINK("https://map.naver.com/p/search/세종특별자치시 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세종특별자치시 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HYPERLINK("https://map.naver.com/p/search/세종특별자치시 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세종특별자치시 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HYPERLINK("https://map.naver.com/p/search/세종특별자치시 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세종특별자치시 나성동 829</t>
        </is>
      </c>
      <c r="B2606" s="3" t="inlineStr">
        <is>
          <t>중심상업지역</t>
        </is>
      </c>
      <c r="C2606" s="3" t="inlineStr">
        <is>
          <t>대</t>
        </is>
      </c>
      <c r="D2606" s="3" t="inlineStr">
        <is>
          <t>대</t>
        </is>
      </c>
      <c r="E2606" s="3" t="inlineStr">
        <is>
          <t>매매</t>
        </is>
      </c>
      <c r="F2606" s="4" t="n">
        <v>13000</v>
      </c>
      <c r="G2606" s="4" t="n">
        <v>413</v>
      </c>
      <c r="H2606" s="4" t="n">
        <v>125</v>
      </c>
      <c r="I2606" s="5" t="n">
        <v>104</v>
      </c>
      <c r="J2606" s="4" t="n">
        <v>747.8</v>
      </c>
      <c r="K2606" s="3" t="inlineStr">
        <is>
          <t>동구 소호동에 위치한 개발제한구역해제된 대지매매</t>
        </is>
      </c>
      <c r="L2606" s="6">
        <f>HYPERLINK("https://fin.land.naver.com/articles/2646334967", "매물Link")</f>
        <v/>
      </c>
      <c r="M2606" s="6">
        <f>HYPERLINK("https://map.naver.com/p/search/세종특별자치시 나성동 829", "지도Link")</f>
        <v/>
      </c>
      <c r="N2606" s="6">
        <f>HYPERLINK("http://www.eum.go.kr/web/ar/lu/luLandDet.jsp?pnu=3611010700108290000&amp;isNoScr=script&amp;mode=search", "토지이음")</f>
        <v/>
      </c>
      <c r="O2606" s="3" t="inlineStr">
        <is>
          <t>오투제일</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세종특별자치시 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HYPERLINK("https://map.naver.com/p/search/세종특별자치시 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세종특별자치시 나성동 829</t>
        </is>
      </c>
      <c r="B2608" s="3" t="inlineStr">
        <is>
          <t>중심상업지역</t>
        </is>
      </c>
      <c r="C2608" s="3" t="inlineStr">
        <is>
          <t>대</t>
        </is>
      </c>
      <c r="D2608" s="3" t="inlineStr">
        <is>
          <t>대</t>
        </is>
      </c>
      <c r="E2608" s="3" t="inlineStr">
        <is>
          <t>매매</t>
        </is>
      </c>
      <c r="F2608" s="4" t="n">
        <v>20200</v>
      </c>
      <c r="G2608" s="4" t="n">
        <v>513</v>
      </c>
      <c r="H2608" s="4" t="n">
        <v>155</v>
      </c>
      <c r="I2608" s="5" t="n">
        <v>130.3</v>
      </c>
      <c r="J2608" s="4" t="n">
        <v>747.8</v>
      </c>
      <c r="K2608" s="3" t="inlineStr">
        <is>
          <t>nan</t>
        </is>
      </c>
      <c r="L2608" s="6">
        <f>HYPERLINK("https://fin.land.naver.com/articles/2644894815", "매물Link")</f>
        <v/>
      </c>
      <c r="M2608" s="6">
        <f>HYPERLINK("https://map.naver.com/p/search/세종특별자치시 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세종특별자치시 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HYPERLINK("https://map.naver.com/p/search/세종특별자치시 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세종특별자치시 나성동 829</t>
        </is>
      </c>
      <c r="B2610" s="3" t="inlineStr">
        <is>
          <t>중심상업지역</t>
        </is>
      </c>
      <c r="C2610" s="3" t="inlineStr">
        <is>
          <t>대</t>
        </is>
      </c>
      <c r="D2610" s="3" t="inlineStr">
        <is>
          <t>답</t>
        </is>
      </c>
      <c r="E2610" s="3" t="inlineStr">
        <is>
          <t>매매</t>
        </is>
      </c>
      <c r="F2610" s="4" t="n">
        <v>14000</v>
      </c>
      <c r="G2610" s="4" t="n">
        <v>2393</v>
      </c>
      <c r="H2610" s="4" t="n">
        <v>724</v>
      </c>
      <c r="I2610" s="5" t="n">
        <v>19.3</v>
      </c>
      <c r="J2610" s="4" t="n">
        <v>747.8</v>
      </c>
      <c r="K2610" s="3" t="inlineStr">
        <is>
          <t>저렴한가격,교통편리,주말농장</t>
        </is>
      </c>
      <c r="L2610" s="6">
        <f>HYPERLINK("https://fin.land.naver.com/articles/2648855437", "매물Link")</f>
        <v/>
      </c>
      <c r="M2610" s="6">
        <f>HYPERLINK("https://map.naver.com/p/search/세종특별자치시 나성동 829", "지도Link")</f>
        <v/>
      </c>
      <c r="N2610" s="6">
        <f>HYPERLINK("http://www.eum.go.kr/web/ar/lu/luLandDet.jsp?pnu=3611010700108290000&amp;isNoScr=script&amp;mode=search", "토지이음")</f>
        <v/>
      </c>
      <c r="O2610" s="3" t="inlineStr">
        <is>
          <t>아름다운</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세종특별자치시 나성동 829</t>
        </is>
      </c>
      <c r="B2611" s="3" t="inlineStr">
        <is>
          <t>중심상업지역</t>
        </is>
      </c>
      <c r="C2611" s="3" t="inlineStr">
        <is>
          <t>대</t>
        </is>
      </c>
      <c r="D2611" s="3" t="inlineStr">
        <is>
          <t>임야</t>
        </is>
      </c>
      <c r="E2611" s="3" t="inlineStr">
        <is>
          <t>매매</t>
        </is>
      </c>
      <c r="F2611" s="4" t="n">
        <v>30000</v>
      </c>
      <c r="G2611" s="4" t="n">
        <v>30545</v>
      </c>
      <c r="H2611" s="4" t="n">
        <v>9240</v>
      </c>
      <c r="I2611" s="5" t="n">
        <v>3.2</v>
      </c>
      <c r="J2611" s="4" t="n">
        <v>747.8</v>
      </c>
      <c r="K2611" s="3" t="inlineStr">
        <is>
          <t>저렴한 임야</t>
        </is>
      </c>
      <c r="L2611" s="6">
        <f>HYPERLINK("https://fin.land.naver.com/articles/2647111451", "매물Link")</f>
        <v/>
      </c>
      <c r="M2611" s="6">
        <f>HYPERLINK("https://map.naver.com/p/search/세종특별자치시 나성동 829", "지도Link")</f>
        <v/>
      </c>
      <c r="N2611" s="6">
        <f>HYPERLINK("http://www.eum.go.kr/web/ar/lu/luLandDet.jsp?pnu=3611010700108290000&amp;isNoScr=script&amp;mode=search", "토지이음")</f>
        <v/>
      </c>
      <c r="O2611" s="3" t="inlineStr">
        <is>
          <t>THE행복</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세종특별자치시 나성동 829</t>
        </is>
      </c>
      <c r="B2612" s="3" t="inlineStr">
        <is>
          <t>중심상업지역</t>
        </is>
      </c>
      <c r="C2612" s="3" t="inlineStr">
        <is>
          <t>대</t>
        </is>
      </c>
      <c r="D2612" s="3" t="inlineStr">
        <is>
          <t>답</t>
        </is>
      </c>
      <c r="E2612" s="3" t="inlineStr">
        <is>
          <t>매매</t>
        </is>
      </c>
      <c r="F2612" s="4" t="n">
        <v>15000</v>
      </c>
      <c r="G2612" s="4" t="n">
        <v>1233</v>
      </c>
      <c r="H2612" s="4" t="n">
        <v>373</v>
      </c>
      <c r="I2612" s="5" t="n">
        <v>40.2</v>
      </c>
      <c r="J2612" s="4" t="n">
        <v>747.8</v>
      </c>
      <c r="K2612" s="3" t="inlineStr">
        <is>
          <t>봉곡동 2차선 접한 토지</t>
        </is>
      </c>
      <c r="L2612" s="6">
        <f>HYPERLINK("https://fin.land.naver.com/articles/2644695745", "매물Link")</f>
        <v/>
      </c>
      <c r="M2612" s="6">
        <f>HYPERLINK("https://map.naver.com/p/search/세종특별자치시 나성동 829", "지도Link")</f>
        <v/>
      </c>
      <c r="N2612" s="6">
        <f>HYPERLINK("http://www.eum.go.kr/web/ar/lu/luLandDet.jsp?pnu=3611010700108290000&amp;isNoScr=script&amp;mode=search", "토지이음")</f>
        <v/>
      </c>
      <c r="O2612" s="3" t="inlineStr">
        <is>
          <t>세종114</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세종특별자치시 나성동 829</t>
        </is>
      </c>
      <c r="B2613" s="3" t="inlineStr">
        <is>
          <t>중심상업지역</t>
        </is>
      </c>
      <c r="C2613" s="3" t="inlineStr">
        <is>
          <t>대</t>
        </is>
      </c>
      <c r="D2613" s="3" t="inlineStr">
        <is>
          <t>답</t>
        </is>
      </c>
      <c r="E2613" s="3" t="inlineStr">
        <is>
          <t>매매</t>
        </is>
      </c>
      <c r="F2613" s="4" t="n">
        <v>12000</v>
      </c>
      <c r="G2613" s="4" t="n">
        <v>602</v>
      </c>
      <c r="H2613" s="4" t="n">
        <v>182</v>
      </c>
      <c r="I2613" s="5" t="n">
        <v>65.90000000000001</v>
      </c>
      <c r="J2613" s="4" t="n">
        <v>747.8</v>
      </c>
      <c r="K2613" s="3" t="inlineStr">
        <is>
          <t>GB,도로접함,주말농장적지,현밭으로사용중</t>
        </is>
      </c>
      <c r="L2613" s="6">
        <f>HYPERLINK("https://fin.land.naver.com/articles/2646599393", "매물Link")</f>
        <v/>
      </c>
      <c r="M2613" s="6">
        <f>HYPERLINK("https://map.naver.com/p/search/세종특별자치시 나성동 829", "지도Link")</f>
        <v/>
      </c>
      <c r="N2613" s="6">
        <f>HYPERLINK("http://www.eum.go.kr/web/ar/lu/luLandDet.jsp?pnu=3611010700108290000&amp;isNoScr=script&amp;mode=search", "토지이음")</f>
        <v/>
      </c>
      <c r="O2613" s="3" t="inlineStr">
        <is>
          <t>백조</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세종특별자치시 나성동 829</t>
        </is>
      </c>
      <c r="B2614" s="3" t="inlineStr">
        <is>
          <t>중심상업지역</t>
        </is>
      </c>
      <c r="C2614" s="3" t="inlineStr">
        <is>
          <t>대</t>
        </is>
      </c>
      <c r="D2614" s="3" t="inlineStr">
        <is>
          <t>답</t>
        </is>
      </c>
      <c r="E2614" s="3" t="inlineStr">
        <is>
          <t>매매</t>
        </is>
      </c>
      <c r="F2614" s="4" t="n">
        <v>27000</v>
      </c>
      <c r="G2614" s="4" t="n">
        <v>1802</v>
      </c>
      <c r="H2614" s="4" t="n">
        <v>545</v>
      </c>
      <c r="I2614" s="5" t="n">
        <v>49.5</v>
      </c>
      <c r="J2614" s="4" t="n">
        <v>747.8</v>
      </c>
      <c r="K2614" s="3" t="inlineStr">
        <is>
          <t>GB,갑천변근접,차량진입가능,현포도나무식재</t>
        </is>
      </c>
      <c r="L2614" s="6">
        <f>HYPERLINK("https://fin.land.naver.com/articles/2646598349", "매물Link")</f>
        <v/>
      </c>
      <c r="M2614" s="6">
        <f>HYPERLINK("https://map.naver.com/p/search/세종특별자치시 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세종특별자치시 나성동 829</t>
        </is>
      </c>
      <c r="B2615" s="3" t="inlineStr">
        <is>
          <t>중심상업지역</t>
        </is>
      </c>
      <c r="C2615" s="3" t="inlineStr">
        <is>
          <t>대</t>
        </is>
      </c>
      <c r="D2615" s="3" t="inlineStr">
        <is>
          <t>전</t>
        </is>
      </c>
      <c r="E2615" s="3" t="inlineStr">
        <is>
          <t>매매</t>
        </is>
      </c>
      <c r="F2615" s="4" t="n">
        <v>42000</v>
      </c>
      <c r="G2615" s="4" t="n">
        <v>1152</v>
      </c>
      <c r="H2615" s="4" t="n">
        <v>348</v>
      </c>
      <c r="I2615" s="5" t="n">
        <v>120.7</v>
      </c>
      <c r="J2615" s="4" t="n">
        <v>747.8</v>
      </c>
      <c r="K2615" s="3" t="inlineStr">
        <is>
          <t>GB,천변도로접,주말농장,투자적지</t>
        </is>
      </c>
      <c r="L2615" s="6">
        <f>HYPERLINK("https://fin.land.naver.com/articles/2646597545", "매물Link")</f>
        <v/>
      </c>
      <c r="M2615" s="6">
        <f>HYPERLINK("https://map.naver.com/p/search/세종특별자치시 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세종특별자치시 나성동 829</t>
        </is>
      </c>
      <c r="B2616" s="3" t="inlineStr">
        <is>
          <t>중심상업지역</t>
        </is>
      </c>
      <c r="C2616" s="3" t="inlineStr">
        <is>
          <t>대</t>
        </is>
      </c>
      <c r="D2616" s="3" t="inlineStr">
        <is>
          <t>답</t>
        </is>
      </c>
      <c r="E2616" s="3" t="inlineStr">
        <is>
          <t>매매</t>
        </is>
      </c>
      <c r="F2616" s="4" t="n">
        <v>44000</v>
      </c>
      <c r="G2616" s="4" t="n">
        <v>1815</v>
      </c>
      <c r="H2616" s="4" t="n">
        <v>549</v>
      </c>
      <c r="I2616" s="5" t="n">
        <v>80.09999999999999</v>
      </c>
      <c r="J2616" s="4" t="n">
        <v>747.8</v>
      </c>
      <c r="K2616" s="3" t="inlineStr">
        <is>
          <t>괴곡동 느티나무근처 소재, 소도로접</t>
        </is>
      </c>
      <c r="L2616" s="6">
        <f>HYPERLINK("https://fin.land.naver.com/articles/2649917217", "매물Link")</f>
        <v/>
      </c>
      <c r="M2616" s="6">
        <f>HYPERLINK("https://map.naver.com/p/search/세종특별자치시 나성동 829", "지도Link")</f>
        <v/>
      </c>
      <c r="N2616" s="6">
        <f>HYPERLINK("http://www.eum.go.kr/web/ar/lu/luLandDet.jsp?pnu=3611010700108290000&amp;isNoScr=script&amp;mode=search", "토지이음")</f>
        <v/>
      </c>
      <c r="O2616" s="3" t="inlineStr">
        <is>
          <t>한국</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세종특별자치시 나성동 829</t>
        </is>
      </c>
      <c r="B2617" s="3" t="inlineStr">
        <is>
          <t>중심상업지역</t>
        </is>
      </c>
      <c r="C2617" s="3" t="inlineStr">
        <is>
          <t>대</t>
        </is>
      </c>
      <c r="D2617" s="3" t="inlineStr">
        <is>
          <t>답</t>
        </is>
      </c>
      <c r="E2617" s="3" t="inlineStr">
        <is>
          <t>매매</t>
        </is>
      </c>
      <c r="F2617" s="4" t="n">
        <v>26400</v>
      </c>
      <c r="G2617" s="4" t="n">
        <v>1458</v>
      </c>
      <c r="H2617" s="4" t="n">
        <v>441</v>
      </c>
      <c r="I2617" s="5" t="n">
        <v>59.9</v>
      </c>
      <c r="J2617" s="4" t="n">
        <v>747.8</v>
      </c>
      <c r="K2617" s="3" t="inlineStr">
        <is>
          <t>괴곡동,  자연녹지,</t>
        </is>
      </c>
      <c r="L2617" s="6">
        <f>HYPERLINK("https://fin.land.naver.com/articles/2649912370", "매물Link")</f>
        <v/>
      </c>
      <c r="M2617" s="6">
        <f>HYPERLINK("https://map.naver.com/p/search/세종특별자치시 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세종특별자치시 나성동 829</t>
        </is>
      </c>
      <c r="B2618" s="3" t="inlineStr">
        <is>
          <t>중심상업지역</t>
        </is>
      </c>
      <c r="C2618" s="3" t="inlineStr">
        <is>
          <t>대</t>
        </is>
      </c>
      <c r="D2618" s="3" t="inlineStr">
        <is>
          <t>답</t>
        </is>
      </c>
      <c r="E2618" s="3" t="inlineStr">
        <is>
          <t>매매</t>
        </is>
      </c>
      <c r="F2618" s="4" t="n">
        <v>30000</v>
      </c>
      <c r="G2618" s="4" t="n">
        <v>2212</v>
      </c>
      <c r="H2618" s="4" t="n">
        <v>669</v>
      </c>
      <c r="I2618" s="5" t="n">
        <v>44.8</v>
      </c>
      <c r="J2618" s="4" t="n">
        <v>747.8</v>
      </c>
      <c r="K2618" s="3" t="inlineStr">
        <is>
          <t>괴곡동 자연녹지, 소도로 접</t>
        </is>
      </c>
      <c r="L2618" s="6">
        <f>HYPERLINK("https://fin.land.naver.com/articles/2649909160", "매물Link")</f>
        <v/>
      </c>
      <c r="M2618" s="6">
        <f>HYPERLINK("https://map.naver.com/p/search/세종특별자치시 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세종특별자치시 나성동 829</t>
        </is>
      </c>
      <c r="B2619" s="3" t="inlineStr">
        <is>
          <t>중심상업지역</t>
        </is>
      </c>
      <c r="C2619" s="3" t="inlineStr">
        <is>
          <t>대</t>
        </is>
      </c>
      <c r="D2619" s="3" t="inlineStr">
        <is>
          <t>답</t>
        </is>
      </c>
      <c r="E2619" s="3" t="inlineStr">
        <is>
          <t>매매</t>
        </is>
      </c>
      <c r="F2619" s="4" t="n">
        <v>11000</v>
      </c>
      <c r="G2619" s="4" t="n">
        <v>1100</v>
      </c>
      <c r="H2619" s="4" t="n">
        <v>333</v>
      </c>
      <c r="I2619" s="5" t="n">
        <v>33</v>
      </c>
      <c r="J2619" s="4" t="n">
        <v>747.8</v>
      </c>
      <c r="K2619" s="3" t="inlineStr">
        <is>
          <t>도심과 인접하여 주말농장으로 추천합나다.</t>
        </is>
      </c>
      <c r="L2619" s="6">
        <f>HYPERLINK("https://fin.land.naver.com/articles/2645194994", "매물Link")</f>
        <v/>
      </c>
      <c r="M2619" s="6">
        <f>HYPERLINK("https://map.naver.com/p/search/세종특별자치시 나성동 829", "지도Link")</f>
        <v/>
      </c>
      <c r="N2619" s="6">
        <f>HYPERLINK("http://www.eum.go.kr/web/ar/lu/luLandDet.jsp?pnu=3611010700108290000&amp;isNoScr=script&amp;mode=search", "토지이음")</f>
        <v/>
      </c>
      <c r="O2619" s="3" t="inlineStr">
        <is>
          <t>늘푸른</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세종특별자치시 나성동 829</t>
        </is>
      </c>
      <c r="B2620" s="3" t="inlineStr">
        <is>
          <t>중심상업지역</t>
        </is>
      </c>
      <c r="C2620" s="3" t="inlineStr">
        <is>
          <t>대</t>
        </is>
      </c>
      <c r="D2620" s="3" t="inlineStr">
        <is>
          <t>대</t>
        </is>
      </c>
      <c r="E2620" s="3" t="inlineStr">
        <is>
          <t>매매</t>
        </is>
      </c>
      <c r="F2620" s="4" t="n">
        <v>40000</v>
      </c>
      <c r="G2620" s="4" t="n">
        <v>392</v>
      </c>
      <c r="H2620" s="4" t="n">
        <v>119</v>
      </c>
      <c r="I2620" s="5" t="n">
        <v>336.1</v>
      </c>
      <c r="J2620" s="4" t="n">
        <v>747.8</v>
      </c>
      <c r="K2620" s="3" t="inlineStr">
        <is>
          <t>서세종IC가깝고  장군면사무소 부근  집짓기 좋은 평수 입니다</t>
        </is>
      </c>
      <c r="L2620" s="6">
        <f>HYPERLINK("https://fin.land.naver.com/articles/2644744015", "매물Link")</f>
        <v/>
      </c>
      <c r="M2620" s="6">
        <f>HYPERLINK("https://map.naver.com/p/search/세종특별자치시 나성동 829", "지도Link")</f>
        <v/>
      </c>
      <c r="N2620" s="6">
        <f>HYPERLINK("http://www.eum.go.kr/web/ar/lu/luLandDet.jsp?pnu=3611010700108290000&amp;isNoScr=script&amp;mode=search", "토지이음")</f>
        <v/>
      </c>
      <c r="O2620" s="3" t="inlineStr">
        <is>
          <t>송림황금</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세종특별자치시 나성동 829</t>
        </is>
      </c>
      <c r="B2621" s="3" t="inlineStr">
        <is>
          <t>중심상업지역</t>
        </is>
      </c>
      <c r="C2621" s="3" t="inlineStr">
        <is>
          <t>대</t>
        </is>
      </c>
      <c r="D2621" s="3" t="inlineStr">
        <is>
          <t>대</t>
        </is>
      </c>
      <c r="E2621" s="3" t="inlineStr">
        <is>
          <t>매매</t>
        </is>
      </c>
      <c r="F2621" s="4" t="n">
        <v>50000</v>
      </c>
      <c r="G2621" s="4" t="n">
        <v>245</v>
      </c>
      <c r="H2621" s="4" t="n">
        <v>74</v>
      </c>
      <c r="I2621" s="5" t="n">
        <v>675.7</v>
      </c>
      <c r="J2621" s="4" t="n">
        <v>747.8</v>
      </c>
      <c r="K2621" s="3" t="inlineStr">
        <is>
          <t>급매.원내동 다가구 신축 적지,토지가 저렴,</t>
        </is>
      </c>
      <c r="L2621" s="6">
        <f>HYPERLINK("https://fin.land.naver.com/articles/2647769764", "매물Link")</f>
        <v/>
      </c>
      <c r="M2621" s="6">
        <f>HYPERLINK("https://map.naver.com/p/search/세종특별자치시 나성동 829", "지도Link")</f>
        <v/>
      </c>
      <c r="N2621" s="6">
        <f>HYPERLINK("http://www.eum.go.kr/web/ar/lu/luLandDet.jsp?pnu=3611010700108290000&amp;isNoScr=script&amp;mode=search", "토지이음")</f>
        <v/>
      </c>
      <c r="O2621" s="3" t="inlineStr">
        <is>
          <t>더책임</t>
        </is>
      </c>
      <c r="P2621" s="3" t="n">
        <v>2</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세종특별자치시 나성동 829</t>
        </is>
      </c>
      <c r="B2622" s="3" t="inlineStr">
        <is>
          <t>중심상업지역</t>
        </is>
      </c>
      <c r="C2622" s="3" t="inlineStr">
        <is>
          <t>대</t>
        </is>
      </c>
      <c r="D2622" s="3" t="inlineStr">
        <is>
          <t>대</t>
        </is>
      </c>
      <c r="E2622" s="3" t="inlineStr">
        <is>
          <t>매매</t>
        </is>
      </c>
      <c r="F2622" s="4" t="n">
        <v>48000</v>
      </c>
      <c r="G2622" s="4" t="n">
        <v>208</v>
      </c>
      <c r="H2622" s="4" t="n">
        <v>63</v>
      </c>
      <c r="I2622" s="5" t="n">
        <v>761.9</v>
      </c>
      <c r="J2622" s="4" t="n">
        <v>747.8</v>
      </c>
      <c r="K2622" s="3" t="inlineStr">
        <is>
          <t>대단지아파트 인근 나대지,착한 가격 ,상가주택 적지,학교옆</t>
        </is>
      </c>
      <c r="L2622" s="6">
        <f>HYPERLINK("https://fin.land.naver.com/articles/2647772045", "매물Link")</f>
        <v/>
      </c>
      <c r="M2622" s="6">
        <f>HYPERLINK("https://map.naver.com/p/search/세종특별자치시 나성동 829", "지도Link")</f>
        <v/>
      </c>
      <c r="N2622" s="6">
        <f>HYPERLINK("http://www.eum.go.kr/web/ar/lu/luLandDet.jsp?pnu=3611010700108290000&amp;isNoScr=script&amp;mode=search", "토지이음")</f>
        <v/>
      </c>
      <c r="O2622" s="3" t="inlineStr">
        <is>
          <t>더책임</t>
        </is>
      </c>
      <c r="P2622" s="3" t="n">
        <v>1</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세종특별자치시 나성동 829</t>
        </is>
      </c>
      <c r="B2623" s="3" t="inlineStr">
        <is>
          <t>중심상업지역</t>
        </is>
      </c>
      <c r="C2623" s="3" t="inlineStr">
        <is>
          <t>대</t>
        </is>
      </c>
      <c r="D2623" s="3" t="inlineStr">
        <is>
          <t>대</t>
        </is>
      </c>
      <c r="E2623" s="3" t="inlineStr">
        <is>
          <t>매매</t>
        </is>
      </c>
      <c r="F2623" s="4" t="n">
        <v>67000</v>
      </c>
      <c r="G2623" s="4" t="n">
        <v>318</v>
      </c>
      <c r="H2623" s="4" t="n">
        <v>96</v>
      </c>
      <c r="I2623" s="5" t="n">
        <v>697.9</v>
      </c>
      <c r="J2623" s="4" t="n">
        <v>747.8</v>
      </c>
      <c r="K2623" s="3" t="inlineStr">
        <is>
          <t>진잠도서관 인근 나대지,다가구,창고 신축 적합</t>
        </is>
      </c>
      <c r="L2623" s="6">
        <f>HYPERLINK("https://fin.land.naver.com/articles/2648309021", "매물Link")</f>
        <v/>
      </c>
      <c r="M2623" s="6">
        <f>HYPERLINK("https://map.naver.com/p/search/세종특별자치시 나성동 829", "지도Link")</f>
        <v/>
      </c>
      <c r="N2623" s="6">
        <f>HYPERLINK("http://www.eum.go.kr/web/ar/lu/luLandDet.jsp?pnu=3611010700108290000&amp;isNoScr=script&amp;mode=search", "토지이음")</f>
        <v/>
      </c>
      <c r="O2623" s="3" t="inlineStr">
        <is>
          <t>터와터</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세종특별자치시 나성동 829</t>
        </is>
      </c>
      <c r="B2624" s="3" t="inlineStr">
        <is>
          <t>중심상업지역</t>
        </is>
      </c>
      <c r="C2624" s="3" t="inlineStr">
        <is>
          <t>대</t>
        </is>
      </c>
      <c r="D2624" s="3" t="inlineStr">
        <is>
          <t>임야</t>
        </is>
      </c>
      <c r="E2624" s="3" t="inlineStr">
        <is>
          <t>매매</t>
        </is>
      </c>
      <c r="F2624" s="4" t="n">
        <v>104000</v>
      </c>
      <c r="G2624" s="4" t="n">
        <v>859</v>
      </c>
      <c r="H2624" s="4" t="n">
        <v>260</v>
      </c>
      <c r="I2624" s="5" t="n">
        <v>400</v>
      </c>
      <c r="J2624" s="4" t="n">
        <v>747.8</v>
      </c>
      <c r="K2624" s="3" t="inlineStr">
        <is>
          <t>식당, 카페 위치로 적극 추천</t>
        </is>
      </c>
      <c r="L2624" s="6">
        <f>HYPERLINK("https://fin.land.naver.com/articles/2644773373", "매물Link")</f>
        <v/>
      </c>
      <c r="M2624" s="6">
        <f>HYPERLINK("https://map.naver.com/p/search/세종특별자치시 나성동 829", "지도Link")</f>
        <v/>
      </c>
      <c r="N2624" s="6">
        <f>HYPERLINK("http://www.eum.go.kr/web/ar/lu/luLandDet.jsp?pnu=3611010700108290000&amp;isNoScr=script&amp;mode=search", "토지이음")</f>
        <v/>
      </c>
      <c r="O2624" s="3" t="inlineStr">
        <is>
          <t>세종대평</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세종특별자치시 나성동 829</t>
        </is>
      </c>
      <c r="B2625" s="3" t="inlineStr">
        <is>
          <t>중심상업지역</t>
        </is>
      </c>
      <c r="C2625" s="3" t="inlineStr">
        <is>
          <t>대</t>
        </is>
      </c>
      <c r="D2625" s="3" t="inlineStr">
        <is>
          <t>대</t>
        </is>
      </c>
      <c r="E2625" s="3" t="inlineStr">
        <is>
          <t>매매</t>
        </is>
      </c>
      <c r="F2625" s="4" t="n">
        <v>47000</v>
      </c>
      <c r="G2625" s="4" t="n">
        <v>201</v>
      </c>
      <c r="H2625" s="4" t="n">
        <v>61</v>
      </c>
      <c r="I2625" s="5" t="n">
        <v>770.5</v>
      </c>
      <c r="J2625" s="4" t="n">
        <v>747.8</v>
      </c>
      <c r="K2625" s="3" t="inlineStr">
        <is>
          <t>준주거지역,도로접,다가구,창고 신축 적합</t>
        </is>
      </c>
      <c r="L2625" s="6">
        <f>HYPERLINK("https://fin.land.naver.com/articles/2648307495", "매물Link")</f>
        <v/>
      </c>
      <c r="M2625" s="6">
        <f>HYPERLINK("https://map.naver.com/p/search/세종특별자치시 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세종특별자치시 나성동 829</t>
        </is>
      </c>
      <c r="B2626" s="3" t="inlineStr">
        <is>
          <t>중심상업지역</t>
        </is>
      </c>
      <c r="C2626" s="3" t="inlineStr">
        <is>
          <t>대</t>
        </is>
      </c>
      <c r="D2626" s="3" t="inlineStr">
        <is>
          <t>답</t>
        </is>
      </c>
      <c r="E2626" s="3" t="inlineStr">
        <is>
          <t>매매</t>
        </is>
      </c>
      <c r="F2626" s="4" t="n">
        <v>24310</v>
      </c>
      <c r="G2626" s="4" t="n">
        <v>618</v>
      </c>
      <c r="H2626" s="4" t="n">
        <v>187</v>
      </c>
      <c r="I2626" s="5" t="n">
        <v>130</v>
      </c>
      <c r="J2626" s="4" t="n">
        <v>747.8</v>
      </c>
      <c r="K2626" s="3" t="inlineStr">
        <is>
          <t>나노반도체 국가산업단지 대상지역</t>
        </is>
      </c>
      <c r="L2626" s="6">
        <f>HYPERLINK("https://fin.land.naver.com/articles/2647805579", "매물Link")</f>
        <v/>
      </c>
      <c r="M2626" s="6">
        <f>HYPERLINK("https://map.naver.com/p/search/세종특별자치시 나성동 829", "지도Link")</f>
        <v/>
      </c>
      <c r="N2626" s="6">
        <f>HYPERLINK("http://www.eum.go.kr/web/ar/lu/luLandDet.jsp?pnu=3611010700108290000&amp;isNoScr=script&amp;mode=search", "토지이음")</f>
        <v/>
      </c>
      <c r="O2626" s="3" t="inlineStr">
        <is>
          <t>골든타임</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세종특별자치시 나성동 829</t>
        </is>
      </c>
      <c r="B2627" s="3" t="inlineStr">
        <is>
          <t>중심상업지역</t>
        </is>
      </c>
      <c r="C2627" s="3" t="inlineStr">
        <is>
          <t>대</t>
        </is>
      </c>
      <c r="D2627" s="3" t="inlineStr">
        <is>
          <t>전</t>
        </is>
      </c>
      <c r="E2627" s="3" t="inlineStr">
        <is>
          <t>매매</t>
        </is>
      </c>
      <c r="F2627" s="4" t="n">
        <v>37000</v>
      </c>
      <c r="G2627" s="4" t="n">
        <v>806</v>
      </c>
      <c r="H2627" s="4" t="n">
        <v>244</v>
      </c>
      <c r="I2627" s="5" t="n">
        <v>151.6</v>
      </c>
      <c r="J2627" s="4" t="n">
        <v>747.8</v>
      </c>
      <c r="K2627" s="3" t="inlineStr">
        <is>
          <t>대전나노국가산업단지 편입에 따른 투자토지
개발제한구역.토지거래허가구역</t>
        </is>
      </c>
      <c r="L2627" s="6">
        <f>HYPERLINK("https://fin.land.naver.com/articles/2646954555", "매물Link")</f>
        <v/>
      </c>
      <c r="M2627" s="6">
        <f>HYPERLINK("https://map.naver.com/p/search/세종특별자치시 나성동 829", "지도Link")</f>
        <v/>
      </c>
      <c r="N2627" s="6">
        <f>HYPERLINK("http://www.eum.go.kr/web/ar/lu/luLandDet.jsp?pnu=3611010700108290000&amp;isNoScr=script&amp;mode=search", "토지이음")</f>
        <v/>
      </c>
      <c r="O2627" s="3" t="inlineStr">
        <is>
          <t>국화</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세종특별자치시 나성동 829</t>
        </is>
      </c>
      <c r="B2628" s="3" t="inlineStr">
        <is>
          <t>중심상업지역</t>
        </is>
      </c>
      <c r="C2628" s="3" t="inlineStr">
        <is>
          <t>대</t>
        </is>
      </c>
      <c r="D2628" s="3" t="inlineStr">
        <is>
          <t>전</t>
        </is>
      </c>
      <c r="E2628" s="3" t="inlineStr">
        <is>
          <t>매매</t>
        </is>
      </c>
      <c r="F2628" s="4" t="n">
        <v>75920</v>
      </c>
      <c r="G2628" s="4" t="n">
        <v>967</v>
      </c>
      <c r="H2628" s="4" t="n">
        <v>293</v>
      </c>
      <c r="I2628" s="5" t="n">
        <v>259.1</v>
      </c>
      <c r="J2628" s="4" t="n">
        <v>747.8</v>
      </c>
      <c r="K2628" s="3" t="inlineStr">
        <is>
          <t>토지거래허가구역 차량진입가능합니다</t>
        </is>
      </c>
      <c r="L2628" s="6">
        <f>HYPERLINK("https://fin.land.naver.com/articles/2649559810", "매물Link")</f>
        <v/>
      </c>
      <c r="M2628" s="6">
        <f>HYPERLINK("https://map.naver.com/p/search/세종특별자치시 나성동 829", "지도Link")</f>
        <v/>
      </c>
      <c r="N2628" s="6">
        <f>HYPERLINK("http://www.eum.go.kr/web/ar/lu/luLandDet.jsp?pnu=3611010700108290000&amp;isNoScr=script&amp;mode=search", "토지이음")</f>
        <v/>
      </c>
      <c r="O2628" s="3" t="inlineStr">
        <is>
          <t>드리움행운</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세종특별자치시 나성동 829</t>
        </is>
      </c>
      <c r="B2629" s="3" t="inlineStr">
        <is>
          <t>중심상업지역</t>
        </is>
      </c>
      <c r="C2629" s="3" t="inlineStr">
        <is>
          <t>대</t>
        </is>
      </c>
      <c r="D2629" s="3" t="inlineStr">
        <is>
          <t>임야</t>
        </is>
      </c>
      <c r="E2629" s="3" t="inlineStr">
        <is>
          <t>매매</t>
        </is>
      </c>
      <c r="F2629" s="4" t="n">
        <v>30000</v>
      </c>
      <c r="G2629" s="4" t="n">
        <v>33521</v>
      </c>
      <c r="H2629" s="4" t="n">
        <v>10140</v>
      </c>
      <c r="I2629" s="5" t="n">
        <v>3</v>
      </c>
      <c r="J2629" s="4" t="n">
        <v>747.8</v>
      </c>
      <c r="K2629" s="3" t="inlineStr">
        <is>
          <t>위치좋고,전망좋은 향후투자가치 높음</t>
        </is>
      </c>
      <c r="L2629" s="6">
        <f>HYPERLINK("https://fin.land.naver.com/articles/2649281723", "매물Link")</f>
        <v/>
      </c>
      <c r="M2629" s="6">
        <f>HYPERLINK("https://map.naver.com/p/search/세종특별자치시 나성동 829", "지도Link")</f>
        <v/>
      </c>
      <c r="N2629" s="6">
        <f>HYPERLINK("http://www.eum.go.kr/web/ar/lu/luLandDet.jsp?pnu=3611010700108290000&amp;isNoScr=script&amp;mode=search", "토지이음")</f>
        <v/>
      </c>
      <c r="O2629" s="3" t="inlineStr">
        <is>
          <t>동양</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세종특별자치시 나성동 829</t>
        </is>
      </c>
      <c r="B2630" s="3" t="inlineStr">
        <is>
          <t>중심상업지역</t>
        </is>
      </c>
      <c r="C2630" s="3" t="inlineStr">
        <is>
          <t>대</t>
        </is>
      </c>
      <c r="D2630" s="3" t="inlineStr">
        <is>
          <t>답</t>
        </is>
      </c>
      <c r="E2630" s="3" t="inlineStr">
        <is>
          <t>매매</t>
        </is>
      </c>
      <c r="F2630" s="4" t="n">
        <v>27400</v>
      </c>
      <c r="G2630" s="4" t="n">
        <v>3025</v>
      </c>
      <c r="H2630" s="4" t="n">
        <v>915</v>
      </c>
      <c r="I2630" s="5" t="n">
        <v>29.9</v>
      </c>
      <c r="J2630" s="4" t="n">
        <v>747.8</v>
      </c>
      <c r="K2630" s="3" t="inlineStr">
        <is>
          <t>도로접한 답,경지정리됨,갑천물이 흐름,청정구역,개발제한구역</t>
        </is>
      </c>
      <c r="L2630" s="6">
        <f>HYPERLINK("https://fin.land.naver.com/articles/2647674422", "매물Link")</f>
        <v/>
      </c>
      <c r="M2630" s="6">
        <f>HYPERLINK("https://map.naver.com/p/search/세종특별자치시 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세종특별자치시 나성동 829</t>
        </is>
      </c>
      <c r="B2631" s="3" t="inlineStr">
        <is>
          <t>중심상업지역</t>
        </is>
      </c>
      <c r="C2631" s="3" t="inlineStr">
        <is>
          <t>대</t>
        </is>
      </c>
      <c r="D2631" s="3" t="inlineStr">
        <is>
          <t>답</t>
        </is>
      </c>
      <c r="E2631" s="3" t="inlineStr">
        <is>
          <t>매매</t>
        </is>
      </c>
      <c r="F2631" s="4" t="n">
        <v>21400</v>
      </c>
      <c r="G2631" s="4" t="n">
        <v>2833</v>
      </c>
      <c r="H2631" s="4" t="n">
        <v>857</v>
      </c>
      <c r="I2631" s="5" t="n">
        <v>25</v>
      </c>
      <c r="J2631" s="4" t="n">
        <v>747.8</v>
      </c>
      <c r="K2631" s="3" t="inlineStr">
        <is>
          <t>원정동, 야산밑의 양지바른 농지,포장도로접함,개발제한구역,대토로도 추천</t>
        </is>
      </c>
      <c r="L2631" s="6">
        <f>HYPERLINK("https://fin.land.naver.com/articles/2647674472", "매물Link")</f>
        <v/>
      </c>
      <c r="M2631" s="6">
        <f>HYPERLINK("https://map.naver.com/p/search/세종특별자치시 나성동 829", "지도Link")</f>
        <v/>
      </c>
      <c r="N2631" s="6">
        <f>HYPERLINK("http://www.eum.go.kr/web/ar/lu/luLandDet.jsp?pnu=3611010700108290000&amp;isNoScr=script&amp;mode=search", "토지이음")</f>
        <v/>
      </c>
      <c r="O2631" s="3" t="inlineStr">
        <is>
          <t>도안우미린사랑무소</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세종특별자치시 나성동 829</t>
        </is>
      </c>
      <c r="B2632" s="3" t="inlineStr">
        <is>
          <t>중심상업지역</t>
        </is>
      </c>
      <c r="C2632" s="3" t="inlineStr">
        <is>
          <t>대</t>
        </is>
      </c>
      <c r="D2632" s="3" t="inlineStr">
        <is>
          <t>임야</t>
        </is>
      </c>
      <c r="E2632" s="3" t="inlineStr">
        <is>
          <t>매매</t>
        </is>
      </c>
      <c r="F2632" s="4" t="n">
        <v>21000</v>
      </c>
      <c r="G2632" s="4" t="n">
        <v>10018</v>
      </c>
      <c r="H2632" s="4" t="n">
        <v>3030</v>
      </c>
      <c r="I2632" s="5" t="n">
        <v>6.9</v>
      </c>
      <c r="J2632" s="4" t="n">
        <v>747.8</v>
      </c>
      <c r="K2632" s="3" t="inlineStr">
        <is>
          <t>원정동 자연녹지, 소도로 접</t>
        </is>
      </c>
      <c r="L2632" s="6">
        <f>HYPERLINK("https://fin.land.naver.com/articles/2649911735", "매물Link")</f>
        <v/>
      </c>
      <c r="M2632" s="6">
        <f>HYPERLINK("https://map.naver.com/p/search/세종특별자치시 나성동 829", "지도Link")</f>
        <v/>
      </c>
      <c r="N2632" s="6">
        <f>HYPERLINK("http://www.eum.go.kr/web/ar/lu/luLandDet.jsp?pnu=3611010700108290000&amp;isNoScr=script&amp;mode=search", "토지이음")</f>
        <v/>
      </c>
      <c r="O2632" s="3" t="inlineStr">
        <is>
          <t>한국</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세종특별자치시 나성동 829</t>
        </is>
      </c>
      <c r="B2633" s="3" t="inlineStr">
        <is>
          <t>중심상업지역</t>
        </is>
      </c>
      <c r="C2633" s="3" t="inlineStr">
        <is>
          <t>대</t>
        </is>
      </c>
      <c r="D2633" s="3" t="inlineStr">
        <is>
          <t>대</t>
        </is>
      </c>
      <c r="E2633" s="3" t="inlineStr">
        <is>
          <t>매매</t>
        </is>
      </c>
      <c r="F2633" s="4" t="n">
        <v>66000</v>
      </c>
      <c r="G2633" s="4" t="n">
        <v>109</v>
      </c>
      <c r="H2633" s="4" t="n">
        <v>33</v>
      </c>
      <c r="I2633" s="5" t="n">
        <v>2000</v>
      </c>
      <c r="J2633" s="4" t="n">
        <v>747.8</v>
      </c>
      <c r="K2633" s="3" t="inlineStr">
        <is>
          <t>용포리삼거리에 있는 위치 좋은 토지 투자가치 큼.</t>
        </is>
      </c>
      <c r="L2633" s="6">
        <f>HYPERLINK("https://fin.land.naver.com/articles/2648979219", "매물Link")</f>
        <v/>
      </c>
      <c r="M2633" s="6">
        <f>HYPERLINK("https://map.naver.com/p/search/세종특별자치시 나성동 829", "지도Link")</f>
        <v/>
      </c>
      <c r="N2633" s="6">
        <f>HYPERLINK("http://www.eum.go.kr/web/ar/lu/luLandDet.jsp?pnu=3611010700108290000&amp;isNoScr=script&amp;mode=search", "토지이음")</f>
        <v/>
      </c>
      <c r="O2633" s="3" t="inlineStr">
        <is>
          <t>하이스트정원</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세종특별자치시 나성동 829</t>
        </is>
      </c>
      <c r="B2634" s="3" t="inlineStr">
        <is>
          <t>중심상업지역</t>
        </is>
      </c>
      <c r="C2634" s="3" t="inlineStr">
        <is>
          <t>대</t>
        </is>
      </c>
      <c r="D2634" s="3" t="inlineStr">
        <is>
          <t>전</t>
        </is>
      </c>
      <c r="E2634" s="3" t="inlineStr">
        <is>
          <t>매매</t>
        </is>
      </c>
      <c r="F2634" s="4" t="n">
        <v>133000</v>
      </c>
      <c r="G2634" s="4" t="n">
        <v>2100000</v>
      </c>
      <c r="H2634" s="4" t="n">
        <v>635250</v>
      </c>
      <c r="I2634" s="5" t="n">
        <v>0.2</v>
      </c>
      <c r="J2634" s="4" t="n">
        <v>747.8</v>
      </c>
      <c r="K2634" s="3" t="inlineStr">
        <is>
          <t>nan</t>
        </is>
      </c>
      <c r="L2634" s="6">
        <f>HYPERLINK("https://fin.land.naver.com/articles/2648803480", "매물Link")</f>
        <v/>
      </c>
      <c r="M2634" s="6">
        <f>HYPERLINK("https://map.naver.com/p/search/세종특별자치시 나성동 829", "지도Link")</f>
        <v/>
      </c>
      <c r="N2634" s="6">
        <f>HYPERLINK("http://www.eum.go.kr/web/ar/lu/luLandDet.jsp?pnu=3611010700108290000&amp;isNoScr=script&amp;mode=search", "토지이음")</f>
        <v/>
      </c>
      <c r="O2634" s="3" t="inlineStr">
        <is>
          <t>생명나무</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세종특별자치시 나성동 829</t>
        </is>
      </c>
      <c r="B2635" s="3" t="inlineStr">
        <is>
          <t>중심상업지역</t>
        </is>
      </c>
      <c r="C2635" s="3" t="inlineStr">
        <is>
          <t>대</t>
        </is>
      </c>
      <c r="D2635" s="3" t="inlineStr">
        <is>
          <t>전</t>
        </is>
      </c>
      <c r="E2635" s="3" t="inlineStr">
        <is>
          <t>매매</t>
        </is>
      </c>
      <c r="F2635" s="4" t="n">
        <v>35000</v>
      </c>
      <c r="G2635" s="4" t="n">
        <v>882</v>
      </c>
      <c r="H2635" s="4" t="n">
        <v>267</v>
      </c>
      <c r="I2635" s="5" t="n">
        <v>131.1</v>
      </c>
      <c r="J2635" s="4" t="n">
        <v>747.8</v>
      </c>
      <c r="K2635" s="3" t="inlineStr">
        <is>
          <t>공시지가 제곱미터당 291,000</t>
        </is>
      </c>
      <c r="L2635" s="6">
        <f>HYPERLINK("https://fin.land.naver.com/articles/2648610621", "매물Link")</f>
        <v/>
      </c>
      <c r="M2635" s="6">
        <f>HYPERLINK("https://map.naver.com/p/search/세종특별자치시 나성동 829", "지도Link")</f>
        <v/>
      </c>
      <c r="N2635" s="6">
        <f>HYPERLINK("http://www.eum.go.kr/web/ar/lu/luLandDet.jsp?pnu=3611010700108290000&amp;isNoScr=script&amp;mode=search", "토지이음")</f>
        <v/>
      </c>
      <c r="O2635" s="3" t="inlineStr">
        <is>
          <t>신삼성</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세종특별자치시 나성동 829</t>
        </is>
      </c>
      <c r="B2636" s="3" t="inlineStr">
        <is>
          <t>중심상업지역</t>
        </is>
      </c>
      <c r="C2636" s="3" t="inlineStr">
        <is>
          <t>대</t>
        </is>
      </c>
      <c r="D2636" s="3" t="inlineStr">
        <is>
          <t>답</t>
        </is>
      </c>
      <c r="E2636" s="3" t="inlineStr">
        <is>
          <t>매매</t>
        </is>
      </c>
      <c r="F2636" s="4" t="n">
        <v>50800</v>
      </c>
      <c r="G2636" s="4" t="n">
        <v>1977</v>
      </c>
      <c r="H2636" s="4" t="n">
        <v>598</v>
      </c>
      <c r="I2636" s="5" t="n">
        <v>84.90000000000001</v>
      </c>
      <c r="J2636" s="4" t="n">
        <v>747.8</v>
      </c>
      <c r="K2636" s="3" t="inlineStr">
        <is>
          <t>개발제한구역이며,토지거래허가구역임.</t>
        </is>
      </c>
      <c r="L2636" s="6">
        <f>HYPERLINK("https://fin.land.naver.com/articles/2648188335", "매물Link")</f>
        <v/>
      </c>
      <c r="M2636" s="6">
        <f>HYPERLINK("https://map.naver.com/p/search/세종특별자치시 나성동 829", "지도Link")</f>
        <v/>
      </c>
      <c r="N2636" s="6">
        <f>HYPERLINK("http://www.eum.go.kr/web/ar/lu/luLandDet.jsp?pnu=3611010700108290000&amp;isNoScr=script&amp;mode=search", "토지이음")</f>
        <v/>
      </c>
      <c r="O2636" s="3" t="inlineStr">
        <is>
          <t>이은숙</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세종특별자치시 나성동 829</t>
        </is>
      </c>
      <c r="B2637" s="3" t="inlineStr">
        <is>
          <t>중심상업지역</t>
        </is>
      </c>
      <c r="C2637" s="3" t="inlineStr">
        <is>
          <t>대</t>
        </is>
      </c>
      <c r="D2637" s="3" t="inlineStr">
        <is>
          <t>답</t>
        </is>
      </c>
      <c r="E2637" s="3" t="inlineStr">
        <is>
          <t>매매</t>
        </is>
      </c>
      <c r="F2637" s="4" t="n">
        <v>38749</v>
      </c>
      <c r="G2637" s="4" t="n">
        <v>2979</v>
      </c>
      <c r="H2637" s="4" t="n">
        <v>901</v>
      </c>
      <c r="I2637" s="5" t="n">
        <v>43</v>
      </c>
      <c r="J2637" s="4" t="n">
        <v>747.8</v>
      </c>
      <c r="K2637" s="3" t="inlineStr">
        <is>
          <t>가격이 저렴하며. 향후투자가치가 있음.대토토지로 용이함</t>
        </is>
      </c>
      <c r="L2637" s="6">
        <f>HYPERLINK("https://fin.land.naver.com/articles/2648187976", "매물Link")</f>
        <v/>
      </c>
      <c r="M2637" s="6">
        <f>HYPERLINK("https://map.naver.com/p/search/세종특별자치시 나성동 829", "지도Link")</f>
        <v/>
      </c>
      <c r="N2637" s="6">
        <f>HYPERLINK("http://www.eum.go.kr/web/ar/lu/luLandDet.jsp?pnu=3611010700108290000&amp;isNoScr=script&amp;mode=search", "토지이음")</f>
        <v/>
      </c>
      <c r="O2637" s="3" t="inlineStr">
        <is>
          <t>이은숙</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세종특별자치시 나성동 829</t>
        </is>
      </c>
      <c r="B2638" s="3" t="inlineStr">
        <is>
          <t>중심상업지역</t>
        </is>
      </c>
      <c r="C2638" s="3" t="inlineStr">
        <is>
          <t>대</t>
        </is>
      </c>
      <c r="D2638" s="3" t="inlineStr">
        <is>
          <t>전</t>
        </is>
      </c>
      <c r="E2638" s="3" t="inlineStr">
        <is>
          <t>매매</t>
        </is>
      </c>
      <c r="F2638" s="4" t="n">
        <v>16600</v>
      </c>
      <c r="G2638" s="4" t="n">
        <v>1828</v>
      </c>
      <c r="H2638" s="4" t="n">
        <v>553</v>
      </c>
      <c r="I2638" s="5" t="n">
        <v>30</v>
      </c>
      <c r="J2638" s="4" t="n">
        <v>747.8</v>
      </c>
      <c r="K2638" s="3" t="inlineStr">
        <is>
          <t>장재리 공시가거래</t>
        </is>
      </c>
      <c r="L2638" s="6">
        <f>HYPERLINK("https://fin.land.naver.com/articles/2648030713", "매물Link")</f>
        <v/>
      </c>
      <c r="M2638" s="6">
        <f>HYPERLINK("https://map.naver.com/p/search/세종특별자치시 나성동 829", "지도Link")</f>
        <v/>
      </c>
      <c r="N2638" s="6">
        <f>HYPERLINK("http://www.eum.go.kr/web/ar/lu/luLandDet.jsp?pnu=3611010700108290000&amp;isNoScr=script&amp;mode=search", "토지이음")</f>
        <v/>
      </c>
      <c r="O2638" s="3" t="inlineStr">
        <is>
          <t>THE행복</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세종특별자치시 나성동 829</t>
        </is>
      </c>
      <c r="B2639" s="3" t="inlineStr">
        <is>
          <t>중심상업지역</t>
        </is>
      </c>
      <c r="C2639" s="3" t="inlineStr">
        <is>
          <t>대</t>
        </is>
      </c>
      <c r="D2639" s="3" t="inlineStr">
        <is>
          <t>답</t>
        </is>
      </c>
      <c r="E2639" s="3" t="inlineStr">
        <is>
          <t>매매</t>
        </is>
      </c>
      <c r="F2639" s="4" t="n">
        <v>98000</v>
      </c>
      <c r="G2639" s="4" t="n">
        <v>3633</v>
      </c>
      <c r="H2639" s="4" t="n">
        <v>1099</v>
      </c>
      <c r="I2639" s="5" t="n">
        <v>89.2</v>
      </c>
      <c r="J2639" s="4" t="n">
        <v>747.8</v>
      </c>
      <c r="K2639" s="3" t="inlineStr">
        <is>
          <t>세종과 대전사이 금남면 용담리 위치좋은 토지매물</t>
        </is>
      </c>
      <c r="L2639" s="6">
        <f>HYPERLINK("https://fin.land.naver.com/articles/2647747239", "매물Link")</f>
        <v/>
      </c>
      <c r="M2639" s="6">
        <f>HYPERLINK("https://map.naver.com/p/search/세종특별자치시 나성동 829", "지도Link")</f>
        <v/>
      </c>
      <c r="N2639" s="6">
        <f>HYPERLINK("http://www.eum.go.kr/web/ar/lu/luLandDet.jsp?pnu=3611010700108290000&amp;isNoScr=script&amp;mode=search", "토지이음")</f>
        <v/>
      </c>
      <c r="O2639" s="3" t="inlineStr">
        <is>
          <t>트리풀행복</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세종특별자치시 나성동 829</t>
        </is>
      </c>
      <c r="B2640" s="3" t="inlineStr">
        <is>
          <t>중심상업지역</t>
        </is>
      </c>
      <c r="C2640" s="3" t="inlineStr">
        <is>
          <t>대</t>
        </is>
      </c>
      <c r="D2640" s="3" t="inlineStr">
        <is>
          <t>전</t>
        </is>
      </c>
      <c r="E2640" s="3" t="inlineStr">
        <is>
          <t>매매</t>
        </is>
      </c>
      <c r="F2640" s="4" t="n">
        <v>15000</v>
      </c>
      <c r="G2640" s="4" t="n">
        <v>1002</v>
      </c>
      <c r="H2640" s="4" t="n">
        <v>303</v>
      </c>
      <c r="I2640" s="5" t="n">
        <v>49.5</v>
      </c>
      <c r="J2640" s="4" t="n">
        <v>747.8</v>
      </c>
      <c r="K2640" s="3" t="inlineStr">
        <is>
          <t>투자성 좋은 토지매매</t>
        </is>
      </c>
      <c r="L2640" s="6">
        <f>HYPERLINK("https://fin.land.naver.com/articles/2647687669", "매물Link")</f>
        <v/>
      </c>
      <c r="M2640" s="6">
        <f>HYPERLINK("https://map.naver.com/p/search/세종특별자치시 나성동 829", "지도Link")</f>
        <v/>
      </c>
      <c r="N2640" s="6">
        <f>HYPERLINK("http://www.eum.go.kr/web/ar/lu/luLandDet.jsp?pnu=3611010700108290000&amp;isNoScr=script&amp;mode=search", "토지이음")</f>
        <v/>
      </c>
      <c r="O2640" s="3" t="inlineStr">
        <is>
          <t>한솔랜드</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세종특별자치시 나성동 829</t>
        </is>
      </c>
      <c r="B2641" s="3" t="inlineStr">
        <is>
          <t>중심상업지역</t>
        </is>
      </c>
      <c r="C2641" s="3" t="inlineStr">
        <is>
          <t>대</t>
        </is>
      </c>
      <c r="D2641" s="3" t="inlineStr">
        <is>
          <t>답</t>
        </is>
      </c>
      <c r="E2641" s="3" t="inlineStr">
        <is>
          <t>매매</t>
        </is>
      </c>
      <c r="F2641" s="4" t="n">
        <v>63000</v>
      </c>
      <c r="G2641" s="4" t="n">
        <v>1607</v>
      </c>
      <c r="H2641" s="4" t="n">
        <v>486</v>
      </c>
      <c r="I2641" s="5" t="n">
        <v>129.6</v>
      </c>
      <c r="J2641" s="4" t="n">
        <v>747.8</v>
      </c>
      <c r="K2641" s="3" t="inlineStr">
        <is>
          <t>금남면 성덕리 토지매매</t>
        </is>
      </c>
      <c r="L2641" s="6">
        <f>HYPERLINK("https://fin.land.naver.com/articles/2647678480", "매물Link")</f>
        <v/>
      </c>
      <c r="M2641" s="6">
        <f>HYPERLINK("https://map.naver.com/p/search/세종특별자치시 나성동 829", "지도Link")</f>
        <v/>
      </c>
      <c r="N2641" s="6">
        <f>HYPERLINK("http://www.eum.go.kr/web/ar/lu/luLandDet.jsp?pnu=3611010700108290000&amp;isNoScr=script&amp;mode=search", "토지이음")</f>
        <v/>
      </c>
      <c r="O2641" s="3" t="inlineStr">
        <is>
          <t>비전</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세종특별자치시 나성동 829</t>
        </is>
      </c>
      <c r="B2642" s="3" t="inlineStr">
        <is>
          <t>중심상업지역</t>
        </is>
      </c>
      <c r="C2642" s="3" t="inlineStr">
        <is>
          <t>대</t>
        </is>
      </c>
      <c r="D2642" s="3" t="inlineStr">
        <is>
          <t>답</t>
        </is>
      </c>
      <c r="E2642" s="3" t="inlineStr">
        <is>
          <t>매매</t>
        </is>
      </c>
      <c r="F2642" s="4" t="n">
        <v>50000</v>
      </c>
      <c r="G2642" s="4" t="n">
        <v>1660</v>
      </c>
      <c r="H2642" s="4" t="n">
        <v>502</v>
      </c>
      <c r="I2642" s="5" t="n">
        <v>99.59999999999999</v>
      </c>
      <c r="J2642" s="4" t="n">
        <v>747.8</v>
      </c>
      <c r="K2642" s="3" t="inlineStr">
        <is>
          <t>본토지를 경계로 계획관리지역임 인접농로있음 관정설치 장기적인 투자추천</t>
        </is>
      </c>
      <c r="L2642" s="6">
        <f>HYPERLINK("https://fin.land.naver.com/articles/2647674937", "매물Link")</f>
        <v/>
      </c>
      <c r="M2642" s="6">
        <f>HYPERLINK("https://map.naver.com/p/search/세종특별자치시 나성동 829", "지도Link")</f>
        <v/>
      </c>
      <c r="N2642" s="6">
        <f>HYPERLINK("http://www.eum.go.kr/web/ar/lu/luLandDet.jsp?pnu=3611010700108290000&amp;isNoScr=script&amp;mode=search", "토지이음")</f>
        <v/>
      </c>
      <c r="O2642" s="3" t="inlineStr">
        <is>
          <t>도안우미린사랑무소</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세종특별자치시 나성동 829</t>
        </is>
      </c>
      <c r="B2643" s="3" t="inlineStr">
        <is>
          <t>중심상업지역</t>
        </is>
      </c>
      <c r="C2643" s="3" t="inlineStr">
        <is>
          <t>대</t>
        </is>
      </c>
      <c r="D2643" s="3" t="inlineStr">
        <is>
          <t>답</t>
        </is>
      </c>
      <c r="E2643" s="3" t="inlineStr">
        <is>
          <t>매매</t>
        </is>
      </c>
      <c r="F2643" s="4" t="n">
        <v>58800</v>
      </c>
      <c r="G2643" s="4" t="n">
        <v>721</v>
      </c>
      <c r="H2643" s="4" t="n">
        <v>218</v>
      </c>
      <c r="I2643" s="5" t="n">
        <v>269.7</v>
      </c>
      <c r="J2643" s="4" t="n">
        <v>747.8</v>
      </c>
      <c r="K2643" s="3" t="inlineStr">
        <is>
          <t>대지 전환 후 단독주택 건축 가능한 농지 매매</t>
        </is>
      </c>
      <c r="L2643" s="6">
        <f>HYPERLINK("https://fin.land.naver.com/articles/2647647593", "매물Link")</f>
        <v/>
      </c>
      <c r="M2643" s="6">
        <f>HYPERLINK("https://map.naver.com/p/search/세종특별자치시 나성동 829", "지도Link")</f>
        <v/>
      </c>
      <c r="N2643" s="6">
        <f>HYPERLINK("http://www.eum.go.kr/web/ar/lu/luLandDet.jsp?pnu=3611010700108290000&amp;isNoScr=script&amp;mode=search", "토지이음")</f>
        <v/>
      </c>
      <c r="O2643" s="3" t="inlineStr">
        <is>
          <t>강우림</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세종특별자치시 나성동 829</t>
        </is>
      </c>
      <c r="B2644" s="3" t="inlineStr">
        <is>
          <t>중심상업지역</t>
        </is>
      </c>
      <c r="C2644" s="3" t="inlineStr">
        <is>
          <t>대</t>
        </is>
      </c>
      <c r="D2644" s="3" t="inlineStr">
        <is>
          <t>전</t>
        </is>
      </c>
      <c r="E2644" s="3" t="inlineStr">
        <is>
          <t>매매</t>
        </is>
      </c>
      <c r="F2644" s="4" t="n">
        <v>42000</v>
      </c>
      <c r="G2644" s="4" t="n">
        <v>6991</v>
      </c>
      <c r="H2644" s="4" t="n">
        <v>2115</v>
      </c>
      <c r="I2644" s="5" t="n">
        <v>19.9</v>
      </c>
      <c r="J2644" s="4" t="n">
        <v>747.8</v>
      </c>
      <c r="K2644" s="3" t="inlineStr">
        <is>
          <t>nan</t>
        </is>
      </c>
      <c r="L2644" s="6">
        <f>HYPERLINK("https://fin.land.naver.com/articles/2647561954", "매물Link")</f>
        <v/>
      </c>
      <c r="M2644" s="6">
        <f>HYPERLINK("https://map.naver.com/p/search/세종특별자치시 나성동 829", "지도Link")</f>
        <v/>
      </c>
      <c r="N2644" s="6">
        <f>HYPERLINK("http://www.eum.go.kr/web/ar/lu/luLandDet.jsp?pnu=3611010700108290000&amp;isNoScr=script&amp;mode=search", "토지이음")</f>
        <v/>
      </c>
      <c r="O2644" s="3" t="inlineStr">
        <is>
          <t>광장(프라자)</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세종특별자치시 나성동 829</t>
        </is>
      </c>
      <c r="B2645" s="3" t="inlineStr">
        <is>
          <t>중심상업지역</t>
        </is>
      </c>
      <c r="C2645" s="3" t="inlineStr">
        <is>
          <t>대</t>
        </is>
      </c>
      <c r="D2645" s="3" t="inlineStr">
        <is>
          <t>답</t>
        </is>
      </c>
      <c r="E2645" s="3" t="inlineStr">
        <is>
          <t>매매</t>
        </is>
      </c>
      <c r="F2645" s="4" t="n">
        <v>550000</v>
      </c>
      <c r="G2645" s="4" t="n">
        <v>8298</v>
      </c>
      <c r="H2645" s="4" t="n">
        <v>2510</v>
      </c>
      <c r="I2645" s="5" t="n">
        <v>219.1</v>
      </c>
      <c r="J2645" s="4" t="n">
        <v>747.8</v>
      </c>
      <c r="K2645" s="3" t="inlineStr">
        <is>
          <t>총3필지</t>
        </is>
      </c>
      <c r="L2645" s="6">
        <f>HYPERLINK("https://fin.land.naver.com/articles/2644873855", "매물Link")</f>
        <v/>
      </c>
      <c r="M2645" s="6">
        <f>HYPERLINK("https://map.naver.com/p/search/세종특별자치시 나성동 829", "지도Link")</f>
        <v/>
      </c>
      <c r="N2645" s="6">
        <f>HYPERLINK("http://www.eum.go.kr/web/ar/lu/luLandDet.jsp?pnu=3611010700108290000&amp;isNoScr=script&amp;mode=search", "토지이음")</f>
        <v/>
      </c>
      <c r="O2645" s="3" t="inlineStr">
        <is>
          <t>터</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세종특별자치시 나성동 829</t>
        </is>
      </c>
      <c r="B2646" s="3" t="inlineStr">
        <is>
          <t>중심상업지역</t>
        </is>
      </c>
      <c r="C2646" s="3" t="inlineStr">
        <is>
          <t>대</t>
        </is>
      </c>
      <c r="D2646" s="3" t="inlineStr">
        <is>
          <t>대</t>
        </is>
      </c>
      <c r="E2646" s="3" t="inlineStr">
        <is>
          <t>매매</t>
        </is>
      </c>
      <c r="F2646" s="4" t="n">
        <v>46200</v>
      </c>
      <c r="G2646" s="4" t="n">
        <v>610</v>
      </c>
      <c r="H2646" s="4" t="n">
        <v>185</v>
      </c>
      <c r="I2646" s="5" t="n">
        <v>249.7</v>
      </c>
      <c r="J2646" s="4" t="n">
        <v>747.8</v>
      </c>
      <c r="K2646" s="3" t="inlineStr">
        <is>
          <t>대전에 근접한 두만리 대지</t>
        </is>
      </c>
      <c r="L2646" s="6">
        <f>HYPERLINK("https://fin.land.naver.com/articles/2647445367", "매물Link")</f>
        <v/>
      </c>
      <c r="M2646" s="6">
        <f>HYPERLINK("https://map.naver.com/p/search/세종특별자치시 나성동 829", "지도Link")</f>
        <v/>
      </c>
      <c r="N2646" s="6">
        <f>HYPERLINK("http://www.eum.go.kr/web/ar/lu/luLandDet.jsp?pnu=3611010700108290000&amp;isNoScr=script&amp;mode=search", "토지이음")</f>
        <v/>
      </c>
      <c r="O2646" s="3" t="inlineStr">
        <is>
          <t>킹</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세종특별자치시 나성동 829</t>
        </is>
      </c>
      <c r="B2647" s="3" t="inlineStr">
        <is>
          <t>중심상업지역</t>
        </is>
      </c>
      <c r="C2647" s="3" t="inlineStr">
        <is>
          <t>대</t>
        </is>
      </c>
      <c r="D2647" s="3" t="inlineStr">
        <is>
          <t>답</t>
        </is>
      </c>
      <c r="E2647" s="3" t="inlineStr">
        <is>
          <t>매매</t>
        </is>
      </c>
      <c r="F2647" s="4" t="n">
        <v>50000</v>
      </c>
      <c r="G2647" s="4" t="n">
        <v>3003</v>
      </c>
      <c r="H2647" s="4" t="n">
        <v>908</v>
      </c>
      <c r="I2647" s="5" t="n">
        <v>55.1</v>
      </c>
      <c r="J2647" s="4" t="n">
        <v>747.8</v>
      </c>
      <c r="K2647" s="3" t="inlineStr">
        <is>
          <t>원봉리 대토 농지 농림지역 6미터도로 접한 답 매매</t>
        </is>
      </c>
      <c r="L2647" s="6">
        <f>HYPERLINK("https://fin.land.naver.com/articles/2647406883", "매물Link")</f>
        <v/>
      </c>
      <c r="M2647" s="6">
        <f>HYPERLINK("https://map.naver.com/p/search/세종특별자치시 나성동 829", "지도Link")</f>
        <v/>
      </c>
      <c r="N2647" s="6">
        <f>HYPERLINK("http://www.eum.go.kr/web/ar/lu/luLandDet.jsp?pnu=3611010700108290000&amp;isNoScr=script&amp;mode=search", "토지이음")</f>
        <v/>
      </c>
      <c r="O2647" s="3" t="inlineStr">
        <is>
          <t>로데오상가</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세종특별자치시 나성동 829</t>
        </is>
      </c>
      <c r="B2648" s="3" t="inlineStr">
        <is>
          <t>중심상업지역</t>
        </is>
      </c>
      <c r="C2648" s="3" t="inlineStr">
        <is>
          <t>대</t>
        </is>
      </c>
      <c r="D2648" s="3" t="inlineStr">
        <is>
          <t>전</t>
        </is>
      </c>
      <c r="E2648" s="3" t="inlineStr">
        <is>
          <t>매매</t>
        </is>
      </c>
      <c r="F2648" s="4" t="n">
        <v>80000</v>
      </c>
      <c r="G2648" s="4" t="n">
        <v>1772</v>
      </c>
      <c r="H2648" s="4" t="n">
        <v>536</v>
      </c>
      <c r="I2648" s="5" t="n">
        <v>149.3</v>
      </c>
      <c r="J2648" s="4" t="n">
        <v>747.8</v>
      </c>
      <c r="K2648" s="3" t="inlineStr">
        <is>
          <t>금강뷰최상,물이 들어오고 나가는  것을  볼  수 최고의 전원주택지</t>
        </is>
      </c>
      <c r="L2648" s="6">
        <f>HYPERLINK("https://fin.land.naver.com/articles/2647561734", "매물Link")</f>
        <v/>
      </c>
      <c r="M2648" s="6">
        <f>HYPERLINK("https://map.naver.com/p/search/세종특별자치시 나성동 829", "지도Link")</f>
        <v/>
      </c>
      <c r="N2648" s="6">
        <f>HYPERLINK("http://www.eum.go.kr/web/ar/lu/luLandDet.jsp?pnu=3611010700108290000&amp;isNoScr=script&amp;mode=search", "토지이음")</f>
        <v/>
      </c>
      <c r="O2648" s="3" t="inlineStr">
        <is>
          <t>광장(프라자)</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세종특별자치시 나성동 829</t>
        </is>
      </c>
      <c r="B2649" s="3" t="inlineStr">
        <is>
          <t>중심상업지역</t>
        </is>
      </c>
      <c r="C2649" s="3" t="inlineStr">
        <is>
          <t>대</t>
        </is>
      </c>
      <c r="D2649" s="3" t="inlineStr">
        <is>
          <t>전</t>
        </is>
      </c>
      <c r="E2649" s="3" t="inlineStr">
        <is>
          <t>매매</t>
        </is>
      </c>
      <c r="F2649" s="4" t="n">
        <v>25000</v>
      </c>
      <c r="G2649" s="4" t="n">
        <v>725</v>
      </c>
      <c r="H2649" s="4" t="n">
        <v>219</v>
      </c>
      <c r="I2649" s="5" t="n">
        <v>114.2</v>
      </c>
      <c r="J2649" s="4" t="n">
        <v>747.8</v>
      </c>
      <c r="K2649" s="3" t="inlineStr">
        <is>
          <t>Point 평촌산업단지 주변 투자 추천, 건폐율 높은 자연취락지구</t>
        </is>
      </c>
      <c r="L2649" s="6">
        <f>HYPERLINK("https://fin.land.naver.com/articles/2645152233", "매물Link")</f>
        <v/>
      </c>
      <c r="M2649" s="6">
        <f>HYPERLINK("https://map.naver.com/p/search/세종특별자치시 나성동 829", "지도Link")</f>
        <v/>
      </c>
      <c r="N2649" s="6">
        <f>HYPERLINK("http://www.eum.go.kr/web/ar/lu/luLandDet.jsp?pnu=3611010700108290000&amp;isNoScr=script&amp;mode=search", "토지이음")</f>
        <v/>
      </c>
      <c r="O2649" s="3" t="inlineStr">
        <is>
          <t>도마호반</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세종특별자치시 나성동 829</t>
        </is>
      </c>
      <c r="B2650" s="3" t="inlineStr">
        <is>
          <t>중심상업지역</t>
        </is>
      </c>
      <c r="C2650" s="3" t="inlineStr">
        <is>
          <t>대</t>
        </is>
      </c>
      <c r="D2650" s="3" t="inlineStr">
        <is>
          <t>답</t>
        </is>
      </c>
      <c r="E2650" s="3" t="inlineStr">
        <is>
          <t>매매</t>
        </is>
      </c>
      <c r="F2650" s="4" t="n">
        <v>50000</v>
      </c>
      <c r="G2650" s="4" t="n">
        <v>1408</v>
      </c>
      <c r="H2650" s="4" t="n">
        <v>426</v>
      </c>
      <c r="I2650" s="5" t="n">
        <v>117.4</v>
      </c>
      <c r="J2650" s="4" t="n">
        <v>747.8</v>
      </c>
      <c r="K2650" s="3" t="inlineStr">
        <is>
          <t>Point 주택, 창고 신축 부지 적합, 산업단지 조성 등 투자용</t>
        </is>
      </c>
      <c r="L2650" s="6">
        <f>HYPERLINK("https://fin.land.naver.com/articles/2645329699", "매물Link")</f>
        <v/>
      </c>
      <c r="M2650" s="6">
        <f>HYPERLINK("https://map.naver.com/p/search/세종특별자치시 나성동 829", "지도Link")</f>
        <v/>
      </c>
      <c r="N2650" s="6">
        <f>HYPERLINK("http://www.eum.go.kr/web/ar/lu/luLandDet.jsp?pnu=3611010700108290000&amp;isNoScr=script&amp;mode=search", "토지이음")</f>
        <v/>
      </c>
      <c r="O2650" s="3" t="inlineStr">
        <is>
          <t>도마호반</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세종특별자치시 나성동 829</t>
        </is>
      </c>
      <c r="B2651" s="3" t="inlineStr">
        <is>
          <t>중심상업지역</t>
        </is>
      </c>
      <c r="C2651" s="3" t="inlineStr">
        <is>
          <t>대</t>
        </is>
      </c>
      <c r="D2651" s="3" t="inlineStr">
        <is>
          <t>답</t>
        </is>
      </c>
      <c r="E2651" s="3" t="inlineStr">
        <is>
          <t>매매</t>
        </is>
      </c>
      <c r="F2651" s="4" t="n">
        <v>25000</v>
      </c>
      <c r="G2651" s="4" t="n">
        <v>704</v>
      </c>
      <c r="H2651" s="4" t="n">
        <v>213</v>
      </c>
      <c r="I2651" s="5" t="n">
        <v>117.4</v>
      </c>
      <c r="J2651" s="4" t="n">
        <v>747.8</v>
      </c>
      <c r="K2651" s="3" t="inlineStr">
        <is>
          <t>Point 주변 산업단지 조성 이슈 호재, 투자 추천</t>
        </is>
      </c>
      <c r="L2651" s="6">
        <f>HYPERLINK("https://fin.land.naver.com/articles/2645290173", "매물Link")</f>
        <v/>
      </c>
      <c r="M2651" s="6">
        <f>HYPERLINK("https://map.naver.com/p/search/세종특별자치시 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세종특별자치시 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급매,산단개발 이슈,모양 좋음, 전원주택지, 창고 신축 추천</t>
        </is>
      </c>
      <c r="L2652" s="6">
        <f>HYPERLINK("https://fin.land.naver.com/articles/2646877168", "매물Link")</f>
        <v/>
      </c>
      <c r="M2652" s="6">
        <f>HYPERLINK("https://map.naver.com/p/search/세종특별자치시 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세종특별자치시 나성동 829</t>
        </is>
      </c>
      <c r="B2653" s="3" t="inlineStr">
        <is>
          <t>중심상업지역</t>
        </is>
      </c>
      <c r="C2653" s="3" t="inlineStr">
        <is>
          <t>대</t>
        </is>
      </c>
      <c r="D2653" s="3" t="inlineStr">
        <is>
          <t>임야</t>
        </is>
      </c>
      <c r="E2653" s="3" t="inlineStr">
        <is>
          <t>매매</t>
        </is>
      </c>
      <c r="F2653" s="4" t="n">
        <v>27000</v>
      </c>
      <c r="G2653" s="4" t="n">
        <v>73983</v>
      </c>
      <c r="H2653" s="4" t="n">
        <v>22380</v>
      </c>
      <c r="I2653" s="5" t="n">
        <v>1.2</v>
      </c>
      <c r="J2653" s="4" t="n">
        <v>747.8</v>
      </c>
      <c r="K2653" s="3" t="inlineStr">
        <is>
          <t>내년 임도 최종 개통 예정 서구청 확인 특급 호재 임야 매매</t>
        </is>
      </c>
      <c r="L2653" s="6">
        <f>HYPERLINK("https://fin.land.naver.com/articles/2644983735", "매물Link")</f>
        <v/>
      </c>
      <c r="M2653" s="6">
        <f>HYPERLINK("https://map.naver.com/p/search/세종특별자치시 나성동 829", "지도Link")</f>
        <v/>
      </c>
      <c r="N2653" s="6">
        <f>HYPERLINK("http://www.eum.go.kr/web/ar/lu/luLandDet.jsp?pnu=3611010700108290000&amp;isNoScr=script&amp;mode=search", "토지이음")</f>
        <v/>
      </c>
      <c r="O2653" s="3" t="inlineStr">
        <is>
          <t>귀빈</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세종특별자치시 나성동 829</t>
        </is>
      </c>
      <c r="B2654" s="3" t="inlineStr">
        <is>
          <t>중심상업지역</t>
        </is>
      </c>
      <c r="C2654" s="3" t="inlineStr">
        <is>
          <t>대</t>
        </is>
      </c>
      <c r="D2654" s="3" t="inlineStr">
        <is>
          <t>임야</t>
        </is>
      </c>
      <c r="E2654" s="3" t="inlineStr">
        <is>
          <t>매매</t>
        </is>
      </c>
      <c r="F2654" s="4" t="n">
        <v>170000</v>
      </c>
      <c r="G2654" s="4" t="n">
        <v>45832</v>
      </c>
      <c r="H2654" s="4" t="n">
        <v>13864</v>
      </c>
      <c r="I2654" s="5" t="n">
        <v>12.3</v>
      </c>
      <c r="J2654" s="4" t="n">
        <v>747.8</v>
      </c>
      <c r="K2654" s="3" t="inlineStr">
        <is>
          <t>농로 입접 임야  가격협의 가능</t>
        </is>
      </c>
      <c r="L2654" s="6">
        <f>HYPERLINK("https://fin.land.naver.com/articles/2647115887", "매물Link")</f>
        <v/>
      </c>
      <c r="M2654" s="6">
        <f>HYPERLINK("https://map.naver.com/p/search/세종특별자치시 나성동 829", "지도Link")</f>
        <v/>
      </c>
      <c r="N2654" s="6">
        <f>HYPERLINK("http://www.eum.go.kr/web/ar/lu/luLandDet.jsp?pnu=3611010700108290000&amp;isNoScr=script&amp;mode=search", "토지이음")</f>
        <v/>
      </c>
      <c r="O2654" s="3" t="inlineStr">
        <is>
          <t>유일</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세종특별자치시 나성동 829</t>
        </is>
      </c>
      <c r="B2655" s="3" t="inlineStr">
        <is>
          <t>중심상업지역</t>
        </is>
      </c>
      <c r="C2655" s="3" t="inlineStr">
        <is>
          <t>대</t>
        </is>
      </c>
      <c r="D2655" s="3" t="inlineStr">
        <is>
          <t>답</t>
        </is>
      </c>
      <c r="E2655" s="3" t="inlineStr">
        <is>
          <t>매매</t>
        </is>
      </c>
      <c r="F2655" s="4" t="n">
        <v>18000</v>
      </c>
      <c r="G2655" s="4" t="n">
        <v>3692</v>
      </c>
      <c r="H2655" s="4" t="n">
        <v>1117</v>
      </c>
      <c r="I2655" s="5" t="n">
        <v>16.1</v>
      </c>
      <c r="J2655" s="4" t="n">
        <v>747.8</v>
      </c>
      <c r="K2655" s="3" t="inlineStr">
        <is>
          <t>nan</t>
        </is>
      </c>
      <c r="L2655" s="6">
        <f>HYPERLINK("https://fin.land.naver.com/articles/2648310271", "매물Link")</f>
        <v/>
      </c>
      <c r="M2655" s="6">
        <f>HYPERLINK("https://map.naver.com/p/search/세종특별자치시 나성동 829", "지도Link")</f>
        <v/>
      </c>
      <c r="N2655" s="6">
        <f>HYPERLINK("http://www.eum.go.kr/web/ar/lu/luLandDet.jsp?pnu=3611010700108290000&amp;isNoScr=script&amp;mode=search", "토지이음")</f>
        <v/>
      </c>
      <c r="O2655" s="3" t="inlineStr">
        <is>
          <t>가수원당근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세종특별자치시 나성동 829</t>
        </is>
      </c>
      <c r="B2656" s="3" t="inlineStr">
        <is>
          <t>중심상업지역</t>
        </is>
      </c>
      <c r="C2656" s="3" t="inlineStr">
        <is>
          <t>대</t>
        </is>
      </c>
      <c r="D2656" s="3" t="inlineStr">
        <is>
          <t>답</t>
        </is>
      </c>
      <c r="E2656" s="3" t="inlineStr">
        <is>
          <t>매매</t>
        </is>
      </c>
      <c r="F2656" s="4" t="n">
        <v>17000</v>
      </c>
      <c r="G2656" s="4" t="n">
        <v>3058</v>
      </c>
      <c r="H2656" s="4" t="n">
        <v>925</v>
      </c>
      <c r="I2656" s="5" t="n">
        <v>18.4</v>
      </c>
      <c r="J2656" s="4" t="n">
        <v>747.8</v>
      </c>
      <c r="K2656" s="3" t="inlineStr">
        <is>
          <t>GB,차량진입가,대토적지,분할가능</t>
        </is>
      </c>
      <c r="L2656" s="6">
        <f>HYPERLINK("https://fin.land.naver.com/articles/2646599107", "매물Link")</f>
        <v/>
      </c>
      <c r="M2656" s="6">
        <f>HYPERLINK("https://map.naver.com/p/search/세종특별자치시 나성동 829", "지도Link")</f>
        <v/>
      </c>
      <c r="N2656" s="6">
        <f>HYPERLINK("http://www.eum.go.kr/web/ar/lu/luLandDet.jsp?pnu=3611010700108290000&amp;isNoScr=script&amp;mode=search", "토지이음")</f>
        <v/>
      </c>
      <c r="O2656" s="3" t="inlineStr">
        <is>
          <t>백조</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세종특별자치시 나성동 829</t>
        </is>
      </c>
      <c r="B2657" s="3" t="inlineStr">
        <is>
          <t>중심상업지역</t>
        </is>
      </c>
      <c r="C2657" s="3" t="inlineStr">
        <is>
          <t>대</t>
        </is>
      </c>
      <c r="D2657" s="3" t="inlineStr">
        <is>
          <t>답</t>
        </is>
      </c>
      <c r="E2657" s="3" t="inlineStr">
        <is>
          <t>매매</t>
        </is>
      </c>
      <c r="F2657" s="4" t="n">
        <v>46200</v>
      </c>
      <c r="G2657" s="4" t="n">
        <v>765</v>
      </c>
      <c r="H2657" s="4" t="n">
        <v>231</v>
      </c>
      <c r="I2657" s="5" t="n">
        <v>200</v>
      </c>
      <c r="J2657" s="4" t="n">
        <v>747.8</v>
      </c>
      <c r="K2657" s="3" t="inlineStr">
        <is>
          <t>계획관리.도로 있음.위번지외에 2필지있음</t>
        </is>
      </c>
      <c r="L2657" s="6">
        <f>HYPERLINK("https://fin.land.naver.com/articles/2647444670", "매물Link")</f>
        <v/>
      </c>
      <c r="M2657" s="6">
        <f>HYPERLINK("https://map.naver.com/p/search/세종특별자치시 나성동 829", "지도Link")</f>
        <v/>
      </c>
      <c r="N2657" s="6">
        <f>HYPERLINK("http://www.eum.go.kr/web/ar/lu/luLandDet.jsp?pnu=3611010700108290000&amp;isNoScr=script&amp;mode=search", "토지이음")</f>
        <v/>
      </c>
      <c r="O2657" s="3" t="inlineStr">
        <is>
          <t>킹</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세종특별자치시 나성동 829</t>
        </is>
      </c>
      <c r="B2658" s="3" t="inlineStr">
        <is>
          <t>중심상업지역</t>
        </is>
      </c>
      <c r="C2658" s="3" t="inlineStr">
        <is>
          <t>대</t>
        </is>
      </c>
      <c r="D2658" s="3" t="inlineStr">
        <is>
          <t>대</t>
        </is>
      </c>
      <c r="E2658" s="3" t="inlineStr">
        <is>
          <t>매매</t>
        </is>
      </c>
      <c r="F2658" s="4" t="n">
        <v>840000</v>
      </c>
      <c r="G2658" s="4" t="n">
        <v>3708</v>
      </c>
      <c r="H2658" s="4" t="n">
        <v>1122</v>
      </c>
      <c r="I2658" s="5" t="n">
        <v>748.7</v>
      </c>
      <c r="J2658" s="4" t="n">
        <v>747.8</v>
      </c>
      <c r="K2658" s="3" t="inlineStr">
        <is>
          <t>대로변 접한 토지로 차량 진출입 용이하며 홍보 효과 최상의 토지</t>
        </is>
      </c>
      <c r="L2658" s="6">
        <f>HYPERLINK("https://fin.land.naver.com/articles/2648924042", "매물Link")</f>
        <v/>
      </c>
      <c r="M2658" s="6">
        <f>HYPERLINK("https://map.naver.com/p/search/세종특별자치시 나성동 829", "지도Link")</f>
        <v/>
      </c>
      <c r="N2658" s="6">
        <f>HYPERLINK("http://www.eum.go.kr/web/ar/lu/luLandDet.jsp?pnu=3611010700108290000&amp;isNoScr=script&amp;mode=search", "토지이음")</f>
        <v/>
      </c>
      <c r="O2658" s="3" t="inlineStr">
        <is>
          <t>금화랜드</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세종특별자치시 나성동 829</t>
        </is>
      </c>
      <c r="B2659" s="3" t="inlineStr">
        <is>
          <t>중심상업지역</t>
        </is>
      </c>
      <c r="C2659" s="3" t="inlineStr">
        <is>
          <t>대</t>
        </is>
      </c>
      <c r="D2659" s="3" t="inlineStr">
        <is>
          <t>답</t>
        </is>
      </c>
      <c r="E2659" s="3" t="inlineStr">
        <is>
          <t>매매</t>
        </is>
      </c>
      <c r="F2659" s="4" t="n">
        <v>88770</v>
      </c>
      <c r="G2659" s="4" t="n">
        <v>1087</v>
      </c>
      <c r="H2659" s="4" t="n">
        <v>329</v>
      </c>
      <c r="I2659" s="5" t="n">
        <v>269.8</v>
      </c>
      <c r="J2659" s="4" t="n">
        <v>747.8</v>
      </c>
      <c r="K2659" s="3" t="inlineStr">
        <is>
          <t>공시가격대비 착한가격 서남부3단계지구 밭으로 사용중입니다</t>
        </is>
      </c>
      <c r="L2659" s="6">
        <f>HYPERLINK("https://fin.land.naver.com/articles/2648853544", "매물Link")</f>
        <v/>
      </c>
      <c r="M2659" s="6">
        <f>HYPERLINK("https://map.naver.com/p/search/세종특별자치시 나성동 829", "지도Link")</f>
        <v/>
      </c>
      <c r="N2659" s="6">
        <f>HYPERLINK("http://www.eum.go.kr/web/ar/lu/luLandDet.jsp?pnu=3611010700108290000&amp;isNoScr=script&amp;mode=search", "토지이음")</f>
        <v/>
      </c>
      <c r="O2659" s="3" t="inlineStr">
        <is>
          <t>드리움행운</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세종특별자치시 나성동 829</t>
        </is>
      </c>
      <c r="B2660" s="3" t="inlineStr">
        <is>
          <t>중심상업지역</t>
        </is>
      </c>
      <c r="C2660" s="3" t="inlineStr">
        <is>
          <t>대</t>
        </is>
      </c>
      <c r="D2660" s="3" t="inlineStr">
        <is>
          <t>답</t>
        </is>
      </c>
      <c r="E2660" s="3" t="inlineStr">
        <is>
          <t>매매</t>
        </is>
      </c>
      <c r="F2660" s="4" t="n">
        <v>180000</v>
      </c>
      <c r="G2660" s="4" t="n">
        <v>2870</v>
      </c>
      <c r="H2660" s="4" t="n">
        <v>868</v>
      </c>
      <c r="I2660" s="5" t="n">
        <v>207.4</v>
      </c>
      <c r="J2660" s="4" t="n">
        <v>747.8</v>
      </c>
      <c r="K2660" s="3" t="inlineStr">
        <is>
          <t>나노국가산단 편입 토지 대토용</t>
        </is>
      </c>
      <c r="L2660" s="6">
        <f>HYPERLINK("https://fin.land.naver.com/articles/2647806448", "매물Link")</f>
        <v/>
      </c>
      <c r="M2660" s="6">
        <f>HYPERLINK("https://map.naver.com/p/search/세종특별자치시 나성동 829", "지도Link")</f>
        <v/>
      </c>
      <c r="N2660" s="6">
        <f>HYPERLINK("http://www.eum.go.kr/web/ar/lu/luLandDet.jsp?pnu=3611010700108290000&amp;isNoScr=script&amp;mode=search", "토지이음")</f>
        <v/>
      </c>
      <c r="O2660" s="3" t="inlineStr">
        <is>
          <t>골든타임</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세종특별자치시 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HYPERLINK("https://map.naver.com/p/search/세종특별자치시 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세종특별자치시 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HYPERLINK("https://map.naver.com/p/search/세종특별자치시 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세종특별자치시 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HYPERLINK("https://map.naver.com/p/search/세종특별자치시 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세종특별자치시 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HYPERLINK("https://map.naver.com/p/search/세종특별자치시 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세종특별자치시 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HYPERLINK("https://map.naver.com/p/search/세종특별자치시 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세종특별자치시 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HYPERLINK("https://map.naver.com/p/search/세종특별자치시 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세종특별자치시 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HYPERLINK("https://map.naver.com/p/search/세종특별자치시 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세종특별자치시 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HYPERLINK("https://map.naver.com/p/search/세종특별자치시 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세종특별자치시 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HYPERLINK("https://map.naver.com/p/search/세종특별자치시 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세종특별자치시 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HYPERLINK("https://map.naver.com/p/search/세종특별자치시 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세종특별자치시 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HYPERLINK("https://map.naver.com/p/search/세종특별자치시 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세종특별자치시 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HYPERLINK("https://map.naver.com/p/search/세종특별자치시 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세종특별자치시 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HYPERLINK("https://map.naver.com/p/search/세종특별자치시 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세종특별자치시 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HYPERLINK("https://map.naver.com/p/search/세종특별자치시 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세종특별자치시 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HYPERLINK("https://map.naver.com/p/search/세종특별자치시 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세종특별자치시 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HYPERLINK("https://map.naver.com/p/search/세종특별자치시 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세종특별자치시 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HYPERLINK("https://map.naver.com/p/search/세종특별자치시 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세종특별자치시 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HYPERLINK("https://map.naver.com/p/search/세종특별자치시 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세종특별자치시 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HYPERLINK("https://map.naver.com/p/search/세종특별자치시 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세종특별자치시 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HYPERLINK("https://map.naver.com/p/search/세종특별자치시 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세종특별자치시 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HYPERLINK("https://map.naver.com/p/search/세종특별자치시 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세종특별자치시 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HYPERLINK("https://map.naver.com/p/search/세종특별자치시 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세종특별자치시 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HYPERLINK("https://map.naver.com/p/search/세종특별자치시 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세종특별자치시 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HYPERLINK("https://map.naver.com/p/search/세종특별자치시 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세종특별자치시 나성동 829</t>
        </is>
      </c>
      <c r="B2685" s="3" t="inlineStr">
        <is>
          <t>중심상업지역</t>
        </is>
      </c>
      <c r="C2685" s="3" t="inlineStr">
        <is>
          <t>대</t>
        </is>
      </c>
      <c r="D2685" s="3" t="inlineStr">
        <is>
          <t>전</t>
        </is>
      </c>
      <c r="E2685" s="3" t="inlineStr">
        <is>
          <t>매매</t>
        </is>
      </c>
      <c r="F2685" s="4" t="n">
        <v>33000</v>
      </c>
      <c r="G2685" s="4" t="n">
        <v>888</v>
      </c>
      <c r="H2685" s="4" t="n">
        <v>269</v>
      </c>
      <c r="I2685" s="5" t="n">
        <v>122.7</v>
      </c>
      <c r="J2685" s="4" t="n">
        <v>747.8</v>
      </c>
      <c r="K2685" s="3" t="inlineStr">
        <is>
          <t>전원주택지로 추천, 도로 접근성 용이함.</t>
        </is>
      </c>
      <c r="L2685" s="6">
        <f>HYPERLINK("https://fin.land.naver.com/articles/2648995098", "매물Link")</f>
        <v/>
      </c>
      <c r="M2685" s="6">
        <f>HYPERLINK("https://map.naver.com/p/search/세종특별자치시 나성동 829", "지도Link")</f>
        <v/>
      </c>
      <c r="N2685" s="6">
        <f>HYPERLINK("http://www.eum.go.kr/web/ar/lu/luLandDet.jsp?pnu=3611010700108290000&amp;isNoScr=script&amp;mode=search", "토지이음")</f>
        <v/>
      </c>
      <c r="O2685" s="3" t="inlineStr">
        <is>
          <t>에듀퍼스트</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세종특별자치시 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HYPERLINK("https://map.naver.com/p/search/세종특별자치시 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세종특별자치시 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HYPERLINK("https://map.naver.com/p/search/세종특별자치시 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세종특별자치시 나성동 829</t>
        </is>
      </c>
      <c r="B2688" s="3" t="inlineStr">
        <is>
          <t>중심상업지역</t>
        </is>
      </c>
      <c r="C2688" s="3" t="inlineStr">
        <is>
          <t>대</t>
        </is>
      </c>
      <c r="D2688" s="3" t="inlineStr">
        <is>
          <t>답</t>
        </is>
      </c>
      <c r="E2688" s="3" t="inlineStr">
        <is>
          <t>매매</t>
        </is>
      </c>
      <c r="F2688" s="4" t="n">
        <v>55000</v>
      </c>
      <c r="G2688" s="4" t="n">
        <v>2150</v>
      </c>
      <c r="H2688" s="4" t="n">
        <v>650</v>
      </c>
      <c r="I2688" s="5" t="n">
        <v>84.59999999999999</v>
      </c>
      <c r="J2688" s="4" t="n">
        <v>747.8</v>
      </c>
      <c r="K2688" s="3" t="inlineStr">
        <is>
          <t>급매 국가산단 지역내 추천매물</t>
        </is>
      </c>
      <c r="L2688" s="6">
        <f>HYPERLINK("https://fin.land.naver.com/articles/2647640227", "매물Link")</f>
        <v/>
      </c>
      <c r="M2688" s="6">
        <f>HYPERLINK("https://map.naver.com/p/search/세종특별자치시 나성동 829", "지도Link")</f>
        <v/>
      </c>
      <c r="N2688" s="6">
        <f>HYPERLINK("http://www.eum.go.kr/web/ar/lu/luLandDet.jsp?pnu=3611010700108290000&amp;isNoScr=script&amp;mode=search", "토지이음")</f>
        <v/>
      </c>
      <c r="O2688" s="3" t="inlineStr">
        <is>
          <t>가문</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세종특별자치시 나성동 829</t>
        </is>
      </c>
      <c r="B2689" s="3" t="inlineStr">
        <is>
          <t>중심상업지역</t>
        </is>
      </c>
      <c r="C2689" s="3" t="inlineStr">
        <is>
          <t>대</t>
        </is>
      </c>
      <c r="D2689" s="3" t="inlineStr">
        <is>
          <t>답</t>
        </is>
      </c>
      <c r="E2689" s="3" t="inlineStr">
        <is>
          <t>매매</t>
        </is>
      </c>
      <c r="F2689" s="4" t="n">
        <v>53000</v>
      </c>
      <c r="G2689" s="4" t="n">
        <v>698</v>
      </c>
      <c r="H2689" s="4" t="n">
        <v>211</v>
      </c>
      <c r="I2689" s="5" t="n">
        <v>251.2</v>
      </c>
      <c r="J2689" s="4" t="n">
        <v>747.8</v>
      </c>
      <c r="K2689" s="3" t="inlineStr">
        <is>
          <t>서남부3단계개발예정지역 현재 밭으로 사용중입니다</t>
        </is>
      </c>
      <c r="L2689" s="6">
        <f>HYPERLINK("https://fin.land.naver.com/articles/2647449829", "매물Link")</f>
        <v/>
      </c>
      <c r="M2689" s="6">
        <f>HYPERLINK("https://map.naver.com/p/search/세종특별자치시 나성동 829", "지도Link")</f>
        <v/>
      </c>
      <c r="N2689" s="6">
        <f>HYPERLINK("http://www.eum.go.kr/web/ar/lu/luLandDet.jsp?pnu=3611010700108290000&amp;isNoScr=script&amp;mode=search", "토지이음")</f>
        <v/>
      </c>
      <c r="O2689" s="3" t="inlineStr">
        <is>
          <t>드리움행운</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세종특별자치시 나성동 829</t>
        </is>
      </c>
      <c r="B2690" s="3" t="inlineStr">
        <is>
          <t>중심상업지역</t>
        </is>
      </c>
      <c r="C2690" s="3" t="inlineStr">
        <is>
          <t>대</t>
        </is>
      </c>
      <c r="D2690" s="3" t="inlineStr">
        <is>
          <t>전</t>
        </is>
      </c>
      <c r="E2690" s="3" t="inlineStr">
        <is>
          <t>매매</t>
        </is>
      </c>
      <c r="F2690" s="4" t="n">
        <v>57500</v>
      </c>
      <c r="G2690" s="4" t="n">
        <v>826</v>
      </c>
      <c r="H2690" s="4" t="n">
        <v>250</v>
      </c>
      <c r="I2690" s="5" t="n">
        <v>230</v>
      </c>
      <c r="J2690" s="4" t="n">
        <v>747.8</v>
      </c>
      <c r="K2690" s="3" t="inlineStr">
        <is>
          <t>자연녹지지역 시가화조정구역 현재 밭농사 중입니다</t>
        </is>
      </c>
      <c r="L2690" s="6">
        <f>HYPERLINK("https://fin.land.naver.com/articles/2647448448", "매물Link")</f>
        <v/>
      </c>
      <c r="M2690" s="6">
        <f>HYPERLINK("https://map.naver.com/p/search/세종특별자치시 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세종특별자치시 나성동 829</t>
        </is>
      </c>
      <c r="B2691" s="3" t="inlineStr">
        <is>
          <t>중심상업지역</t>
        </is>
      </c>
      <c r="C2691" s="3" t="inlineStr">
        <is>
          <t>대</t>
        </is>
      </c>
      <c r="D2691" s="3" t="inlineStr">
        <is>
          <t>전</t>
        </is>
      </c>
      <c r="E2691" s="3" t="inlineStr">
        <is>
          <t>매매</t>
        </is>
      </c>
      <c r="F2691" s="4" t="n">
        <v>25000</v>
      </c>
      <c r="G2691" s="4" t="n">
        <v>330</v>
      </c>
      <c r="H2691" s="4" t="n">
        <v>100</v>
      </c>
      <c r="I2691" s="5" t="n">
        <v>250</v>
      </c>
      <c r="J2691" s="4" t="n">
        <v>747.8</v>
      </c>
      <c r="K2691" s="3" t="inlineStr">
        <is>
          <t>도안3단계개발예정지역으로 현재 밭으로 사용중입니다.</t>
        </is>
      </c>
      <c r="L2691" s="6">
        <f>HYPERLINK("https://fin.land.naver.com/articles/2646045852", "매물Link")</f>
        <v/>
      </c>
      <c r="M2691" s="6">
        <f>HYPERLINK("https://map.naver.com/p/search/세종특별자치시 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세종특별자치시 나성동 829</t>
        </is>
      </c>
      <c r="B2692" s="3" t="inlineStr">
        <is>
          <t>중심상업지역</t>
        </is>
      </c>
      <c r="C2692" s="3" t="inlineStr">
        <is>
          <t>대</t>
        </is>
      </c>
      <c r="D2692" s="3" t="inlineStr">
        <is>
          <t>답</t>
        </is>
      </c>
      <c r="E2692" s="3" t="inlineStr">
        <is>
          <t>매매</t>
        </is>
      </c>
      <c r="F2692" s="4" t="n">
        <v>72720</v>
      </c>
      <c r="G2692" s="4" t="n">
        <v>1001</v>
      </c>
      <c r="H2692" s="4" t="n">
        <v>303</v>
      </c>
      <c r="I2692" s="5" t="n">
        <v>240</v>
      </c>
      <c r="J2692" s="4" t="n">
        <v>747.8</v>
      </c>
      <c r="K2692" s="3" t="inlineStr">
        <is>
          <t>포장도로 접한 위치좋은 토지로 도안3단계 개발예정지역입니다</t>
        </is>
      </c>
      <c r="L2692" s="6">
        <f>HYPERLINK("https://fin.land.naver.com/articles/2645357913", "매물Link")</f>
        <v/>
      </c>
      <c r="M2692" s="6">
        <f>HYPERLINK("https://map.naver.com/p/search/세종특별자치시 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세종특별자치시 나성동 829</t>
        </is>
      </c>
      <c r="B2693" s="3" t="inlineStr">
        <is>
          <t>중심상업지역</t>
        </is>
      </c>
      <c r="C2693" s="3" t="inlineStr">
        <is>
          <t>대</t>
        </is>
      </c>
      <c r="D2693" s="3" t="inlineStr">
        <is>
          <t>대</t>
        </is>
      </c>
      <c r="E2693" s="3" t="inlineStr">
        <is>
          <t>매매</t>
        </is>
      </c>
      <c r="F2693" s="4" t="n">
        <v>50000</v>
      </c>
      <c r="G2693" s="4" t="n">
        <v>321</v>
      </c>
      <c r="H2693" s="4" t="n">
        <v>97</v>
      </c>
      <c r="I2693" s="5" t="n">
        <v>515.5</v>
      </c>
      <c r="J2693" s="4" t="n">
        <v>747.8</v>
      </c>
      <c r="K2693" s="3" t="inlineStr">
        <is>
          <t>서남부3단계개발지역 주택포함입니다</t>
        </is>
      </c>
      <c r="L2693" s="6">
        <f>HYPERLINK("https://fin.land.naver.com/articles/2644192945", "매물Link")</f>
        <v/>
      </c>
      <c r="M2693" s="6">
        <f>HYPERLINK("https://map.naver.com/p/search/세종특별자치시 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세종특별자치시 나성동 829</t>
        </is>
      </c>
      <c r="B2694" s="3" t="inlineStr">
        <is>
          <t>중심상업지역</t>
        </is>
      </c>
      <c r="C2694" s="3" t="inlineStr">
        <is>
          <t>대</t>
        </is>
      </c>
      <c r="D2694" s="3" t="inlineStr">
        <is>
          <t>대</t>
        </is>
      </c>
      <c r="E2694" s="3" t="inlineStr">
        <is>
          <t>매매</t>
        </is>
      </c>
      <c r="F2694" s="4" t="n">
        <v>5000000</v>
      </c>
      <c r="G2694" s="4" t="n">
        <v>19680</v>
      </c>
      <c r="H2694" s="4" t="n">
        <v>5953</v>
      </c>
      <c r="I2694" s="5" t="n">
        <v>839.9</v>
      </c>
      <c r="J2694" s="4" t="n">
        <v>747.8</v>
      </c>
      <c r="K2694" s="3" t="inlineStr">
        <is>
          <t>대전종합물류단지 내 대형토지</t>
        </is>
      </c>
      <c r="L2694" s="6">
        <f>HYPERLINK("https://fin.land.naver.com/articles/2646975304", "매물Link")</f>
        <v/>
      </c>
      <c r="M2694" s="6">
        <f>HYPERLINK("https://map.naver.com/p/search/세종특별자치시 나성동 829", "지도Link")</f>
        <v/>
      </c>
      <c r="N2694" s="6">
        <f>HYPERLINK("http://www.eum.go.kr/web/ar/lu/luLandDet.jsp?pnu=3611010700108290000&amp;isNoScr=script&amp;mode=search", "토지이음")</f>
        <v/>
      </c>
      <c r="O2694" s="3" t="inlineStr">
        <is>
          <t>지산</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세종특별자치시 나성동 829</t>
        </is>
      </c>
      <c r="B2695" s="3" t="inlineStr">
        <is>
          <t>중심상업지역</t>
        </is>
      </c>
      <c r="C2695" s="3" t="inlineStr">
        <is>
          <t>대</t>
        </is>
      </c>
      <c r="D2695" s="3" t="inlineStr">
        <is>
          <t>임야</t>
        </is>
      </c>
      <c r="E2695" s="3" t="inlineStr">
        <is>
          <t>매매</t>
        </is>
      </c>
      <c r="F2695" s="4" t="n">
        <v>2900000</v>
      </c>
      <c r="G2695" s="4" t="n">
        <v>32393</v>
      </c>
      <c r="H2695" s="4" t="n">
        <v>9799</v>
      </c>
      <c r="I2695" s="5" t="n">
        <v>295.9</v>
      </c>
      <c r="J2695" s="4" t="n">
        <v>747.8</v>
      </c>
      <c r="K2695" s="3" t="inlineStr">
        <is>
          <t>세종시 물류창고 및 사옥 용지로 적합 한 토지 매매</t>
        </is>
      </c>
      <c r="L2695" s="6">
        <f>HYPERLINK("https://fin.land.naver.com/articles/2644878093", "매물Link")</f>
        <v/>
      </c>
      <c r="M2695" s="6">
        <f>HYPERLINK("https://map.naver.com/p/search/세종특별자치시 나성동 829", "지도Link")</f>
        <v/>
      </c>
      <c r="N2695" s="6">
        <f>HYPERLINK("http://www.eum.go.kr/web/ar/lu/luLandDet.jsp?pnu=3611010700108290000&amp;isNoScr=script&amp;mode=search", "토지이음")</f>
        <v/>
      </c>
      <c r="O2695" s="3" t="inlineStr">
        <is>
          <t>신태양</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세종특별자치시 나성동 829</t>
        </is>
      </c>
      <c r="B2696" s="3" t="inlineStr">
        <is>
          <t>중심상업지역</t>
        </is>
      </c>
      <c r="C2696" s="3" t="inlineStr">
        <is>
          <t>대</t>
        </is>
      </c>
      <c r="D2696" s="3" t="inlineStr">
        <is>
          <t>답</t>
        </is>
      </c>
      <c r="E2696" s="3" t="inlineStr">
        <is>
          <t>매매</t>
        </is>
      </c>
      <c r="F2696" s="4" t="n">
        <v>800000</v>
      </c>
      <c r="G2696" s="4" t="n">
        <v>12556</v>
      </c>
      <c r="H2696" s="4" t="n">
        <v>3798</v>
      </c>
      <c r="I2696" s="5" t="n">
        <v>210.6</v>
      </c>
      <c r="J2696" s="4" t="n">
        <v>747.8</v>
      </c>
      <c r="K2696" s="3" t="inlineStr">
        <is>
          <t>계획관리.도로접.총7필지</t>
        </is>
      </c>
      <c r="L2696" s="6">
        <f>HYPERLINK("https://fin.land.naver.com/articles/2644956683", "매물Link")</f>
        <v/>
      </c>
      <c r="M2696" s="6">
        <f>HYPERLINK("https://map.naver.com/p/search/세종특별자치시 나성동 829", "지도Link")</f>
        <v/>
      </c>
      <c r="N2696" s="6">
        <f>HYPERLINK("http://www.eum.go.kr/web/ar/lu/luLandDet.jsp?pnu=3611010700108290000&amp;isNoScr=script&amp;mode=search", "토지이음")</f>
        <v/>
      </c>
      <c r="O2696" s="3" t="inlineStr">
        <is>
          <t>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세종특별자치시 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HYPERLINK("https://map.naver.com/p/search/세종특별자치시 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세종특별자치시 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HYPERLINK("https://map.naver.com/p/search/세종특별자치시 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세종특별자치시 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HYPERLINK("https://map.naver.com/p/search/세종특별자치시 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세종특별자치시 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HYPERLINK("https://map.naver.com/p/search/세종특별자치시 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세종특별자치시 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HYPERLINK("https://map.naver.com/p/search/세종특별자치시 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세종특별자치시 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HYPERLINK("https://map.naver.com/p/search/세종특별자치시 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세종특별자치시 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HYPERLINK("https://map.naver.com/p/search/세종특별자치시 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세종특별자치시 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HYPERLINK("https://map.naver.com/p/search/세종특별자치시 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세종특별자치시 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HYPERLINK("https://map.naver.com/p/search/세종특별자치시 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세종특별자치시 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HYPERLINK("https://map.naver.com/p/search/세종특별자치시 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세종특별자치시 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HYPERLINK("https://map.naver.com/p/search/세종특별자치시 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세종특별자치시 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HYPERLINK("https://map.naver.com/p/search/세종특별자치시 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세종특별자치시 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HYPERLINK("https://map.naver.com/p/search/세종특별자치시 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세종특별자치시 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HYPERLINK("https://map.naver.com/p/search/세종특별자치시 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세종특별자치시 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HYPERLINK("https://map.naver.com/p/search/세종특별자치시 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세종특별자치시 나성동 829</t>
        </is>
      </c>
      <c r="B2712" s="3" t="inlineStr">
        <is>
          <t>중심상업지역</t>
        </is>
      </c>
      <c r="C2712" s="3" t="inlineStr">
        <is>
          <t>대</t>
        </is>
      </c>
      <c r="D2712" s="3" t="inlineStr">
        <is>
          <t>답</t>
        </is>
      </c>
      <c r="E2712" s="3" t="inlineStr">
        <is>
          <t>매매</t>
        </is>
      </c>
      <c r="F2712" s="4" t="n">
        <v>33000</v>
      </c>
      <c r="G2712" s="4" t="n">
        <v>1085</v>
      </c>
      <c r="H2712" s="4" t="n">
        <v>328</v>
      </c>
      <c r="I2712" s="5" t="n">
        <v>100.6</v>
      </c>
      <c r="J2712" s="4" t="n">
        <v>747.8</v>
      </c>
      <c r="K2712" s="3" t="inlineStr">
        <is>
          <t>현재밭으로 사용중  울타리있음  예쁘게 잘 가꿔진토지</t>
        </is>
      </c>
      <c r="L2712" s="6">
        <f>HYPERLINK("https://fin.land.naver.com/articles/2647186507", "매물Link")</f>
        <v/>
      </c>
      <c r="M2712" s="6">
        <f>HYPERLINK("https://map.naver.com/p/search/세종특별자치시 나성동 829", "지도Link")</f>
        <v/>
      </c>
      <c r="N2712" s="6">
        <f>HYPERLINK("http://www.eum.go.kr/web/ar/lu/luLandDet.jsp?pnu=3611010700108290000&amp;isNoScr=script&amp;mode=search", "토지이음")</f>
        <v/>
      </c>
      <c r="O2712" s="3" t="inlineStr">
        <is>
          <t>중흥</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세종특별자치시 나성동 829</t>
        </is>
      </c>
      <c r="B2713" s="3" t="inlineStr">
        <is>
          <t>중심상업지역</t>
        </is>
      </c>
      <c r="C2713" s="3" t="inlineStr">
        <is>
          <t>대</t>
        </is>
      </c>
      <c r="D2713" s="3" t="inlineStr">
        <is>
          <t>대</t>
        </is>
      </c>
      <c r="E2713" s="3" t="inlineStr">
        <is>
          <t>매매</t>
        </is>
      </c>
      <c r="F2713" s="4" t="n">
        <v>14000</v>
      </c>
      <c r="G2713" s="4" t="n">
        <v>335</v>
      </c>
      <c r="H2713" s="4" t="n">
        <v>101</v>
      </c>
      <c r="I2713" s="5" t="n">
        <v>138.6</v>
      </c>
      <c r="J2713" s="4" t="n">
        <v>747.8</v>
      </c>
      <c r="K2713" s="3" t="inlineStr">
        <is>
          <t>급매급매,8미터 도로에 접해 있고 작은 전원주택 짓기 좋음.</t>
        </is>
      </c>
      <c r="L2713" s="6">
        <f>HYPERLINK("https://fin.land.naver.com/articles/2649316885", "매물Link")</f>
        <v/>
      </c>
      <c r="M2713" s="6">
        <f>HYPERLINK("https://map.naver.com/p/search/세종특별자치시 나성동 829", "지도Link")</f>
        <v/>
      </c>
      <c r="N2713" s="6">
        <f>HYPERLINK("http://www.eum.go.kr/web/ar/lu/luLandDet.jsp?pnu=3611010700108290000&amp;isNoScr=script&amp;mode=search", "토지이음")</f>
        <v/>
      </c>
      <c r="O2713" s="3" t="inlineStr">
        <is>
          <t>하이스트정원</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세종특별자치시 나성동 829</t>
        </is>
      </c>
      <c r="B2714" s="3" t="inlineStr">
        <is>
          <t>중심상업지역</t>
        </is>
      </c>
      <c r="C2714" s="3" t="inlineStr">
        <is>
          <t>대</t>
        </is>
      </c>
      <c r="D2714" s="3" t="inlineStr">
        <is>
          <t>답</t>
        </is>
      </c>
      <c r="E2714" s="3" t="inlineStr">
        <is>
          <t>매매</t>
        </is>
      </c>
      <c r="F2714" s="4" t="n">
        <v>37000</v>
      </c>
      <c r="G2714" s="4" t="n">
        <v>3035</v>
      </c>
      <c r="H2714" s="4" t="n">
        <v>918</v>
      </c>
      <c r="I2714" s="5" t="n">
        <v>40.3</v>
      </c>
      <c r="J2714" s="4" t="n">
        <v>747.8</v>
      </c>
      <c r="K2714" s="3" t="inlineStr">
        <is>
          <t>급매 신동둔곡지구 근접 교통편리 영농 하우스 스마트팜 투자용 최상 물건</t>
        </is>
      </c>
      <c r="L2714" s="6">
        <f>HYPERLINK("https://fin.land.naver.com/articles/2647495126", "매물Link")</f>
        <v/>
      </c>
      <c r="M2714" s="6">
        <f>HYPERLINK("https://map.naver.com/p/search/세종특별자치시 나성동 829", "지도Link")</f>
        <v/>
      </c>
      <c r="N2714" s="6">
        <f>HYPERLINK("http://www.eum.go.kr/web/ar/lu/luLandDet.jsp?pnu=3611010700108290000&amp;isNoScr=script&amp;mode=search", "토지이음")</f>
        <v/>
      </c>
      <c r="O2714" s="3" t="inlineStr">
        <is>
          <t>뉴태양</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세종특별자치시 나성동 829</t>
        </is>
      </c>
      <c r="B2715" s="3" t="inlineStr">
        <is>
          <t>중심상업지역</t>
        </is>
      </c>
      <c r="C2715" s="3" t="inlineStr">
        <is>
          <t>대</t>
        </is>
      </c>
      <c r="D2715" s="3" t="inlineStr">
        <is>
          <t>전</t>
        </is>
      </c>
      <c r="E2715" s="3" t="inlineStr">
        <is>
          <t>매매</t>
        </is>
      </c>
      <c r="F2715" s="4" t="n">
        <v>26000</v>
      </c>
      <c r="G2715" s="4" t="n">
        <v>463</v>
      </c>
      <c r="H2715" s="4" t="n">
        <v>140</v>
      </c>
      <c r="I2715" s="5" t="n">
        <v>185.7</v>
      </c>
      <c r="J2715" s="4" t="n">
        <v>747.8</v>
      </c>
      <c r="K2715" s="3" t="inlineStr">
        <is>
          <t>nan</t>
        </is>
      </c>
      <c r="L2715" s="6">
        <f>HYPERLINK("https://fin.land.naver.com/articles/2646881100", "매물Link")</f>
        <v/>
      </c>
      <c r="M2715" s="6">
        <f>HYPERLINK("https://map.naver.com/p/search/세종특별자치시 나성동 829", "지도Link")</f>
        <v/>
      </c>
      <c r="N2715" s="6">
        <f>HYPERLINK("http://www.eum.go.kr/web/ar/lu/luLandDet.jsp?pnu=3611010700108290000&amp;isNoScr=script&amp;mode=search", "토지이음")</f>
        <v/>
      </c>
      <c r="O2715" s="3" t="inlineStr">
        <is>
          <t>어반통</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세종특별자치시 나성동 829</t>
        </is>
      </c>
      <c r="B2716" s="3" t="inlineStr">
        <is>
          <t>중심상업지역</t>
        </is>
      </c>
      <c r="C2716" s="3" t="inlineStr">
        <is>
          <t>대</t>
        </is>
      </c>
      <c r="D2716" s="3" t="inlineStr">
        <is>
          <t>답</t>
        </is>
      </c>
      <c r="E2716" s="3" t="inlineStr">
        <is>
          <t>매매</t>
        </is>
      </c>
      <c r="F2716" s="4" t="n">
        <v>97500</v>
      </c>
      <c r="G2716" s="4" t="n">
        <v>1390</v>
      </c>
      <c r="H2716" s="4" t="n">
        <v>420</v>
      </c>
      <c r="I2716" s="5" t="n">
        <v>232.1</v>
      </c>
      <c r="J2716" s="4" t="n">
        <v>747.8</v>
      </c>
      <c r="K2716" s="3" t="inlineStr">
        <is>
          <t>주말농장텃밭 분양  대토체류형 휴식공간a을 동시에 만들고 싶은 분</t>
        </is>
      </c>
      <c r="L2716" s="6">
        <f>HYPERLINK("https://fin.land.naver.com/articles/2644741708", "매물Link")</f>
        <v/>
      </c>
      <c r="M2716" s="6">
        <f>HYPERLINK("https://map.naver.com/p/search/세종특별자치시 나성동 829", "지도Link")</f>
        <v/>
      </c>
      <c r="N2716" s="6">
        <f>HYPERLINK("http://www.eum.go.kr/web/ar/lu/luLandDet.jsp?pnu=3611010700108290000&amp;isNoScr=script&amp;mode=search", "토지이음")</f>
        <v/>
      </c>
      <c r="O2716" s="3" t="inlineStr">
        <is>
          <t>세종OK</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세종특별자치시 나성동 829</t>
        </is>
      </c>
      <c r="B2717" s="3" t="inlineStr">
        <is>
          <t>중심상업지역</t>
        </is>
      </c>
      <c r="C2717" s="3" t="inlineStr">
        <is>
          <t>대</t>
        </is>
      </c>
      <c r="D2717" s="3" t="inlineStr">
        <is>
          <t>대</t>
        </is>
      </c>
      <c r="E2717" s="3" t="inlineStr">
        <is>
          <t>매매</t>
        </is>
      </c>
      <c r="F2717" s="4" t="n">
        <v>126820</v>
      </c>
      <c r="G2717" s="4" t="n">
        <v>1233</v>
      </c>
      <c r="H2717" s="4" t="n">
        <v>373</v>
      </c>
      <c r="I2717" s="5" t="n">
        <v>340</v>
      </c>
      <c r="J2717" s="4" t="n">
        <v>747.8</v>
      </c>
      <c r="K2717" s="3" t="inlineStr">
        <is>
          <t>계획관리지역 단독주택과 전답, 전원생활 적지, 코스트코 직선거리2km</t>
        </is>
      </c>
      <c r="L2717" s="6">
        <f>HYPERLINK("https://fin.land.naver.com/articles/2646440428", "매물Link")</f>
        <v/>
      </c>
      <c r="M2717" s="6">
        <f>HYPERLINK("https://map.naver.com/p/search/세종특별자치시 나성동 829", "지도Link")</f>
        <v/>
      </c>
      <c r="N2717" s="6">
        <f>HYPERLINK("http://www.eum.go.kr/web/ar/lu/luLandDet.jsp?pnu=3611010700108290000&amp;isNoScr=script&amp;mode=search", "토지이음")</f>
        <v/>
      </c>
      <c r="O2717" s="3" t="inlineStr">
        <is>
          <t>노은탑</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세종특별자치시 나성동 829</t>
        </is>
      </c>
      <c r="B2718" s="3" t="inlineStr">
        <is>
          <t>중심상업지역</t>
        </is>
      </c>
      <c r="C2718" s="3" t="inlineStr">
        <is>
          <t>대</t>
        </is>
      </c>
      <c r="D2718" s="3" t="inlineStr">
        <is>
          <t>대</t>
        </is>
      </c>
      <c r="E2718" s="3" t="inlineStr">
        <is>
          <t>매매</t>
        </is>
      </c>
      <c r="F2718" s="4" t="n">
        <v>240000</v>
      </c>
      <c r="G2718" s="4" t="n">
        <v>3629</v>
      </c>
      <c r="H2718" s="4" t="n">
        <v>1098</v>
      </c>
      <c r="I2718" s="5" t="n">
        <v>218.6</v>
      </c>
      <c r="J2718" s="4" t="n">
        <v>747.8</v>
      </c>
      <c r="K2718" s="3" t="inlineStr">
        <is>
          <t>nan</t>
        </is>
      </c>
      <c r="L2718" s="6">
        <f>HYPERLINK("https://fin.land.naver.com/articles/2646342893", "매물Link")</f>
        <v/>
      </c>
      <c r="M2718" s="6">
        <f>HYPERLINK("https://map.naver.com/p/search/세종특별자치시 나성동 829", "지도Link")</f>
        <v/>
      </c>
      <c r="N2718" s="6">
        <f>HYPERLINK("http://www.eum.go.kr/web/ar/lu/luLandDet.jsp?pnu=3611010700108290000&amp;isNoScr=script&amp;mode=search", "토지이음")</f>
        <v/>
      </c>
      <c r="O2718" s="3" t="inlineStr">
        <is>
          <t>귀빈</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세종특별자치시 나성동 829</t>
        </is>
      </c>
      <c r="B2719" s="3" t="inlineStr">
        <is>
          <t>중심상업지역</t>
        </is>
      </c>
      <c r="C2719" s="3" t="inlineStr">
        <is>
          <t>대</t>
        </is>
      </c>
      <c r="D2719" s="3" t="inlineStr">
        <is>
          <t>전</t>
        </is>
      </c>
      <c r="E2719" s="3" t="inlineStr">
        <is>
          <t>매매</t>
        </is>
      </c>
      <c r="F2719" s="4" t="n">
        <v>20700</v>
      </c>
      <c r="G2719" s="4" t="n">
        <v>172</v>
      </c>
      <c r="H2719" s="4" t="n">
        <v>52</v>
      </c>
      <c r="I2719" s="5" t="n">
        <v>398.1</v>
      </c>
      <c r="J2719" s="4" t="n">
        <v>747.8</v>
      </c>
      <c r="K2719" s="3" t="inlineStr">
        <is>
          <t>서대전여고 사거리인근 저렴하게 나온 전</t>
        </is>
      </c>
      <c r="L2719" s="6">
        <f>HYPERLINK("https://fin.land.naver.com/articles/2645205731", "매물Link")</f>
        <v/>
      </c>
      <c r="M2719" s="6">
        <f>HYPERLINK("https://map.naver.com/p/search/세종특별자치시 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세종특별자치시 나성동 829</t>
        </is>
      </c>
      <c r="B2720" s="3" t="inlineStr">
        <is>
          <t>중심상업지역</t>
        </is>
      </c>
      <c r="C2720" s="3" t="inlineStr">
        <is>
          <t>대</t>
        </is>
      </c>
      <c r="D2720" s="3" t="inlineStr">
        <is>
          <t>대</t>
        </is>
      </c>
      <c r="E2720" s="3" t="inlineStr">
        <is>
          <t>매매</t>
        </is>
      </c>
      <c r="F2720" s="4" t="n">
        <v>16800</v>
      </c>
      <c r="G2720" s="4" t="n">
        <v>119</v>
      </c>
      <c r="H2720" s="4" t="n">
        <v>36</v>
      </c>
      <c r="I2720" s="5" t="n">
        <v>466.7</v>
      </c>
      <c r="J2720" s="4" t="n">
        <v>747.8</v>
      </c>
      <c r="K2720" s="3" t="inlineStr">
        <is>
          <t>정림공원 주변 코너각지  주택및 상가 추천합니다.</t>
        </is>
      </c>
      <c r="L2720" s="6">
        <f>HYPERLINK("https://fin.land.naver.com/articles/2644292586", "매물Link")</f>
        <v/>
      </c>
      <c r="M2720" s="6">
        <f>HYPERLINK("https://map.naver.com/p/search/세종특별자치시 나성동 829", "지도Link")</f>
        <v/>
      </c>
      <c r="N2720" s="6">
        <f>HYPERLINK("http://www.eum.go.kr/web/ar/lu/luLandDet.jsp?pnu=3611010700108290000&amp;isNoScr=script&amp;mode=search", "토지이음")</f>
        <v/>
      </c>
      <c r="O2720" s="3" t="inlineStr">
        <is>
          <t>대정</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세종특별자치시 나성동 829</t>
        </is>
      </c>
      <c r="B2721" s="3" t="inlineStr">
        <is>
          <t>중심상업지역</t>
        </is>
      </c>
      <c r="C2721" s="3" t="inlineStr">
        <is>
          <t>대</t>
        </is>
      </c>
      <c r="D2721" s="3" t="inlineStr">
        <is>
          <t>대</t>
        </is>
      </c>
      <c r="E2721" s="3" t="inlineStr">
        <is>
          <t>매매</t>
        </is>
      </c>
      <c r="F2721" s="4" t="n">
        <v>82000</v>
      </c>
      <c r="G2721" s="4" t="n">
        <v>312</v>
      </c>
      <c r="H2721" s="4" t="n">
        <v>94</v>
      </c>
      <c r="I2721" s="5" t="n">
        <v>872.3</v>
      </c>
      <c r="J2721" s="4" t="n">
        <v>747.8</v>
      </c>
      <c r="K2721" s="3" t="inlineStr">
        <is>
          <t>8차선대로변,트램2호선역세권,양면도로,상가주택,창고,사무실적합</t>
        </is>
      </c>
      <c r="L2721" s="6">
        <f>HYPERLINK("https://fin.land.naver.com/articles/2649646852", "매물Link")</f>
        <v/>
      </c>
      <c r="M2721" s="6">
        <f>HYPERLINK("https://map.naver.com/p/search/세종특별자치시 나성동 829", "지도Link")</f>
        <v/>
      </c>
      <c r="N2721" s="6">
        <f>HYPERLINK("http://www.eum.go.kr/web/ar/lu/luLandDet.jsp?pnu=3611010700108290000&amp;isNoScr=script&amp;mode=search", "토지이음")</f>
        <v/>
      </c>
      <c r="O2721" s="3" t="inlineStr">
        <is>
          <t>아름다운</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세종특별자치시 나성동 829</t>
        </is>
      </c>
      <c r="B2722" s="3" t="inlineStr">
        <is>
          <t>중심상업지역</t>
        </is>
      </c>
      <c r="C2722" s="3" t="inlineStr">
        <is>
          <t>대</t>
        </is>
      </c>
      <c r="D2722" s="3" t="inlineStr">
        <is>
          <t>대</t>
        </is>
      </c>
      <c r="E2722" s="3" t="inlineStr">
        <is>
          <t>매매</t>
        </is>
      </c>
      <c r="F2722" s="4" t="n">
        <v>16800</v>
      </c>
      <c r="G2722" s="4" t="n">
        <v>119</v>
      </c>
      <c r="H2722" s="4" t="n">
        <v>36</v>
      </c>
      <c r="I2722" s="5" t="n">
        <v>466.7</v>
      </c>
      <c r="J2722" s="4" t="n">
        <v>747.8</v>
      </c>
      <c r="K2722" s="3" t="inlineStr">
        <is>
          <t>코너각지 접한 대지</t>
        </is>
      </c>
      <c r="L2722" s="6">
        <f>HYPERLINK("https://fin.land.naver.com/articles/2646871910", "매물Link")</f>
        <v/>
      </c>
      <c r="M2722" s="6">
        <f>HYPERLINK("https://map.naver.com/p/search/세종특별자치시 나성동 829", "지도Link")</f>
        <v/>
      </c>
      <c r="N2722" s="6">
        <f>HYPERLINK("http://www.eum.go.kr/web/ar/lu/luLandDet.jsp?pnu=3611010700108290000&amp;isNoScr=script&amp;mode=search", "토지이음")</f>
        <v/>
      </c>
      <c r="O2722" s="3" t="inlineStr">
        <is>
          <t>정림탑</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세종특별자치시 나성동 829</t>
        </is>
      </c>
      <c r="B2723" s="3" t="inlineStr">
        <is>
          <t>중심상업지역</t>
        </is>
      </c>
      <c r="C2723" s="3" t="inlineStr">
        <is>
          <t>대</t>
        </is>
      </c>
      <c r="D2723" s="3" t="inlineStr">
        <is>
          <t>전</t>
        </is>
      </c>
      <c r="E2723" s="3" t="inlineStr">
        <is>
          <t>매매</t>
        </is>
      </c>
      <c r="F2723" s="4" t="n">
        <v>63300</v>
      </c>
      <c r="G2723" s="4" t="n">
        <v>805</v>
      </c>
      <c r="H2723" s="4" t="n">
        <v>244</v>
      </c>
      <c r="I2723" s="5" t="n">
        <v>259.4</v>
      </c>
      <c r="J2723" s="4" t="n">
        <v>747.8</v>
      </c>
      <c r="K2723" s="3" t="inlineStr">
        <is>
          <t>nan</t>
        </is>
      </c>
      <c r="L2723" s="6">
        <f>HYPERLINK("https://fin.land.naver.com/articles/2648995405", "매물Link")</f>
        <v/>
      </c>
      <c r="M2723" s="6">
        <f>HYPERLINK("https://map.naver.com/p/search/세종특별자치시 나성동 829", "지도Link")</f>
        <v/>
      </c>
      <c r="N2723" s="6">
        <f>HYPERLINK("http://www.eum.go.kr/web/ar/lu/luLandDet.jsp?pnu=3611010700108290000&amp;isNoScr=script&amp;mode=search", "토지이음")</f>
        <v/>
      </c>
      <c r="O2723" s="3" t="inlineStr">
        <is>
          <t>에듀퍼스트</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세종특별자치시 나성동 829</t>
        </is>
      </c>
      <c r="B2724" s="3" t="inlineStr">
        <is>
          <t>중심상업지역</t>
        </is>
      </c>
      <c r="C2724" s="3" t="inlineStr">
        <is>
          <t>대</t>
        </is>
      </c>
      <c r="D2724" s="3" t="inlineStr">
        <is>
          <t>답</t>
        </is>
      </c>
      <c r="E2724" s="3" t="inlineStr">
        <is>
          <t>매매</t>
        </is>
      </c>
      <c r="F2724" s="4" t="n">
        <v>66000</v>
      </c>
      <c r="G2724" s="4" t="n">
        <v>3134</v>
      </c>
      <c r="H2724" s="4" t="n">
        <v>948</v>
      </c>
      <c r="I2724" s="5" t="n">
        <v>69.59999999999999</v>
      </c>
      <c r="J2724" s="4" t="n">
        <v>747.8</v>
      </c>
      <c r="K2724" s="3" t="inlineStr">
        <is>
          <t>접근성 용이</t>
        </is>
      </c>
      <c r="L2724" s="6">
        <f>HYPERLINK("https://fin.land.naver.com/articles/2644335545", "매물Link")</f>
        <v/>
      </c>
      <c r="M2724" s="6">
        <f>HYPERLINK("https://map.naver.com/p/search/세종특별자치시 나성동 829", "지도Link")</f>
        <v/>
      </c>
      <c r="N2724" s="6">
        <f>HYPERLINK("http://www.eum.go.kr/web/ar/lu/luLandDet.jsp?pnu=3611010700108290000&amp;isNoScr=script&amp;mode=search", "토지이음")</f>
        <v/>
      </c>
      <c r="O2724" s="3" t="inlineStr">
        <is>
          <t>향촌타운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세종특별자치시 나성동 829</t>
        </is>
      </c>
      <c r="B2725" s="3" t="inlineStr">
        <is>
          <t>중심상업지역</t>
        </is>
      </c>
      <c r="C2725" s="3" t="inlineStr">
        <is>
          <t>대</t>
        </is>
      </c>
      <c r="D2725" s="3" t="inlineStr">
        <is>
          <t>도로</t>
        </is>
      </c>
      <c r="E2725" s="3" t="inlineStr">
        <is>
          <t>매매</t>
        </is>
      </c>
      <c r="F2725" s="4" t="n">
        <v>20000</v>
      </c>
      <c r="G2725" s="4" t="n">
        <v>87</v>
      </c>
      <c r="H2725" s="4" t="n">
        <v>26</v>
      </c>
      <c r="I2725" s="5" t="n">
        <v>769.2</v>
      </c>
      <c r="J2725" s="4" t="n">
        <v>747.8</v>
      </c>
      <c r="K2725" s="3" t="inlineStr">
        <is>
          <t>용문4구역 재개발지역  추진위승인</t>
        </is>
      </c>
      <c r="L2725" s="6">
        <f>HYPERLINK("https://fin.land.naver.com/articles/2648350071", "매물Link")</f>
        <v/>
      </c>
      <c r="M2725" s="6">
        <f>HYPERLINK("https://map.naver.com/p/search/세종특별자치시 나성동 829", "지도Link")</f>
        <v/>
      </c>
      <c r="N2725" s="6">
        <f>HYPERLINK("http://www.eum.go.kr/web/ar/lu/luLandDet.jsp?pnu=3611010700108290000&amp;isNoScr=script&amp;mode=search", "토지이음")</f>
        <v/>
      </c>
      <c r="O2725" s="3" t="inlineStr">
        <is>
          <t>진행</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세종특별자치시 나성동 829</t>
        </is>
      </c>
      <c r="B2726" s="3" t="inlineStr">
        <is>
          <t>중심상업지역</t>
        </is>
      </c>
      <c r="C2726" s="3" t="inlineStr">
        <is>
          <t>대</t>
        </is>
      </c>
      <c r="D2726" s="3" t="inlineStr">
        <is>
          <t>대</t>
        </is>
      </c>
      <c r="E2726" s="3" t="inlineStr">
        <is>
          <t>매매</t>
        </is>
      </c>
      <c r="F2726" s="4" t="n">
        <v>440000</v>
      </c>
      <c r="G2726" s="4" t="n">
        <v>1218</v>
      </c>
      <c r="H2726" s="4" t="n">
        <v>368</v>
      </c>
      <c r="I2726" s="5" t="n">
        <v>1195.7</v>
      </c>
      <c r="J2726" s="4" t="n">
        <v>747.8</v>
      </c>
      <c r="K2726" s="3" t="inlineStr">
        <is>
          <t>저렴 이편한세상앞 대로변 건물2동 전시매장 판매장 빵카페 음식점</t>
        </is>
      </c>
      <c r="L2726" s="6">
        <f>HYPERLINK("https://fin.land.naver.com/articles/2648779664", "매물Link")</f>
        <v/>
      </c>
      <c r="M2726" s="6">
        <f>HYPERLINK("https://map.naver.com/p/search/세종특별자치시 나성동 829", "지도Link")</f>
        <v/>
      </c>
      <c r="N2726" s="6">
        <f>HYPERLINK("http://www.eum.go.kr/web/ar/lu/luLandDet.jsp?pnu=3611010700108290000&amp;isNoScr=script&amp;mode=search", "토지이음")</f>
        <v/>
      </c>
      <c r="O2726" s="3" t="inlineStr">
        <is>
          <t>명당</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세종특별자치시 나성동 829</t>
        </is>
      </c>
      <c r="B2727" s="3" t="inlineStr">
        <is>
          <t>중심상업지역</t>
        </is>
      </c>
      <c r="C2727" s="3" t="inlineStr">
        <is>
          <t>대</t>
        </is>
      </c>
      <c r="D2727" s="3" t="inlineStr">
        <is>
          <t>대</t>
        </is>
      </c>
      <c r="E2727" s="3" t="inlineStr">
        <is>
          <t>매매</t>
        </is>
      </c>
      <c r="F2727" s="4" t="n">
        <v>110000</v>
      </c>
      <c r="G2727" s="4" t="n">
        <v>310</v>
      </c>
      <c r="H2727" s="4" t="n">
        <v>94</v>
      </c>
      <c r="I2727" s="5" t="n">
        <v>1170.2</v>
      </c>
      <c r="J2727" s="4" t="n">
        <v>747.8</v>
      </c>
      <c r="K2727" s="3" t="inlineStr">
        <is>
          <t>탄방동 접근성 용이한 2차선도로변 토지매매</t>
        </is>
      </c>
      <c r="L2727" s="6">
        <f>HYPERLINK("https://fin.land.naver.com/articles/2647105937", "매물Link")</f>
        <v/>
      </c>
      <c r="M2727" s="6">
        <f>HYPERLINK("https://map.naver.com/p/search/세종특별자치시 나성동 829", "지도Link")</f>
        <v/>
      </c>
      <c r="N2727" s="6">
        <f>HYPERLINK("http://www.eum.go.kr/web/ar/lu/luLandDet.jsp?pnu=3611010700108290000&amp;isNoScr=script&amp;mode=search", "토지이음")</f>
        <v/>
      </c>
      <c r="O2727" s="3" t="inlineStr">
        <is>
          <t>예스</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세종특별자치시 나성동 829</t>
        </is>
      </c>
      <c r="B2728" s="3" t="inlineStr">
        <is>
          <t>중심상업지역</t>
        </is>
      </c>
      <c r="C2728" s="3" t="inlineStr">
        <is>
          <t>대</t>
        </is>
      </c>
      <c r="D2728" s="3" t="inlineStr">
        <is>
          <t>대</t>
        </is>
      </c>
      <c r="E2728" s="3" t="inlineStr">
        <is>
          <t>매매</t>
        </is>
      </c>
      <c r="F2728" s="4" t="n">
        <v>450000</v>
      </c>
      <c r="G2728" s="4" t="n">
        <v>1140</v>
      </c>
      <c r="H2728" s="4" t="n">
        <v>345</v>
      </c>
      <c r="I2728" s="5" t="n">
        <v>1304.3</v>
      </c>
      <c r="J2728" s="4" t="n">
        <v>747.8</v>
      </c>
      <c r="K2728" s="3" t="inlineStr">
        <is>
          <t>탄방동 핵심 생활권 연립 빌라 공동주택 신축용 대형토지</t>
        </is>
      </c>
      <c r="L2728" s="6">
        <f>HYPERLINK("https://fin.land.naver.com/articles/2645149830", "매물Link")</f>
        <v/>
      </c>
      <c r="M2728" s="6">
        <f>HYPERLINK("https://map.naver.com/p/search/세종특별자치시 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세종특별자치시 나성동 829</t>
        </is>
      </c>
      <c r="B2729" s="3" t="inlineStr">
        <is>
          <t>중심상업지역</t>
        </is>
      </c>
      <c r="C2729" s="3" t="inlineStr">
        <is>
          <t>대</t>
        </is>
      </c>
      <c r="D2729" s="3" t="inlineStr">
        <is>
          <t>대</t>
        </is>
      </c>
      <c r="E2729" s="3" t="inlineStr">
        <is>
          <t>월세</t>
        </is>
      </c>
      <c r="F2729" s="4" t="n">
        <v>2000</v>
      </c>
      <c r="G2729" s="4" t="n">
        <v>226</v>
      </c>
      <c r="H2729" s="4" t="n">
        <v>68</v>
      </c>
      <c r="I2729" s="5" t="n">
        <v>1.5</v>
      </c>
      <c r="J2729" s="4" t="n">
        <v>747.8</v>
      </c>
      <c r="K2729" s="3" t="inlineStr">
        <is>
          <t>왕복4차선 도로앞 나대지.</t>
        </is>
      </c>
      <c r="L2729" s="6">
        <f>HYPERLINK("https://fin.land.naver.com/articles/2648552625", "매물Link")</f>
        <v/>
      </c>
      <c r="M2729" s="6">
        <f>HYPERLINK("https://map.naver.com/p/search/세종특별자치시 나성동 829", "지도Link")</f>
        <v/>
      </c>
      <c r="N2729" s="6">
        <f>HYPERLINK("http://www.eum.go.kr/web/ar/lu/luLandDet.jsp?pnu=3611010700108290000&amp;isNoScr=script&amp;mode=search", "토지이음")</f>
        <v/>
      </c>
      <c r="O2729" s="3" t="inlineStr">
        <is>
          <t>신용문</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세종특별자치시 나성동 829</t>
        </is>
      </c>
      <c r="B2730" s="3" t="inlineStr">
        <is>
          <t>중심상업지역</t>
        </is>
      </c>
      <c r="C2730" s="3" t="inlineStr">
        <is>
          <t>대</t>
        </is>
      </c>
      <c r="D2730" s="3" t="inlineStr">
        <is>
          <t>대</t>
        </is>
      </c>
      <c r="E2730" s="3" t="inlineStr">
        <is>
          <t>매매</t>
        </is>
      </c>
      <c r="F2730" s="4" t="n">
        <v>650000</v>
      </c>
      <c r="G2730" s="4" t="n">
        <v>1243</v>
      </c>
      <c r="H2730" s="4" t="n">
        <v>376</v>
      </c>
      <c r="I2730" s="5" t="n">
        <v>1728.7</v>
      </c>
      <c r="J2730" s="4" t="n">
        <v>747.8</v>
      </c>
      <c r="K2730" s="3" t="inlineStr">
        <is>
          <t>대전 서구 탄방동 대로변 주유소</t>
        </is>
      </c>
      <c r="L2730" s="6">
        <f>HYPERLINK("https://fin.land.naver.com/articles/2646975842", "매물Link")</f>
        <v/>
      </c>
      <c r="M2730" s="6">
        <f>HYPERLINK("https://map.naver.com/p/search/세종특별자치시 나성동 829", "지도Link")</f>
        <v/>
      </c>
      <c r="N2730" s="6">
        <f>HYPERLINK("http://www.eum.go.kr/web/ar/lu/luLandDet.jsp?pnu=3611010700108290000&amp;isNoScr=script&amp;mode=search", "토지이음")</f>
        <v/>
      </c>
      <c r="O2730" s="3" t="inlineStr">
        <is>
          <t>지산</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세종특별자치시 나성동 829</t>
        </is>
      </c>
      <c r="B2731" s="3" t="inlineStr">
        <is>
          <t>중심상업지역</t>
        </is>
      </c>
      <c r="C2731" s="3" t="inlineStr">
        <is>
          <t>대</t>
        </is>
      </c>
      <c r="D2731" s="3" t="inlineStr">
        <is>
          <t>대</t>
        </is>
      </c>
      <c r="E2731" s="3" t="inlineStr">
        <is>
          <t>매매</t>
        </is>
      </c>
      <c r="F2731" s="4" t="n">
        <v>125000</v>
      </c>
      <c r="G2731" s="4" t="n">
        <v>245</v>
      </c>
      <c r="H2731" s="4" t="n">
        <v>74</v>
      </c>
      <c r="I2731" s="5" t="n">
        <v>1689.2</v>
      </c>
      <c r="J2731" s="4" t="n">
        <v>747.8</v>
      </c>
      <c r="K2731" s="3" t="inlineStr">
        <is>
          <t>롯데백화점 바로 뒤에 위치한 일반상업지역 대지입니다</t>
        </is>
      </c>
      <c r="L2731" s="6">
        <f>HYPERLINK("https://fin.land.naver.com/articles/2649315927", "매물Link")</f>
        <v/>
      </c>
      <c r="M2731" s="6">
        <f>HYPERLINK("https://map.naver.com/p/search/세종특별자치시 나성동 829", "지도Link")</f>
        <v/>
      </c>
      <c r="N2731" s="6">
        <f>HYPERLINK("http://www.eum.go.kr/web/ar/lu/luLandDet.jsp?pnu=3611010700108290000&amp;isNoScr=script&amp;mode=search", "토지이음")</f>
        <v/>
      </c>
      <c r="O2731" s="3" t="inlineStr">
        <is>
          <t>맺음</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세종특별자치시 나성동 829</t>
        </is>
      </c>
      <c r="B2732" s="3" t="inlineStr">
        <is>
          <t>중심상업지역</t>
        </is>
      </c>
      <c r="C2732" s="3" t="inlineStr">
        <is>
          <t>대</t>
        </is>
      </c>
      <c r="D2732" s="3" t="inlineStr">
        <is>
          <t>대</t>
        </is>
      </c>
      <c r="E2732" s="3" t="inlineStr">
        <is>
          <t>매매</t>
        </is>
      </c>
      <c r="F2732" s="4" t="n">
        <v>45000</v>
      </c>
      <c r="G2732" s="4" t="n">
        <v>203</v>
      </c>
      <c r="H2732" s="4" t="n">
        <v>61</v>
      </c>
      <c r="I2732" s="5" t="n">
        <v>737.7</v>
      </c>
      <c r="J2732" s="4" t="n">
        <v>747.8</v>
      </c>
      <c r="K2732" s="3" t="inlineStr">
        <is>
          <t>nan</t>
        </is>
      </c>
      <c r="L2732" s="6">
        <f>HYPERLINK("https://fin.land.naver.com/articles/2649730810", "매물Link")</f>
        <v/>
      </c>
      <c r="M2732" s="6">
        <f>HYPERLINK("https://map.naver.com/p/search/세종특별자치시 나성동 829", "지도Link")</f>
        <v/>
      </c>
      <c r="N2732" s="6">
        <f>HYPERLINK("http://www.eum.go.kr/web/ar/lu/luLandDet.jsp?pnu=3611010700108290000&amp;isNoScr=script&amp;mode=search", "토지이음")</f>
        <v/>
      </c>
      <c r="O2732" s="3" t="inlineStr">
        <is>
          <t>티오피(주)</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세종특별자치시 나성동 829</t>
        </is>
      </c>
      <c r="B2733" s="3" t="inlineStr">
        <is>
          <t>중심상업지역</t>
        </is>
      </c>
      <c r="C2733" s="3" t="inlineStr">
        <is>
          <t>대</t>
        </is>
      </c>
      <c r="D2733" s="3" t="inlineStr">
        <is>
          <t>대</t>
        </is>
      </c>
      <c r="E2733" s="3" t="inlineStr">
        <is>
          <t>매매</t>
        </is>
      </c>
      <c r="F2733" s="4" t="n">
        <v>41000</v>
      </c>
      <c r="G2733" s="4" t="n">
        <v>203</v>
      </c>
      <c r="H2733" s="4" t="n">
        <v>61</v>
      </c>
      <c r="I2733" s="5" t="n">
        <v>672.1</v>
      </c>
      <c r="J2733" s="4" t="n">
        <v>747.8</v>
      </c>
      <c r="K2733" s="3" t="inlineStr">
        <is>
          <t>한빛교회앞 8m도로변 주차편리한 저렴한 나대지</t>
        </is>
      </c>
      <c r="L2733" s="6">
        <f>HYPERLINK("https://fin.land.naver.com/articles/2644985265", "매물Link")</f>
        <v/>
      </c>
      <c r="M2733" s="6">
        <f>HYPERLINK("https://map.naver.com/p/search/세종특별자치시 나성동 829", "지도Link")</f>
        <v/>
      </c>
      <c r="N2733" s="6">
        <f>HYPERLINK("http://www.eum.go.kr/web/ar/lu/luLandDet.jsp?pnu=3611010700108290000&amp;isNoScr=script&amp;mode=search", "토지이음")</f>
        <v/>
      </c>
      <c r="O2733" s="3" t="inlineStr">
        <is>
          <t>귀빈</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세종특별자치시 나성동 829</t>
        </is>
      </c>
      <c r="B2734" s="3" t="inlineStr">
        <is>
          <t>중심상업지역</t>
        </is>
      </c>
      <c r="C2734" s="3" t="inlineStr">
        <is>
          <t>대</t>
        </is>
      </c>
      <c r="D2734" s="3" t="inlineStr">
        <is>
          <t>임야</t>
        </is>
      </c>
      <c r="E2734" s="3" t="inlineStr">
        <is>
          <t>매매</t>
        </is>
      </c>
      <c r="F2734" s="4" t="n">
        <v>250000</v>
      </c>
      <c r="G2734" s="4" t="n">
        <v>1053</v>
      </c>
      <c r="H2734" s="4" t="n">
        <v>319</v>
      </c>
      <c r="I2734" s="5" t="n">
        <v>783.7</v>
      </c>
      <c r="J2734" s="4" t="n">
        <v>747.8</v>
      </c>
      <c r="K2734" s="3" t="inlineStr">
        <is>
          <t>대로변으로 전시효과 좋으며 접근성 좋습니다</t>
        </is>
      </c>
      <c r="L2734" s="6">
        <f>HYPERLINK("https://fin.land.naver.com/articles/2644256403", "매물Link")</f>
        <v/>
      </c>
      <c r="M2734" s="6">
        <f>HYPERLINK("https://map.naver.com/p/search/세종특별자치시 나성동 829", "지도Link")</f>
        <v/>
      </c>
      <c r="N2734" s="6">
        <f>HYPERLINK("http://www.eum.go.kr/web/ar/lu/luLandDet.jsp?pnu=3611010700108290000&amp;isNoScr=script&amp;mode=search", "토지이음")</f>
        <v/>
      </c>
      <c r="O2734" s="3" t="inlineStr">
        <is>
          <t>연지</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세종특별자치시 나성동 829</t>
        </is>
      </c>
      <c r="B2735" s="3" t="inlineStr">
        <is>
          <t>중심상업지역</t>
        </is>
      </c>
      <c r="C2735" s="3" t="inlineStr">
        <is>
          <t>대</t>
        </is>
      </c>
      <c r="D2735" s="3" t="inlineStr">
        <is>
          <t>대</t>
        </is>
      </c>
      <c r="E2735" s="3" t="inlineStr">
        <is>
          <t>매매</t>
        </is>
      </c>
      <c r="F2735" s="4" t="n">
        <v>280000</v>
      </c>
      <c r="G2735" s="4" t="n">
        <v>710</v>
      </c>
      <c r="H2735" s="4" t="n">
        <v>215</v>
      </c>
      <c r="I2735" s="5" t="n">
        <v>1302.3</v>
      </c>
      <c r="J2735" s="4" t="n">
        <v>747.8</v>
      </c>
      <c r="K2735" s="3" t="inlineStr">
        <is>
          <t>대로변 가시성 좋은 위치</t>
        </is>
      </c>
      <c r="L2735" s="6">
        <f>HYPERLINK("https://fin.land.naver.com/articles/2647006771", "매물Link")</f>
        <v/>
      </c>
      <c r="M2735" s="6">
        <f>HYPERLINK("https://map.naver.com/p/search/세종특별자치시 나성동 829", "지도Link")</f>
        <v/>
      </c>
      <c r="N2735" s="6">
        <f>HYPERLINK("http://www.eum.go.kr/web/ar/lu/luLandDet.jsp?pnu=3611010700108290000&amp;isNoScr=script&amp;mode=search", "토지이음")</f>
        <v/>
      </c>
      <c r="O2735" s="3" t="inlineStr">
        <is>
          <t>달리는</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세종특별자치시 나성동 829</t>
        </is>
      </c>
      <c r="B2736" s="3" t="inlineStr">
        <is>
          <t>중심상업지역</t>
        </is>
      </c>
      <c r="C2736" s="3" t="inlineStr">
        <is>
          <t>대</t>
        </is>
      </c>
      <c r="D2736" s="3" t="inlineStr">
        <is>
          <t>대</t>
        </is>
      </c>
      <c r="E2736" s="3" t="inlineStr">
        <is>
          <t>매매</t>
        </is>
      </c>
      <c r="F2736" s="4" t="n">
        <v>79200</v>
      </c>
      <c r="G2736" s="4" t="n">
        <v>476</v>
      </c>
      <c r="H2736" s="4" t="n">
        <v>144</v>
      </c>
      <c r="I2736" s="5" t="n">
        <v>550</v>
      </c>
      <c r="J2736" s="4" t="n">
        <v>747.8</v>
      </c>
      <c r="K2736" s="3" t="inlineStr">
        <is>
          <t>위치좋은 평지 대지 476제곱미터인 사업하기좋은 토지  저렴한 급 매매</t>
        </is>
      </c>
      <c r="L2736" s="6">
        <f>HYPERLINK("https://fin.land.naver.com/articles/2644602709", "매물Link")</f>
        <v/>
      </c>
      <c r="M2736" s="6">
        <f>HYPERLINK("https://map.naver.com/p/search/세종특별자치시 나성동 829", "지도Link")</f>
        <v/>
      </c>
      <c r="N2736" s="6">
        <f>HYPERLINK("http://www.eum.go.kr/web/ar/lu/luLandDet.jsp?pnu=3611010700108290000&amp;isNoScr=script&amp;mode=search", "토지이음")</f>
        <v/>
      </c>
      <c r="O2736" s="3" t="inlineStr">
        <is>
          <t>코끼리</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세종특별자치시 나성동 829</t>
        </is>
      </c>
      <c r="B2737" s="3" t="inlineStr">
        <is>
          <t>중심상업지역</t>
        </is>
      </c>
      <c r="C2737" s="3" t="inlineStr">
        <is>
          <t>대</t>
        </is>
      </c>
      <c r="D2737" s="3" t="inlineStr">
        <is>
          <t>대</t>
        </is>
      </c>
      <c r="E2737" s="3" t="inlineStr">
        <is>
          <t>매매</t>
        </is>
      </c>
      <c r="F2737" s="4" t="n">
        <v>10000000</v>
      </c>
      <c r="G2737" s="4" t="n">
        <v>332</v>
      </c>
      <c r="H2737" s="4" t="n">
        <v>100</v>
      </c>
      <c r="I2737" s="5" t="n">
        <v>100000</v>
      </c>
      <c r="J2737" s="4" t="n">
        <v>747.8</v>
      </c>
      <c r="K2737" s="3" t="inlineStr">
        <is>
          <t>갈마역,둔산권근접거리,초중고,업무용빌딩,상가, 상권좋음</t>
        </is>
      </c>
      <c r="L2737" s="6">
        <f>HYPERLINK("https://fin.land.naver.com/articles/2646995995", "매물Link")</f>
        <v/>
      </c>
      <c r="M2737" s="6">
        <f>HYPERLINK("https://map.naver.com/p/search/세종특별자치시 나성동 829", "지도Link")</f>
        <v/>
      </c>
      <c r="N2737" s="6">
        <f>HYPERLINK("http://www.eum.go.kr/web/ar/lu/luLandDet.jsp?pnu=3611010700108290000&amp;isNoScr=script&amp;mode=search", "토지이음")</f>
        <v/>
      </c>
      <c r="O2737" s="3" t="inlineStr">
        <is>
          <t>소망</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세종특별자치시 나성동 829</t>
        </is>
      </c>
      <c r="B2738" s="3" t="inlineStr">
        <is>
          <t>중심상업지역</t>
        </is>
      </c>
      <c r="C2738" s="3" t="inlineStr">
        <is>
          <t>대</t>
        </is>
      </c>
      <c r="D2738" s="3" t="inlineStr">
        <is>
          <t>전</t>
        </is>
      </c>
      <c r="E2738" s="3" t="inlineStr">
        <is>
          <t>매매</t>
        </is>
      </c>
      <c r="F2738" s="4" t="n">
        <v>69000</v>
      </c>
      <c r="G2738" s="4" t="n">
        <v>1359</v>
      </c>
      <c r="H2738" s="4" t="n">
        <v>411</v>
      </c>
      <c r="I2738" s="5" t="n">
        <v>167.9</v>
      </c>
      <c r="J2738" s="4" t="n">
        <v>747.8</v>
      </c>
      <c r="K2738" s="3" t="inlineStr">
        <is>
          <t>세종시인접 투자용 도로접. 주변 발전가능성 높음.세종과 대전가는길</t>
        </is>
      </c>
      <c r="L2738" s="6">
        <f>HYPERLINK("https://fin.land.naver.com/articles/2645346540", "매물Link")</f>
        <v/>
      </c>
      <c r="M2738" s="6">
        <f>HYPERLINK("https://map.naver.com/p/search/세종특별자치시 나성동 829", "지도Link")</f>
        <v/>
      </c>
      <c r="N2738" s="6">
        <f>HYPERLINK("http://www.eum.go.kr/web/ar/lu/luLandDet.jsp?pnu=3611010700108290000&amp;isNoScr=script&amp;mode=search", "토지이음")</f>
        <v/>
      </c>
      <c r="O2738" s="3" t="inlineStr">
        <is>
          <t>세종OK</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세종특별자치시 나성동 829</t>
        </is>
      </c>
      <c r="B2739" s="3" t="inlineStr">
        <is>
          <t>중심상업지역</t>
        </is>
      </c>
      <c r="C2739" s="3" t="inlineStr">
        <is>
          <t>대</t>
        </is>
      </c>
      <c r="D2739" s="3" t="inlineStr">
        <is>
          <t>전</t>
        </is>
      </c>
      <c r="E2739" s="3" t="inlineStr">
        <is>
          <t>매매</t>
        </is>
      </c>
      <c r="F2739" s="4" t="n">
        <v>12700</v>
      </c>
      <c r="G2739" s="4" t="n">
        <v>1197</v>
      </c>
      <c r="H2739" s="4" t="n">
        <v>362</v>
      </c>
      <c r="I2739" s="5" t="n">
        <v>35.1</v>
      </c>
      <c r="J2739" s="4" t="n">
        <v>747.8</v>
      </c>
      <c r="K2739" s="3" t="inlineStr">
        <is>
          <t>Point 집단취락지구, 야산 아래 조망 뷰 좋음, 토지거래허가구역</t>
        </is>
      </c>
      <c r="L2739" s="6">
        <f>HYPERLINK("https://fin.land.naver.com/articles/2648329864", "매물Link")</f>
        <v/>
      </c>
      <c r="M2739" s="6">
        <f>HYPERLINK("https://map.naver.com/p/search/세종특별자치시 나성동 829", "지도Link")</f>
        <v/>
      </c>
      <c r="N2739" s="6">
        <f>HYPERLINK("http://www.eum.go.kr/web/ar/lu/luLandDet.jsp?pnu=3611010700108290000&amp;isNoScr=script&amp;mode=search", "토지이음")</f>
        <v/>
      </c>
      <c r="O2739" s="3" t="inlineStr">
        <is>
          <t>도마호반</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세종특별자치시 나성동 829</t>
        </is>
      </c>
      <c r="B2740" s="3" t="inlineStr">
        <is>
          <t>중심상업지역</t>
        </is>
      </c>
      <c r="C2740" s="3" t="inlineStr">
        <is>
          <t>대</t>
        </is>
      </c>
      <c r="D2740" s="3" t="inlineStr">
        <is>
          <t>답</t>
        </is>
      </c>
      <c r="E2740" s="3" t="inlineStr">
        <is>
          <t>매매</t>
        </is>
      </c>
      <c r="F2740" s="4" t="n">
        <v>52000</v>
      </c>
      <c r="G2740" s="4" t="n">
        <v>4893</v>
      </c>
      <c r="H2740" s="4" t="n">
        <v>1480</v>
      </c>
      <c r="I2740" s="5" t="n">
        <v>35.1</v>
      </c>
      <c r="J2740" s="4" t="n">
        <v>747.8</v>
      </c>
      <c r="K2740" s="3" t="inlineStr">
        <is>
          <t>금남면 영치리 토지답 매매.</t>
        </is>
      </c>
      <c r="L2740" s="6">
        <f>HYPERLINK("https://fin.land.naver.com/articles/2648547340", "매물Link")</f>
        <v/>
      </c>
      <c r="M2740" s="6">
        <f>HYPERLINK("https://map.naver.com/p/search/세종특별자치시 나성동 829", "지도Link")</f>
        <v/>
      </c>
      <c r="N2740" s="6">
        <f>HYPERLINK("http://www.eum.go.kr/web/ar/lu/luLandDet.jsp?pnu=3611010700108290000&amp;isNoScr=script&amp;mode=search", "토지이음")</f>
        <v/>
      </c>
      <c r="O2740" s="3" t="inlineStr">
        <is>
          <t>세종강산</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세종특별자치시 나성동 829</t>
        </is>
      </c>
      <c r="B2741" s="3" t="inlineStr">
        <is>
          <t>중심상업지역</t>
        </is>
      </c>
      <c r="C2741" s="3" t="inlineStr">
        <is>
          <t>대</t>
        </is>
      </c>
      <c r="D2741" s="3" t="inlineStr">
        <is>
          <t>대</t>
        </is>
      </c>
      <c r="E2741" s="3" t="inlineStr">
        <is>
          <t>매매</t>
        </is>
      </c>
      <c r="F2741" s="4" t="n">
        <v>110000</v>
      </c>
      <c r="G2741" s="4" t="n">
        <v>1051</v>
      </c>
      <c r="H2741" s="4" t="n">
        <v>318</v>
      </c>
      <c r="I2741" s="5" t="n">
        <v>345.9</v>
      </c>
      <c r="J2741" s="4" t="n">
        <v>747.8</v>
      </c>
      <c r="K2741" s="3" t="inlineStr">
        <is>
          <t>계획관리지역 대지, 단독주택, 카페 등 추천, 가격 조율 가능</t>
        </is>
      </c>
      <c r="L2741" s="6">
        <f>HYPERLINK("https://fin.land.naver.com/articles/2648636296", "매물Link")</f>
        <v/>
      </c>
      <c r="M2741" s="6">
        <f>HYPERLINK("https://map.naver.com/p/search/세종특별자치시 나성동 829", "지도Link")</f>
        <v/>
      </c>
      <c r="N2741" s="6">
        <f>HYPERLINK("http://www.eum.go.kr/web/ar/lu/luLandDet.jsp?pnu=3611010700108290000&amp;isNoScr=script&amp;mode=search", "토지이음")</f>
        <v/>
      </c>
      <c r="O2741" s="3" t="inlineStr">
        <is>
          <t>골든</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세종특별자치시 나성동 829</t>
        </is>
      </c>
      <c r="B2742" s="3" t="inlineStr">
        <is>
          <t>중심상업지역</t>
        </is>
      </c>
      <c r="C2742" s="3" t="inlineStr">
        <is>
          <t>대</t>
        </is>
      </c>
      <c r="D2742" s="3" t="inlineStr">
        <is>
          <t>전</t>
        </is>
      </c>
      <c r="E2742" s="3" t="inlineStr">
        <is>
          <t>매매</t>
        </is>
      </c>
      <c r="F2742" s="4" t="n">
        <v>60000</v>
      </c>
      <c r="G2742" s="4" t="n">
        <v>2430</v>
      </c>
      <c r="H2742" s="4" t="n">
        <v>735</v>
      </c>
      <c r="I2742" s="5" t="n">
        <v>81.59999999999999</v>
      </c>
      <c r="J2742" s="4" t="n">
        <v>747.8</v>
      </c>
      <c r="K2742" s="3" t="inlineStr">
        <is>
          <t>구거에 접한 토지를 저렴한 매매가</t>
        </is>
      </c>
      <c r="L2742" s="6">
        <f>HYPERLINK("https://fin.land.naver.com/articles/2647427800", "매물Link")</f>
        <v/>
      </c>
      <c r="M2742" s="6">
        <f>HYPERLINK("https://map.naver.com/p/search/세종특별자치시 나성동 829", "지도Link")</f>
        <v/>
      </c>
      <c r="N2742" s="6">
        <f>HYPERLINK("http://www.eum.go.kr/web/ar/lu/luLandDet.jsp?pnu=3611010700108290000&amp;isNoScr=script&amp;mode=search", "토지이음")</f>
        <v/>
      </c>
      <c r="O2742" s="3" t="inlineStr">
        <is>
          <t>가야</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세종특별자치시 나성동 829</t>
        </is>
      </c>
      <c r="B2743" s="3" t="inlineStr">
        <is>
          <t>중심상업지역</t>
        </is>
      </c>
      <c r="C2743" s="3" t="inlineStr">
        <is>
          <t>대</t>
        </is>
      </c>
      <c r="D2743" s="3" t="inlineStr">
        <is>
          <t>답</t>
        </is>
      </c>
      <c r="E2743" s="3" t="inlineStr">
        <is>
          <t>매매</t>
        </is>
      </c>
      <c r="F2743" s="4" t="n">
        <v>28000</v>
      </c>
      <c r="G2743" s="4" t="n">
        <v>1705</v>
      </c>
      <c r="H2743" s="4" t="n">
        <v>516</v>
      </c>
      <c r="I2743" s="5" t="n">
        <v>54.3</v>
      </c>
      <c r="J2743" s="4" t="n">
        <v>747.8</v>
      </c>
      <c r="K2743" s="3" t="inlineStr">
        <is>
          <t>세종시 부강면 부강리 전망좋은 토지매매</t>
        </is>
      </c>
      <c r="L2743" s="6">
        <f>HYPERLINK("https://fin.land.naver.com/articles/2647117688", "매물Link")</f>
        <v/>
      </c>
      <c r="M2743" s="6">
        <f>HYPERLINK("https://map.naver.com/p/search/세종특별자치시 나성동 829", "지도Link")</f>
        <v/>
      </c>
      <c r="N2743" s="6">
        <f>HYPERLINK("http://www.eum.go.kr/web/ar/lu/luLandDet.jsp?pnu=3611010700108290000&amp;isNoScr=script&amp;mode=search", "토지이음")</f>
        <v/>
      </c>
      <c r="O2743" s="3" t="inlineStr">
        <is>
          <t>삼성사무소</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세종특별자치시 나성동 829</t>
        </is>
      </c>
      <c r="B2744" s="3" t="inlineStr">
        <is>
          <t>중심상업지역</t>
        </is>
      </c>
      <c r="C2744" s="3" t="inlineStr">
        <is>
          <t>대</t>
        </is>
      </c>
      <c r="D2744" s="3" t="inlineStr">
        <is>
          <t>잡종지</t>
        </is>
      </c>
      <c r="E2744" s="3" t="inlineStr">
        <is>
          <t>월세</t>
        </is>
      </c>
      <c r="F2744" s="4" t="n">
        <v>3000</v>
      </c>
      <c r="G2744" s="4" t="n">
        <v>3015</v>
      </c>
      <c r="H2744" s="4" t="n">
        <v>912</v>
      </c>
      <c r="I2744" s="5" t="n">
        <v>0.3</v>
      </c>
      <c r="J2744" s="4" t="n">
        <v>747.8</v>
      </c>
      <c r="K2744" s="3" t="inlineStr">
        <is>
          <t>세종에서 접근성좋은 야적장으로 추천</t>
        </is>
      </c>
      <c r="L2744" s="6">
        <f>HYPERLINK("https://fin.land.naver.com/articles/2646339607", "매물Link")</f>
        <v/>
      </c>
      <c r="M2744" s="6">
        <f>HYPERLINK("https://map.naver.com/p/search/세종특별자치시 나성동 829", "지도Link")</f>
        <v/>
      </c>
      <c r="N2744" s="6">
        <f>HYPERLINK("http://www.eum.go.kr/web/ar/lu/luLandDet.jsp?pnu=3611010700108290000&amp;isNoScr=script&amp;mode=search", "토지이음")</f>
        <v/>
      </c>
      <c r="O2744" s="3" t="inlineStr">
        <is>
          <t>창고의여왕</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세종특별자치시 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HYPERLINK("https://map.naver.com/p/search/세종특별자치시 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세종특별자치시 나성동 829</t>
        </is>
      </c>
      <c r="B2746" s="3" t="inlineStr">
        <is>
          <t>중심상업지역</t>
        </is>
      </c>
      <c r="C2746" s="3" t="inlineStr">
        <is>
          <t>대</t>
        </is>
      </c>
      <c r="D2746" s="3" t="inlineStr">
        <is>
          <t>전</t>
        </is>
      </c>
      <c r="E2746" s="3" t="inlineStr">
        <is>
          <t>매매</t>
        </is>
      </c>
      <c r="F2746" s="4" t="n">
        <v>200000</v>
      </c>
      <c r="G2746" s="4" t="n">
        <v>1864</v>
      </c>
      <c r="H2746" s="4" t="n">
        <v>564</v>
      </c>
      <c r="I2746" s="5" t="n">
        <v>354.6</v>
      </c>
      <c r="J2746" s="4" t="n">
        <v>747.8</v>
      </c>
      <c r="K2746" s="3" t="inlineStr">
        <is>
          <t>부강면 금호리 전원주택</t>
        </is>
      </c>
      <c r="L2746" s="6">
        <f>HYPERLINK("https://fin.land.naver.com/articles/2645480431", "매물Link")</f>
        <v/>
      </c>
      <c r="M2746" s="6">
        <f>HYPERLINK("https://map.naver.com/p/search/세종특별자치시 나성동 829", "지도Link")</f>
        <v/>
      </c>
      <c r="N2746" s="6">
        <f>HYPERLINK("http://www.eum.go.kr/web/ar/lu/luLandDet.jsp?pnu=3611010700108290000&amp;isNoScr=script&amp;mode=search", "토지이음")</f>
        <v/>
      </c>
      <c r="O2746" s="3" t="inlineStr">
        <is>
          <t>강아지풀</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세종특별자치시 나성동 829</t>
        </is>
      </c>
      <c r="B2747" s="3" t="inlineStr">
        <is>
          <t>중심상업지역</t>
        </is>
      </c>
      <c r="C2747" s="3" t="inlineStr">
        <is>
          <t>대</t>
        </is>
      </c>
      <c r="D2747" s="3" t="inlineStr">
        <is>
          <t>전</t>
        </is>
      </c>
      <c r="E2747" s="3" t="inlineStr">
        <is>
          <t>매매</t>
        </is>
      </c>
      <c r="F2747" s="4" t="n">
        <v>100000</v>
      </c>
      <c r="G2747" s="4" t="n">
        <v>3256</v>
      </c>
      <c r="H2747" s="4" t="n">
        <v>985</v>
      </c>
      <c r="I2747" s="5" t="n">
        <v>101.5</v>
      </c>
      <c r="J2747" s="4" t="n">
        <v>747.8</v>
      </c>
      <c r="K2747" s="3" t="inlineStr">
        <is>
          <t>급매. 노호리 평수 큰 계획관리</t>
        </is>
      </c>
      <c r="L2747" s="6">
        <f>HYPERLINK("https://fin.land.naver.com/articles/2645480343", "매물Link")</f>
        <v/>
      </c>
      <c r="M2747" s="6">
        <f>HYPERLINK("https://map.naver.com/p/search/세종특별자치시 나성동 829", "지도Link")</f>
        <v/>
      </c>
      <c r="N2747" s="6">
        <f>HYPERLINK("http://www.eum.go.kr/web/ar/lu/luLandDet.jsp?pnu=3611010700108290000&amp;isNoScr=script&amp;mode=search", "토지이음")</f>
        <v/>
      </c>
      <c r="O2747" s="3" t="inlineStr">
        <is>
          <t>강아지풀</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세종특별자치시 나성동 829</t>
        </is>
      </c>
      <c r="B2748" s="3" t="inlineStr">
        <is>
          <t>중심상업지역</t>
        </is>
      </c>
      <c r="C2748" s="3" t="inlineStr">
        <is>
          <t>대</t>
        </is>
      </c>
      <c r="D2748" s="3" t="inlineStr">
        <is>
          <t>대</t>
        </is>
      </c>
      <c r="E2748" s="3" t="inlineStr">
        <is>
          <t>매매</t>
        </is>
      </c>
      <c r="F2748" s="4" t="n">
        <v>310400</v>
      </c>
      <c r="G2748" s="4" t="n">
        <v>1282</v>
      </c>
      <c r="H2748" s="4" t="n">
        <v>388</v>
      </c>
      <c r="I2748" s="5" t="n">
        <v>800</v>
      </c>
      <c r="J2748" s="4" t="n">
        <v>747.8</v>
      </c>
      <c r="K2748" s="3" t="inlineStr">
        <is>
          <t>급. 부강 부강농협 부지</t>
        </is>
      </c>
      <c r="L2748" s="6">
        <f>HYPERLINK("https://fin.land.naver.com/articles/2645479886", "매물Link")</f>
        <v/>
      </c>
      <c r="M2748" s="6">
        <f>HYPERLINK("https://map.naver.com/p/search/세종특별자치시 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세종특별자치시 나성동 829</t>
        </is>
      </c>
      <c r="B2749" s="3" t="inlineStr">
        <is>
          <t>중심상업지역</t>
        </is>
      </c>
      <c r="C2749" s="3" t="inlineStr">
        <is>
          <t>대</t>
        </is>
      </c>
      <c r="D2749" s="3" t="inlineStr">
        <is>
          <t>공장용지</t>
        </is>
      </c>
      <c r="E2749" s="3" t="inlineStr">
        <is>
          <t>매매</t>
        </is>
      </c>
      <c r="F2749" s="4" t="n">
        <v>125000</v>
      </c>
      <c r="G2749" s="4" t="n">
        <v>2066</v>
      </c>
      <c r="H2749" s="4" t="n">
        <v>625</v>
      </c>
      <c r="I2749" s="5" t="n">
        <v>200</v>
      </c>
      <c r="J2749" s="4" t="n">
        <v>747.8</v>
      </c>
      <c r="K2749" s="3" t="inlineStr">
        <is>
          <t>남청주i.c에서 11분거리.토목공사완료</t>
        </is>
      </c>
      <c r="L2749" s="6">
        <f>HYPERLINK("https://fin.land.naver.com/articles/2644289893", "매물Link")</f>
        <v/>
      </c>
      <c r="M2749" s="6">
        <f>HYPERLINK("https://map.naver.com/p/search/세종특별자치시 나성동 829", "지도Link")</f>
        <v/>
      </c>
      <c r="N2749" s="6">
        <f>HYPERLINK("http://www.eum.go.kr/web/ar/lu/luLandDet.jsp?pnu=3611010700108290000&amp;isNoScr=script&amp;mode=search", "토지이음")</f>
        <v/>
      </c>
      <c r="O2749" s="3" t="inlineStr">
        <is>
          <t>명당</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세종특별자치시 나성동 829</t>
        </is>
      </c>
      <c r="B2750" s="3" t="inlineStr">
        <is>
          <t>중심상업지역</t>
        </is>
      </c>
      <c r="C2750" s="3" t="inlineStr">
        <is>
          <t>대</t>
        </is>
      </c>
      <c r="D2750" s="3" t="inlineStr">
        <is>
          <t>대</t>
        </is>
      </c>
      <c r="E2750" s="3" t="inlineStr">
        <is>
          <t>매매</t>
        </is>
      </c>
      <c r="F2750" s="4" t="n">
        <v>163000</v>
      </c>
      <c r="G2750" s="4" t="n">
        <v>925</v>
      </c>
      <c r="H2750" s="4" t="n">
        <v>280</v>
      </c>
      <c r="I2750" s="5" t="n">
        <v>582.1</v>
      </c>
      <c r="J2750" s="4" t="n">
        <v>747.8</v>
      </c>
      <c r="K2750" s="3" t="inlineStr">
        <is>
          <t>월세많이나오는토지 월평동대지 월790만 10년째 임대중</t>
        </is>
      </c>
      <c r="L2750" s="6">
        <f>HYPERLINK("https://fin.land.naver.com/articles/2649439720", "매물Link")</f>
        <v/>
      </c>
      <c r="M2750" s="6">
        <f>HYPERLINK("https://map.naver.com/p/search/세종특별자치시 나성동 829", "지도Link")</f>
        <v/>
      </c>
      <c r="N2750" s="6">
        <f>HYPERLINK("http://www.eum.go.kr/web/ar/lu/luLandDet.jsp?pnu=3611010700108290000&amp;isNoScr=script&amp;mode=search", "토지이음")</f>
        <v/>
      </c>
      <c r="O2750" s="3" t="inlineStr">
        <is>
          <t>명당</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세종특별자치시 나성동 829</t>
        </is>
      </c>
      <c r="B2751" s="3" t="inlineStr">
        <is>
          <t>중심상업지역</t>
        </is>
      </c>
      <c r="C2751" s="3" t="inlineStr">
        <is>
          <t>대</t>
        </is>
      </c>
      <c r="D2751" s="3" t="inlineStr">
        <is>
          <t>대</t>
        </is>
      </c>
      <c r="E2751" s="3" t="inlineStr">
        <is>
          <t>매매</t>
        </is>
      </c>
      <c r="F2751" s="4" t="n">
        <v>32000</v>
      </c>
      <c r="G2751" s="4" t="n">
        <v>491</v>
      </c>
      <c r="H2751" s="4" t="n">
        <v>149</v>
      </c>
      <c r="I2751" s="5" t="n">
        <v>214.8</v>
      </c>
      <c r="J2751" s="4" t="n">
        <v>747.8</v>
      </c>
      <c r="K2751" s="3" t="inlineStr">
        <is>
          <t>nan</t>
        </is>
      </c>
      <c r="L2751" s="6">
        <f>HYPERLINK("https://fin.land.naver.com/articles/2649666819", "매물Link")</f>
        <v/>
      </c>
      <c r="M2751" s="6">
        <f>HYPERLINK("https://map.naver.com/p/search/세종특별자치시 나성동 829", "지도Link")</f>
        <v/>
      </c>
      <c r="N2751" s="6">
        <f>HYPERLINK("http://www.eum.go.kr/web/ar/lu/luLandDet.jsp?pnu=3611010700108290000&amp;isNoScr=script&amp;mode=search", "토지이음")</f>
        <v/>
      </c>
      <c r="O2751" s="3" t="inlineStr">
        <is>
          <t>대방디엠시티</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세종특별자치시 나성동 829</t>
        </is>
      </c>
      <c r="B2752" s="3" t="inlineStr">
        <is>
          <t>중심상업지역</t>
        </is>
      </c>
      <c r="C2752" s="3" t="inlineStr">
        <is>
          <t>대</t>
        </is>
      </c>
      <c r="D2752" s="3" t="inlineStr">
        <is>
          <t>답</t>
        </is>
      </c>
      <c r="E2752" s="3" t="inlineStr">
        <is>
          <t>매매</t>
        </is>
      </c>
      <c r="F2752" s="4" t="n">
        <v>15800</v>
      </c>
      <c r="G2752" s="4" t="n">
        <v>1742</v>
      </c>
      <c r="H2752" s="4" t="n">
        <v>527</v>
      </c>
      <c r="I2752" s="5" t="n">
        <v>30</v>
      </c>
      <c r="J2752" s="4" t="n">
        <v>747.8</v>
      </c>
      <c r="K2752" s="3" t="inlineStr">
        <is>
          <t>세종시 5분 금강변인근.주말농장 투자용 대토용</t>
        </is>
      </c>
      <c r="L2752" s="6">
        <f>HYPERLINK("https://fin.land.naver.com/articles/2648710102", "매물Link")</f>
        <v/>
      </c>
      <c r="M2752" s="6">
        <f>HYPERLINK("https://map.naver.com/p/search/세종특별자치시 나성동 829", "지도Link")</f>
        <v/>
      </c>
      <c r="N2752" s="6">
        <f>HYPERLINK("http://www.eum.go.kr/web/ar/lu/luLandDet.jsp?pnu=3611010700108290000&amp;isNoScr=script&amp;mode=search", "토지이음")</f>
        <v/>
      </c>
      <c r="O2752" s="3" t="inlineStr">
        <is>
          <t>세종OK</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세종특별자치시 나성동 829</t>
        </is>
      </c>
      <c r="B2753" s="3" t="inlineStr">
        <is>
          <t>중심상업지역</t>
        </is>
      </c>
      <c r="C2753" s="3" t="inlineStr">
        <is>
          <t>대</t>
        </is>
      </c>
      <c r="D2753" s="3" t="inlineStr">
        <is>
          <t>답</t>
        </is>
      </c>
      <c r="E2753" s="3" t="inlineStr">
        <is>
          <t>매매</t>
        </is>
      </c>
      <c r="F2753" s="4" t="n">
        <v>53000</v>
      </c>
      <c r="G2753" s="4" t="n">
        <v>761</v>
      </c>
      <c r="H2753" s="4" t="n">
        <v>230</v>
      </c>
      <c r="I2753" s="5" t="n">
        <v>230.4</v>
      </c>
      <c r="J2753" s="4" t="n">
        <v>747.8</v>
      </c>
      <c r="K2753" s="3" t="inlineStr">
        <is>
          <t>세종에서 차로5분 불티교가 보이는 금암리 귀한 땅.청벽전원마을옆 정자마을</t>
        </is>
      </c>
      <c r="L2753" s="6">
        <f>HYPERLINK("https://fin.land.naver.com/articles/2649905205", "매물Link")</f>
        <v/>
      </c>
      <c r="M2753" s="6">
        <f>HYPERLINK("https://map.naver.com/p/search/세종특별자치시 나성동 829", "지도Link")</f>
        <v/>
      </c>
      <c r="N2753" s="6">
        <f>HYPERLINK("http://www.eum.go.kr/web/ar/lu/luLandDet.jsp?pnu=3611010700108290000&amp;isNoScr=script&amp;mode=search", "토지이음")</f>
        <v/>
      </c>
      <c r="O2753" s="3" t="inlineStr">
        <is>
          <t>하이스트정원</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세종특별자치시 나성동 829</t>
        </is>
      </c>
      <c r="B2754" s="3" t="inlineStr">
        <is>
          <t>중심상업지역</t>
        </is>
      </c>
      <c r="C2754" s="3" t="inlineStr">
        <is>
          <t>대</t>
        </is>
      </c>
      <c r="D2754" s="3" t="inlineStr">
        <is>
          <t>대</t>
        </is>
      </c>
      <c r="E2754" s="3" t="inlineStr">
        <is>
          <t>매매</t>
        </is>
      </c>
      <c r="F2754" s="4" t="n">
        <v>47000</v>
      </c>
      <c r="G2754" s="4" t="n">
        <v>225</v>
      </c>
      <c r="H2754" s="4" t="n">
        <v>68</v>
      </c>
      <c r="I2754" s="5" t="n">
        <v>691.2</v>
      </c>
      <c r="J2754" s="4" t="n">
        <v>747.8</v>
      </c>
      <c r="K2754" s="3" t="inlineStr">
        <is>
          <t>상가주택 또는 다가구 신축 적지</t>
        </is>
      </c>
      <c r="L2754" s="6">
        <f>HYPERLINK("https://fin.land.naver.com/articles/2647698459", "매물Link")</f>
        <v/>
      </c>
      <c r="M2754" s="6">
        <f>HYPERLINK("https://map.naver.com/p/search/세종특별자치시 나성동 829", "지도Link")</f>
        <v/>
      </c>
      <c r="N2754" s="6">
        <f>HYPERLINK("http://www.eum.go.kr/web/ar/lu/luLandDet.jsp?pnu=3611010700108290000&amp;isNoScr=script&amp;mode=search", "토지이음")</f>
        <v/>
      </c>
      <c r="O2754" s="3" t="inlineStr">
        <is>
          <t>서우랜드</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세종특별자치시 나성동 829</t>
        </is>
      </c>
      <c r="B2755" s="3" t="inlineStr">
        <is>
          <t>중심상업지역</t>
        </is>
      </c>
      <c r="C2755" s="3" t="inlineStr">
        <is>
          <t>대</t>
        </is>
      </c>
      <c r="D2755" s="3" t="inlineStr">
        <is>
          <t>대</t>
        </is>
      </c>
      <c r="E2755" s="3" t="inlineStr">
        <is>
          <t>매매</t>
        </is>
      </c>
      <c r="F2755" s="4" t="n">
        <v>27000</v>
      </c>
      <c r="G2755" s="4" t="n">
        <v>242</v>
      </c>
      <c r="H2755" s="4" t="n">
        <v>73</v>
      </c>
      <c r="I2755" s="5" t="n">
        <v>369.9</v>
      </c>
      <c r="J2755" s="4" t="n">
        <v>747.8</v>
      </c>
      <c r="K2755" s="3" t="inlineStr">
        <is>
          <t>nan</t>
        </is>
      </c>
      <c r="L2755" s="6">
        <f>HYPERLINK("https://fin.land.naver.com/articles/2649319860", "매물Link")</f>
        <v/>
      </c>
      <c r="M2755" s="6">
        <f>HYPERLINK("https://map.naver.com/p/search/세종특별자치시 나성동 829", "지도Link")</f>
        <v/>
      </c>
      <c r="N2755" s="6">
        <f>HYPERLINK("http://www.eum.go.kr/web/ar/lu/luLandDet.jsp?pnu=3611010700108290000&amp;isNoScr=script&amp;mode=search", "토지이음")</f>
        <v/>
      </c>
      <c r="O2755" s="3" t="inlineStr">
        <is>
          <t>공원</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세종특별자치시 나성동 829</t>
        </is>
      </c>
      <c r="B2756" s="3" t="inlineStr">
        <is>
          <t>중심상업지역</t>
        </is>
      </c>
      <c r="C2756" s="3" t="inlineStr">
        <is>
          <t>대</t>
        </is>
      </c>
      <c r="D2756" s="3" t="inlineStr">
        <is>
          <t>전</t>
        </is>
      </c>
      <c r="E2756" s="3" t="inlineStr">
        <is>
          <t>매매</t>
        </is>
      </c>
      <c r="F2756" s="4" t="n">
        <v>35000</v>
      </c>
      <c r="G2756" s="4" t="n">
        <v>541</v>
      </c>
      <c r="H2756" s="4" t="n">
        <v>164</v>
      </c>
      <c r="I2756" s="5" t="n">
        <v>213.4</v>
      </c>
      <c r="J2756" s="4" t="n">
        <v>747.8</v>
      </c>
      <c r="K2756" s="3" t="inlineStr">
        <is>
          <t>미등기된 2층단독주택.소유권이전시 건물 등기해주심.</t>
        </is>
      </c>
      <c r="L2756" s="6">
        <f>HYPERLINK("https://fin.land.naver.com/articles/2649352551", "매물Link")</f>
        <v/>
      </c>
      <c r="M2756" s="6">
        <f>HYPERLINK("https://map.naver.com/p/search/세종특별자치시 나성동 829", "지도Link")</f>
        <v/>
      </c>
      <c r="N2756" s="6">
        <f>HYPERLINK("http://www.eum.go.kr/web/ar/lu/luLandDet.jsp?pnu=3611010700108290000&amp;isNoScr=script&amp;mode=search", "토지이음")</f>
        <v/>
      </c>
      <c r="O2756" s="3" t="inlineStr">
        <is>
          <t>세종OK</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세종특별자치시 나성동 829</t>
        </is>
      </c>
      <c r="B2757" s="3" t="inlineStr">
        <is>
          <t>중심상업지역</t>
        </is>
      </c>
      <c r="C2757" s="3" t="inlineStr">
        <is>
          <t>대</t>
        </is>
      </c>
      <c r="D2757" s="3" t="inlineStr">
        <is>
          <t>전</t>
        </is>
      </c>
      <c r="E2757" s="3" t="inlineStr">
        <is>
          <t>매매</t>
        </is>
      </c>
      <c r="F2757" s="4" t="n">
        <v>42000</v>
      </c>
      <c r="G2757" s="4" t="n">
        <v>1162</v>
      </c>
      <c r="H2757" s="4" t="n">
        <v>352</v>
      </c>
      <c r="I2757" s="5" t="n">
        <v>119.3</v>
      </c>
      <c r="J2757" s="4" t="n">
        <v>747.8</v>
      </c>
      <c r="K2757" s="3" t="inlineStr">
        <is>
          <t>2차선도로 계획있슴,주말농장에 적합함,도시지역인근</t>
        </is>
      </c>
      <c r="L2757" s="6">
        <f>HYPERLINK("https://fin.land.naver.com/articles/2649960860", "매물Link")</f>
        <v/>
      </c>
      <c r="M2757" s="6">
        <f>HYPERLINK("https://map.naver.com/p/search/세종특별자치시 나성동 829", "지도Link")</f>
        <v/>
      </c>
      <c r="N2757" s="6">
        <f>HYPERLINK("http://www.eum.go.kr/web/ar/lu/luLandDet.jsp?pnu=3611010700108290000&amp;isNoScr=script&amp;mode=search", "토지이음")</f>
        <v/>
      </c>
      <c r="O2757" s="3" t="inlineStr">
        <is>
          <t>세종타운</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세종특별자치시 나성동 829</t>
        </is>
      </c>
      <c r="B2758" s="3" t="inlineStr">
        <is>
          <t>중심상업지역</t>
        </is>
      </c>
      <c r="C2758" s="3" t="inlineStr">
        <is>
          <t>대</t>
        </is>
      </c>
      <c r="D2758" s="3" t="inlineStr">
        <is>
          <t>임야</t>
        </is>
      </c>
      <c r="E2758" s="3" t="inlineStr">
        <is>
          <t>매매</t>
        </is>
      </c>
      <c r="F2758" s="4" t="n">
        <v>50000</v>
      </c>
      <c r="G2758" s="4" t="n">
        <v>419</v>
      </c>
      <c r="H2758" s="4" t="n">
        <v>127</v>
      </c>
      <c r="I2758" s="5" t="n">
        <v>393.7</v>
      </c>
      <c r="J2758" s="4" t="n">
        <v>747.8</v>
      </c>
      <c r="K2758" s="3" t="inlineStr">
        <is>
          <t>대전진입 20분 세종시내10분진입 전원주택지</t>
        </is>
      </c>
      <c r="L2758" s="6">
        <f>HYPERLINK("https://fin.land.naver.com/articles/2649468188", "매물Link")</f>
        <v/>
      </c>
      <c r="M2758" s="6">
        <f>HYPERLINK("https://map.naver.com/p/search/세종특별자치시 나성동 829", "지도Link")</f>
        <v/>
      </c>
      <c r="N2758" s="6">
        <f>HYPERLINK("http://www.eum.go.kr/web/ar/lu/luLandDet.jsp?pnu=3611010700108290000&amp;isNoScr=script&amp;mode=search", "토지이음")</f>
        <v/>
      </c>
      <c r="O2758" s="3" t="inlineStr">
        <is>
          <t>그린</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세종특별자치시 나성동 829</t>
        </is>
      </c>
      <c r="B2759" s="3" t="inlineStr">
        <is>
          <t>중심상업지역</t>
        </is>
      </c>
      <c r="C2759" s="3" t="inlineStr">
        <is>
          <t>대</t>
        </is>
      </c>
      <c r="D2759" s="3" t="inlineStr">
        <is>
          <t>대</t>
        </is>
      </c>
      <c r="E2759" s="3" t="inlineStr">
        <is>
          <t>매매</t>
        </is>
      </c>
      <c r="F2759" s="4" t="n">
        <v>320000</v>
      </c>
      <c r="G2759" s="4" t="n">
        <v>529</v>
      </c>
      <c r="H2759" s="4" t="n">
        <v>160</v>
      </c>
      <c r="I2759" s="5" t="n">
        <v>2000</v>
      </c>
      <c r="J2759" s="4" t="n">
        <v>747.8</v>
      </c>
      <c r="K2759" s="3" t="inlineStr">
        <is>
          <t>nan</t>
        </is>
      </c>
      <c r="L2759" s="6">
        <f>HYPERLINK("https://fin.land.naver.com/articles/2648950383", "매물Link")</f>
        <v/>
      </c>
      <c r="M2759" s="6">
        <f>HYPERLINK("https://map.naver.com/p/search/세종특별자치시 나성동 829", "지도Link")</f>
        <v/>
      </c>
      <c r="N2759" s="6">
        <f>HYPERLINK("http://www.eum.go.kr/web/ar/lu/luLandDet.jsp?pnu=3611010700108290000&amp;isNoScr=script&amp;mode=search", "토지이음")</f>
        <v/>
      </c>
      <c r="O2759" s="3" t="inlineStr">
        <is>
          <t>대복</t>
        </is>
      </c>
      <c r="P2759" s="3" t="n">
        <v>2</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세종특별자치시 나성동 829</t>
        </is>
      </c>
      <c r="B2760" s="3" t="inlineStr">
        <is>
          <t>중심상업지역</t>
        </is>
      </c>
      <c r="C2760" s="3" t="inlineStr">
        <is>
          <t>대</t>
        </is>
      </c>
      <c r="D2760" s="3" t="inlineStr">
        <is>
          <t>대</t>
        </is>
      </c>
      <c r="E2760" s="3" t="inlineStr">
        <is>
          <t>매매</t>
        </is>
      </c>
      <c r="F2760" s="4" t="n">
        <v>76200</v>
      </c>
      <c r="G2760" s="4" t="n">
        <v>504</v>
      </c>
      <c r="H2760" s="4" t="n">
        <v>152</v>
      </c>
      <c r="I2760" s="5" t="n">
        <v>501.3</v>
      </c>
      <c r="J2760" s="4" t="n">
        <v>747.8</v>
      </c>
      <c r="K2760" s="3" t="inlineStr">
        <is>
          <t>급매,트램2호선 정림역주변,각지,카센터,창고,상가주택</t>
        </is>
      </c>
      <c r="L2760" s="6">
        <f>HYPERLINK("https://fin.land.naver.com/articles/2645369342", "매물Link")</f>
        <v/>
      </c>
      <c r="M2760" s="6">
        <f>HYPERLINK("https://map.naver.com/p/search/세종특별자치시 나성동 829", "지도Link")</f>
        <v/>
      </c>
      <c r="N2760" s="6">
        <f>HYPERLINK("http://www.eum.go.kr/web/ar/lu/luLandDet.jsp?pnu=3611010700108290000&amp;isNoScr=script&amp;mode=search", "토지이음")</f>
        <v/>
      </c>
      <c r="O2760" s="3" t="inlineStr">
        <is>
          <t>아름다운</t>
        </is>
      </c>
      <c r="P2760" s="3" t="n">
        <v>1</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세종특별자치시 나성동 829</t>
        </is>
      </c>
      <c r="B2761" s="3" t="inlineStr">
        <is>
          <t>중심상업지역</t>
        </is>
      </c>
      <c r="C2761" s="3" t="inlineStr">
        <is>
          <t>대</t>
        </is>
      </c>
      <c r="D2761" s="3" t="inlineStr">
        <is>
          <t>답</t>
        </is>
      </c>
      <c r="E2761" s="3" t="inlineStr">
        <is>
          <t>매매</t>
        </is>
      </c>
      <c r="F2761" s="4" t="n">
        <v>22957</v>
      </c>
      <c r="G2761" s="4" t="n">
        <v>506</v>
      </c>
      <c r="H2761" s="4" t="n">
        <v>153</v>
      </c>
      <c r="I2761" s="5" t="n">
        <v>150</v>
      </c>
      <c r="J2761" s="4" t="n">
        <v>747.8</v>
      </c>
      <c r="K2761" s="3" t="inlineStr">
        <is>
          <t>가수원 광역 철도 예정역 인근 소액투자 가능한 급 매매  소액투자 토지</t>
        </is>
      </c>
      <c r="L2761" s="6">
        <f>HYPERLINK("https://fin.land.naver.com/articles/2648148560", "매물Link")</f>
        <v/>
      </c>
      <c r="M2761" s="6">
        <f>HYPERLINK("https://map.naver.com/p/search/세종특별자치시 나성동 829", "지도Link")</f>
        <v/>
      </c>
      <c r="N2761" s="6">
        <f>HYPERLINK("http://www.eum.go.kr/web/ar/lu/luLandDet.jsp?pnu=3611010700108290000&amp;isNoScr=script&amp;mode=search", "토지이음")</f>
        <v/>
      </c>
      <c r="O2761" s="3" t="inlineStr">
        <is>
          <t>코끼리</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세종특별자치시 나성동 829</t>
        </is>
      </c>
      <c r="B2762" s="3" t="inlineStr">
        <is>
          <t>중심상업지역</t>
        </is>
      </c>
      <c r="C2762" s="3" t="inlineStr">
        <is>
          <t>대</t>
        </is>
      </c>
      <c r="D2762" s="3" t="inlineStr">
        <is>
          <t>답</t>
        </is>
      </c>
      <c r="E2762" s="3" t="inlineStr">
        <is>
          <t>매매</t>
        </is>
      </c>
      <c r="F2762" s="4" t="n">
        <v>63900</v>
      </c>
      <c r="G2762" s="4" t="n">
        <v>1761</v>
      </c>
      <c r="H2762" s="4" t="n">
        <v>533</v>
      </c>
      <c r="I2762" s="5" t="n">
        <v>119.9</v>
      </c>
      <c r="J2762" s="4" t="n">
        <v>747.8</v>
      </c>
      <c r="K2762" s="3" t="inlineStr">
        <is>
          <t>최대한 조율해볼께요,평촌산업단지 옆,대도로접,위치 좋아요</t>
        </is>
      </c>
      <c r="L2762" s="6">
        <f>HYPERLINK("https://fin.land.naver.com/articles/2646125932", "매물Link")</f>
        <v/>
      </c>
      <c r="M2762" s="6">
        <f>HYPERLINK("https://map.naver.com/p/search/세종특별자치시 나성동 829", "지도Link")</f>
        <v/>
      </c>
      <c r="N2762" s="6">
        <f>HYPERLINK("http://www.eum.go.kr/web/ar/lu/luLandDet.jsp?pnu=3611010700108290000&amp;isNoScr=script&amp;mode=search", "토지이음")</f>
        <v/>
      </c>
      <c r="O2762" s="3" t="inlineStr">
        <is>
          <t>어반통</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세종특별자치시 나성동 829</t>
        </is>
      </c>
      <c r="B2763" s="3" t="inlineStr">
        <is>
          <t>중심상업지역</t>
        </is>
      </c>
      <c r="C2763" s="3" t="inlineStr">
        <is>
          <t>대</t>
        </is>
      </c>
      <c r="D2763" s="3" t="inlineStr">
        <is>
          <t>전</t>
        </is>
      </c>
      <c r="E2763" s="3" t="inlineStr">
        <is>
          <t>매매</t>
        </is>
      </c>
      <c r="F2763" s="4" t="n">
        <v>38000</v>
      </c>
      <c r="G2763" s="4" t="n">
        <v>1130</v>
      </c>
      <c r="H2763" s="4" t="n">
        <v>342</v>
      </c>
      <c r="I2763" s="5" t="n">
        <v>111.1</v>
      </c>
      <c r="J2763" s="4" t="n">
        <v>747.8</v>
      </c>
      <c r="K2763" s="3" t="inlineStr">
        <is>
          <t>Point 대전 근교 모양 좋은 토지, 지적상 도로 접함, 투자 추천</t>
        </is>
      </c>
      <c r="L2763" s="6">
        <f>HYPERLINK("https://fin.land.naver.com/articles/2645152419", "매물Link")</f>
        <v/>
      </c>
      <c r="M2763" s="6">
        <f>HYPERLINK("https://map.naver.com/p/search/세종특별자치시 나성동 829", "지도Link")</f>
        <v/>
      </c>
      <c r="N2763" s="6">
        <f>HYPERLINK("http://www.eum.go.kr/web/ar/lu/luLandDet.jsp?pnu=3611010700108290000&amp;isNoScr=script&amp;mode=search", "토지이음")</f>
        <v/>
      </c>
      <c r="O2763" s="3" t="inlineStr">
        <is>
          <t>도마호반</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세종특별자치시 나성동 829</t>
        </is>
      </c>
      <c r="B2764" s="3" t="inlineStr">
        <is>
          <t>중심상업지역</t>
        </is>
      </c>
      <c r="C2764" s="3" t="inlineStr">
        <is>
          <t>대</t>
        </is>
      </c>
      <c r="D2764" s="3" t="inlineStr">
        <is>
          <t>전</t>
        </is>
      </c>
      <c r="E2764" s="3" t="inlineStr">
        <is>
          <t>매매</t>
        </is>
      </c>
      <c r="F2764" s="4" t="n">
        <v>60000</v>
      </c>
      <c r="G2764" s="4" t="n">
        <v>3017</v>
      </c>
      <c r="H2764" s="4" t="n">
        <v>913</v>
      </c>
      <c r="I2764" s="5" t="n">
        <v>65.7</v>
      </c>
      <c r="J2764" s="4" t="n">
        <v>747.8</v>
      </c>
      <c r="K2764" s="3" t="inlineStr">
        <is>
          <t>산직동, 자연녹지, 장태산 휴양림 가는 길 
산직동 자연녹지, 소도로</t>
        </is>
      </c>
      <c r="L2764" s="6">
        <f>HYPERLINK("https://fin.land.naver.com/articles/2649918786", "매물Link")</f>
        <v/>
      </c>
      <c r="M2764" s="6">
        <f>HYPERLINK("https://map.naver.com/p/search/세종특별자치시 나성동 829", "지도Link")</f>
        <v/>
      </c>
      <c r="N2764" s="6">
        <f>HYPERLINK("http://www.eum.go.kr/web/ar/lu/luLandDet.jsp?pnu=3611010700108290000&amp;isNoScr=script&amp;mode=search", "토지이음")</f>
        <v/>
      </c>
      <c r="O2764" s="3" t="inlineStr">
        <is>
          <t>한국</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세종특별자치시 나성동 829</t>
        </is>
      </c>
      <c r="B2765" s="3" t="inlineStr">
        <is>
          <t>중심상업지역</t>
        </is>
      </c>
      <c r="C2765" s="3" t="inlineStr">
        <is>
          <t>대</t>
        </is>
      </c>
      <c r="D2765" s="3" t="inlineStr">
        <is>
          <t>답</t>
        </is>
      </c>
      <c r="E2765" s="3" t="inlineStr">
        <is>
          <t>매매</t>
        </is>
      </c>
      <c r="F2765" s="4" t="n">
        <v>78000</v>
      </c>
      <c r="G2765" s="4" t="n">
        <v>2991</v>
      </c>
      <c r="H2765" s="4" t="n">
        <v>905</v>
      </c>
      <c r="I2765" s="5" t="n">
        <v>86.2</v>
      </c>
      <c r="J2765" s="4" t="n">
        <v>747.8</v>
      </c>
      <c r="K2765" s="3" t="inlineStr">
        <is>
          <t>세종시 장군면 용암리는 서울 세종 고속도로 나들목으로 
투자 요충지임</t>
        </is>
      </c>
      <c r="L2765" s="6">
        <f>HYPERLINK("https://fin.land.naver.com/articles/2650202812", "매물Link")</f>
        <v/>
      </c>
      <c r="M2765" s="6">
        <f>HYPERLINK("https://map.naver.com/p/search/세종특별자치시 나성동 829", "지도Link")</f>
        <v/>
      </c>
      <c r="N2765" s="6">
        <f>HYPERLINK("http://www.eum.go.kr/web/ar/lu/luLandDet.jsp?pnu=3611010700108290000&amp;isNoScr=script&amp;mode=search", "토지이음")</f>
        <v/>
      </c>
      <c r="O2765" s="3" t="inlineStr">
        <is>
          <t>세종공주노심종사무소</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세종특별자치시 나성동 829</t>
        </is>
      </c>
      <c r="B2766" s="3" t="inlineStr">
        <is>
          <t>중심상업지역</t>
        </is>
      </c>
      <c r="C2766" s="3" t="inlineStr">
        <is>
          <t>대</t>
        </is>
      </c>
      <c r="D2766" s="3" t="inlineStr">
        <is>
          <t>전</t>
        </is>
      </c>
      <c r="E2766" s="3" t="inlineStr">
        <is>
          <t>매매</t>
        </is>
      </c>
      <c r="F2766" s="4" t="n">
        <v>21000</v>
      </c>
      <c r="G2766" s="4" t="n">
        <v>1141</v>
      </c>
      <c r="H2766" s="4" t="n">
        <v>345</v>
      </c>
      <c r="I2766" s="5" t="n">
        <v>60.9</v>
      </c>
      <c r="J2766" s="4" t="n">
        <v>747.8</v>
      </c>
      <c r="K2766" s="3" t="inlineStr">
        <is>
          <t>산직동, 그린벨트 아님, 주말농장 적합</t>
        </is>
      </c>
      <c r="L2766" s="6">
        <f>HYPERLINK("https://fin.land.naver.com/articles/2649916744", "매물Link")</f>
        <v/>
      </c>
      <c r="M2766" s="6">
        <f>HYPERLINK("https://map.naver.com/p/search/세종특별자치시 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세종특별자치시 나성동 829</t>
        </is>
      </c>
      <c r="B2767" s="3" t="inlineStr">
        <is>
          <t>중심상업지역</t>
        </is>
      </c>
      <c r="C2767" s="3" t="inlineStr">
        <is>
          <t>대</t>
        </is>
      </c>
      <c r="D2767" s="3" t="inlineStr">
        <is>
          <t>답</t>
        </is>
      </c>
      <c r="E2767" s="3" t="inlineStr">
        <is>
          <t>매매</t>
        </is>
      </c>
      <c r="F2767" s="4" t="n">
        <v>22000</v>
      </c>
      <c r="G2767" s="4" t="n">
        <v>2407</v>
      </c>
      <c r="H2767" s="4" t="n">
        <v>728</v>
      </c>
      <c r="I2767" s="5" t="n">
        <v>30.2</v>
      </c>
      <c r="J2767" s="4" t="n">
        <v>747.8</v>
      </c>
      <c r="K2767" s="3" t="inlineStr">
        <is>
          <t>산직동 자연녹지, 소도로 접</t>
        </is>
      </c>
      <c r="L2767" s="6">
        <f>HYPERLINK("https://fin.land.naver.com/articles/2649916235", "매물Link")</f>
        <v/>
      </c>
      <c r="M2767" s="6">
        <f>HYPERLINK("https://map.naver.com/p/search/세종특별자치시 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세종특별자치시 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HYPERLINK("https://map.naver.com/p/search/세종특별자치시 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세종특별자치시 나성동 829</t>
        </is>
      </c>
      <c r="B2769" s="3" t="inlineStr">
        <is>
          <t>중심상업지역</t>
        </is>
      </c>
      <c r="C2769" s="3" t="inlineStr">
        <is>
          <t>대</t>
        </is>
      </c>
      <c r="D2769" s="3" t="inlineStr">
        <is>
          <t>전</t>
        </is>
      </c>
      <c r="E2769" s="3" t="inlineStr">
        <is>
          <t>매매</t>
        </is>
      </c>
      <c r="F2769" s="4" t="n">
        <v>19800</v>
      </c>
      <c r="G2769" s="4" t="n">
        <v>934</v>
      </c>
      <c r="H2769" s="4" t="n">
        <v>283</v>
      </c>
      <c r="I2769" s="5" t="n">
        <v>70</v>
      </c>
      <c r="J2769" s="4" t="n">
        <v>747.8</v>
      </c>
      <c r="K2769" s="3" t="inlineStr">
        <is>
          <t>산직동 자연녹지, 2차선 도로접</t>
        </is>
      </c>
      <c r="L2769" s="6">
        <f>HYPERLINK("https://fin.land.naver.com/articles/2649914552", "매물Link")</f>
        <v/>
      </c>
      <c r="M2769" s="6">
        <f>HYPERLINK("https://map.naver.com/p/search/세종특별자치시 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세종특별자치시 나성동 829</t>
        </is>
      </c>
      <c r="B2770" s="3" t="inlineStr">
        <is>
          <t>중심상업지역</t>
        </is>
      </c>
      <c r="C2770" s="3" t="inlineStr">
        <is>
          <t>대</t>
        </is>
      </c>
      <c r="D2770" s="3" t="inlineStr">
        <is>
          <t>답</t>
        </is>
      </c>
      <c r="E2770" s="3" t="inlineStr">
        <is>
          <t>매매</t>
        </is>
      </c>
      <c r="F2770" s="4" t="n">
        <v>14700</v>
      </c>
      <c r="G2770" s="4" t="n">
        <v>1081</v>
      </c>
      <c r="H2770" s="4" t="n">
        <v>327</v>
      </c>
      <c r="I2770" s="5" t="n">
        <v>45</v>
      </c>
      <c r="J2770" s="4" t="n">
        <v>747.8</v>
      </c>
      <c r="K2770" s="3" t="inlineStr">
        <is>
          <t>장태산 가는 길목에 위치한 농지,현재 전으로 사용중.</t>
        </is>
      </c>
      <c r="L2770" s="6">
        <f>HYPERLINK("https://fin.land.naver.com/articles/2648922374", "매물Link")</f>
        <v/>
      </c>
      <c r="M2770" s="6">
        <f>HYPERLINK("https://map.naver.com/p/search/세종특별자치시 나성동 829", "지도Link")</f>
        <v/>
      </c>
      <c r="N2770" s="6">
        <f>HYPERLINK("http://www.eum.go.kr/web/ar/lu/luLandDet.jsp?pnu=3611010700108290000&amp;isNoScr=script&amp;mode=search", "토지이음")</f>
        <v/>
      </c>
      <c r="O2770" s="3" t="inlineStr">
        <is>
          <t>연수</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세종특별자치시 나성동 829</t>
        </is>
      </c>
      <c r="B2771" s="3" t="inlineStr">
        <is>
          <t>중심상업지역</t>
        </is>
      </c>
      <c r="C2771" s="3" t="inlineStr">
        <is>
          <t>대</t>
        </is>
      </c>
      <c r="D2771" s="3" t="inlineStr">
        <is>
          <t>답</t>
        </is>
      </c>
      <c r="E2771" s="3" t="inlineStr">
        <is>
          <t>매매</t>
        </is>
      </c>
      <c r="F2771" s="4" t="n">
        <v>14940</v>
      </c>
      <c r="G2771" s="4" t="n">
        <v>1647</v>
      </c>
      <c r="H2771" s="4" t="n">
        <v>498</v>
      </c>
      <c r="I2771" s="5" t="n">
        <v>30</v>
      </c>
      <c r="J2771" s="4" t="n">
        <v>747.8</v>
      </c>
      <c r="K2771" s="3" t="inlineStr">
        <is>
          <t>개발제한 구역내의 도로접한 농지입니다</t>
        </is>
      </c>
      <c r="L2771" s="6">
        <f>HYPERLINK("https://fin.land.naver.com/articles/2647674997", "매물Link")</f>
        <v/>
      </c>
      <c r="M2771" s="6">
        <f>HYPERLINK("https://map.naver.com/p/search/세종특별자치시 나성동 829", "지도Link")</f>
        <v/>
      </c>
      <c r="N2771" s="6">
        <f>HYPERLINK("http://www.eum.go.kr/web/ar/lu/luLandDet.jsp?pnu=3611010700108290000&amp;isNoScr=script&amp;mode=search", "토지이음")</f>
        <v/>
      </c>
      <c r="O2771" s="3" t="inlineStr">
        <is>
          <t>도안우미린사랑무소</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세종특별자치시 나성동 829</t>
        </is>
      </c>
      <c r="B2772" s="3" t="inlineStr">
        <is>
          <t>중심상업지역</t>
        </is>
      </c>
      <c r="C2772" s="3" t="inlineStr">
        <is>
          <t>대</t>
        </is>
      </c>
      <c r="D2772" s="3" t="inlineStr">
        <is>
          <t>전</t>
        </is>
      </c>
      <c r="E2772" s="3" t="inlineStr">
        <is>
          <t>매매</t>
        </is>
      </c>
      <c r="F2772" s="4" t="n">
        <v>75000</v>
      </c>
      <c r="G2772" s="4" t="n">
        <v>2900</v>
      </c>
      <c r="H2772" s="4" t="n">
        <v>877</v>
      </c>
      <c r="I2772" s="5" t="n">
        <v>85.5</v>
      </c>
      <c r="J2772" s="4" t="n">
        <v>747.8</v>
      </c>
      <c r="K2772" s="3" t="inlineStr">
        <is>
          <t>대전의 명소 장태산휴양지입구</t>
        </is>
      </c>
      <c r="L2772" s="6">
        <f>HYPERLINK("https://fin.land.naver.com/articles/2646360126", "매물Link")</f>
        <v/>
      </c>
      <c r="M2772" s="6">
        <f>HYPERLINK("https://map.naver.com/p/search/세종특별자치시 나성동 829", "지도Link")</f>
        <v/>
      </c>
      <c r="N2772" s="6">
        <f>HYPERLINK("http://www.eum.go.kr/web/ar/lu/luLandDet.jsp?pnu=3611010700108290000&amp;isNoScr=script&amp;mode=search", "토지이음")</f>
        <v/>
      </c>
      <c r="O2772" s="3" t="inlineStr">
        <is>
          <t>뉴장원</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세종특별자치시 나성동 829</t>
        </is>
      </c>
      <c r="B2773" s="3" t="inlineStr">
        <is>
          <t>중심상업지역</t>
        </is>
      </c>
      <c r="C2773" s="3" t="inlineStr">
        <is>
          <t>대</t>
        </is>
      </c>
      <c r="D2773" s="3" t="inlineStr">
        <is>
          <t>전</t>
        </is>
      </c>
      <c r="E2773" s="3" t="inlineStr">
        <is>
          <t>매매</t>
        </is>
      </c>
      <c r="F2773" s="4" t="n">
        <v>38600</v>
      </c>
      <c r="G2773" s="4" t="n">
        <v>1274</v>
      </c>
      <c r="H2773" s="4" t="n">
        <v>385</v>
      </c>
      <c r="I2773" s="5" t="n">
        <v>100.3</v>
      </c>
      <c r="J2773" s="4" t="n">
        <v>747.8</v>
      </c>
      <c r="K2773" s="3" t="inlineStr">
        <is>
          <t>장태산자락 버스도로접, 산아래 지대높아요 ,건축가능,땅반듯도로 넓게접</t>
        </is>
      </c>
      <c r="L2773" s="6">
        <f>HYPERLINK("https://fin.land.naver.com/articles/2648309623", "매물Link")</f>
        <v/>
      </c>
      <c r="M2773" s="6">
        <f>HYPERLINK("https://map.naver.com/p/search/세종특별자치시 나성동 829", "지도Link")</f>
        <v/>
      </c>
      <c r="N2773" s="6">
        <f>HYPERLINK("http://www.eum.go.kr/web/ar/lu/luLandDet.jsp?pnu=3611010700108290000&amp;isNoScr=script&amp;mode=search", "토지이음")</f>
        <v/>
      </c>
      <c r="O2773" s="3" t="inlineStr">
        <is>
          <t>가수원당근</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세종특별자치시 나성동 829</t>
        </is>
      </c>
      <c r="B2774" s="3" t="inlineStr">
        <is>
          <t>중심상업지역</t>
        </is>
      </c>
      <c r="C2774" s="3" t="inlineStr">
        <is>
          <t>대</t>
        </is>
      </c>
      <c r="D2774" s="3" t="inlineStr">
        <is>
          <t>전</t>
        </is>
      </c>
      <c r="E2774" s="3" t="inlineStr">
        <is>
          <t>매매</t>
        </is>
      </c>
      <c r="F2774" s="4" t="n">
        <v>15000</v>
      </c>
      <c r="G2774" s="4" t="n">
        <v>532</v>
      </c>
      <c r="H2774" s="4" t="n">
        <v>161</v>
      </c>
      <c r="I2774" s="5" t="n">
        <v>93.2</v>
      </c>
      <c r="J2774" s="4" t="n">
        <v>747.8</v>
      </c>
      <c r="K2774" s="3" t="inlineStr">
        <is>
          <t>nan</t>
        </is>
      </c>
      <c r="L2774" s="6">
        <f>HYPERLINK("https://fin.land.naver.com/articles/2648300351", "매물Link")</f>
        <v/>
      </c>
      <c r="M2774" s="6">
        <f>HYPERLINK("https://map.naver.com/p/search/세종특별자치시 나성동 829", "지도Link")</f>
        <v/>
      </c>
      <c r="N2774" s="6">
        <f>HYPERLINK("http://www.eum.go.kr/web/ar/lu/luLandDet.jsp?pnu=3611010700108290000&amp;isNoScr=script&amp;mode=search", "토지이음")</f>
        <v/>
      </c>
      <c r="O2774" s="3" t="inlineStr">
        <is>
          <t>가수원당근</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세종특별자치시 나성동 829</t>
        </is>
      </c>
      <c r="B2775" s="3" t="inlineStr">
        <is>
          <t>중심상업지역</t>
        </is>
      </c>
      <c r="C2775" s="3" t="inlineStr">
        <is>
          <t>대</t>
        </is>
      </c>
      <c r="D2775" s="3" t="inlineStr">
        <is>
          <t>전</t>
        </is>
      </c>
      <c r="E2775" s="3" t="inlineStr">
        <is>
          <t>매매</t>
        </is>
      </c>
      <c r="F2775" s="4" t="n">
        <v>65267</v>
      </c>
      <c r="G2775" s="4" t="n">
        <v>1798</v>
      </c>
      <c r="H2775" s="4" t="n">
        <v>544</v>
      </c>
      <c r="I2775" s="5" t="n">
        <v>120</v>
      </c>
      <c r="J2775" s="4" t="n">
        <v>747.8</v>
      </c>
      <c r="K2775" s="3" t="inlineStr">
        <is>
          <t>장태산자락 도로 접한  인허가 가능한 건축부지 매매</t>
        </is>
      </c>
      <c r="L2775" s="6">
        <f>HYPERLINK("https://fin.land.naver.com/articles/2648152293", "매물Link")</f>
        <v/>
      </c>
      <c r="M2775" s="6">
        <f>HYPERLINK("https://map.naver.com/p/search/세종특별자치시 나성동 829", "지도Link")</f>
        <v/>
      </c>
      <c r="N2775" s="6">
        <f>HYPERLINK("http://www.eum.go.kr/web/ar/lu/luLandDet.jsp?pnu=3611010700108290000&amp;isNoScr=script&amp;mode=search", "토지이음")</f>
        <v/>
      </c>
      <c r="O2775" s="3" t="inlineStr">
        <is>
          <t>코끼리</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세종특별자치시 나성동 829</t>
        </is>
      </c>
      <c r="B2776" s="3" t="inlineStr">
        <is>
          <t>중심상업지역</t>
        </is>
      </c>
      <c r="C2776" s="3" t="inlineStr">
        <is>
          <t>대</t>
        </is>
      </c>
      <c r="D2776" s="3" t="inlineStr">
        <is>
          <t>대</t>
        </is>
      </c>
      <c r="E2776" s="3" t="inlineStr">
        <is>
          <t>매매</t>
        </is>
      </c>
      <c r="F2776" s="4" t="n">
        <v>27000</v>
      </c>
      <c r="G2776" s="4" t="n">
        <v>487</v>
      </c>
      <c r="H2776" s="4" t="n">
        <v>147</v>
      </c>
      <c r="I2776" s="5" t="n">
        <v>183.7</v>
      </c>
      <c r="J2776" s="4" t="n">
        <v>747.8</v>
      </c>
      <c r="K2776" s="3" t="inlineStr">
        <is>
          <t>nan</t>
        </is>
      </c>
      <c r="L2776" s="6">
        <f>HYPERLINK("https://fin.land.naver.com/articles/2647874905", "매물Link")</f>
        <v/>
      </c>
      <c r="M2776" s="6">
        <f>HYPERLINK("https://map.naver.com/p/search/세종특별자치시 나성동 829", "지도Link")</f>
        <v/>
      </c>
      <c r="N2776" s="6">
        <f>HYPERLINK("http://www.eum.go.kr/web/ar/lu/luLandDet.jsp?pnu=3611010700108290000&amp;isNoScr=script&amp;mode=search", "토지이음")</f>
        <v/>
      </c>
      <c r="O2776" s="3" t="inlineStr">
        <is>
          <t>코오롱하늘채</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세종특별자치시 나성동 829</t>
        </is>
      </c>
      <c r="B2777" s="3" t="inlineStr">
        <is>
          <t>중심상업지역</t>
        </is>
      </c>
      <c r="C2777" s="3" t="inlineStr">
        <is>
          <t>대</t>
        </is>
      </c>
      <c r="D2777" s="3" t="inlineStr">
        <is>
          <t>전</t>
        </is>
      </c>
      <c r="E2777" s="3" t="inlineStr">
        <is>
          <t>매매</t>
        </is>
      </c>
      <c r="F2777" s="4" t="n">
        <v>15000</v>
      </c>
      <c r="G2777" s="4" t="n">
        <v>1418</v>
      </c>
      <c r="H2777" s="4" t="n">
        <v>429</v>
      </c>
      <c r="I2777" s="5" t="n">
        <v>35</v>
      </c>
      <c r="J2777" s="4" t="n">
        <v>747.8</v>
      </c>
      <c r="K2777" s="3" t="inlineStr">
        <is>
          <t>Point 오동 산단 관련 수혜 예상지, 현재 과수 40주 식재중</t>
        </is>
      </c>
      <c r="L2777" s="6">
        <f>HYPERLINK("https://fin.land.naver.com/articles/2649271970", "매물Link")</f>
        <v/>
      </c>
      <c r="M2777" s="6">
        <f>HYPERLINK("https://map.naver.com/p/search/세종특별자치시 나성동 829", "지도Link")</f>
        <v/>
      </c>
      <c r="N2777" s="6">
        <f>HYPERLINK("http://www.eum.go.kr/web/ar/lu/luLandDet.jsp?pnu=3611010700108290000&amp;isNoScr=script&amp;mode=search", "토지이음")</f>
        <v/>
      </c>
      <c r="O2777" s="3" t="inlineStr">
        <is>
          <t>도마호반</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세종특별자치시 나성동 829</t>
        </is>
      </c>
      <c r="B2778" s="3" t="inlineStr">
        <is>
          <t>중심상업지역</t>
        </is>
      </c>
      <c r="C2778" s="3" t="inlineStr">
        <is>
          <t>대</t>
        </is>
      </c>
      <c r="D2778" s="3" t="inlineStr">
        <is>
          <t>대</t>
        </is>
      </c>
      <c r="E2778" s="3" t="inlineStr">
        <is>
          <t>매매</t>
        </is>
      </c>
      <c r="F2778" s="4" t="n">
        <v>175000</v>
      </c>
      <c r="G2778" s="4" t="n">
        <v>5269</v>
      </c>
      <c r="H2778" s="4" t="n">
        <v>1594</v>
      </c>
      <c r="I2778" s="5" t="n">
        <v>109.8</v>
      </c>
      <c r="J2778" s="4" t="n">
        <v>747.8</v>
      </c>
      <c r="K2778" s="3" t="inlineStr">
        <is>
          <t>금강변 경관 수려하고 교통 편리 대토 영농 전원주택 창고 투자용 최상</t>
        </is>
      </c>
      <c r="L2778" s="6">
        <f>HYPERLINK("https://fin.land.naver.com/articles/2646305824", "매물Link")</f>
        <v/>
      </c>
      <c r="M2778" s="6">
        <f>HYPERLINK("https://map.naver.com/p/search/세종특별자치시 나성동 829", "지도Link")</f>
        <v/>
      </c>
      <c r="N2778" s="6">
        <f>HYPERLINK("http://www.eum.go.kr/web/ar/lu/luLandDet.jsp?pnu=3611010700108290000&amp;isNoScr=script&amp;mode=search", "토지이음")</f>
        <v/>
      </c>
      <c r="O2778" s="3" t="inlineStr">
        <is>
          <t>뉴태양</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세종특별자치시 나성동 829</t>
        </is>
      </c>
      <c r="B2779" s="3" t="inlineStr">
        <is>
          <t>중심상업지역</t>
        </is>
      </c>
      <c r="C2779" s="3" t="inlineStr">
        <is>
          <t>대</t>
        </is>
      </c>
      <c r="D2779" s="3" t="inlineStr">
        <is>
          <t>임야</t>
        </is>
      </c>
      <c r="E2779" s="3" t="inlineStr">
        <is>
          <t>매매</t>
        </is>
      </c>
      <c r="F2779" s="4" t="n">
        <v>7000</v>
      </c>
      <c r="G2779" s="4" t="n">
        <v>397</v>
      </c>
      <c r="H2779" s="4" t="n">
        <v>120</v>
      </c>
      <c r="I2779" s="5" t="n">
        <v>58.3</v>
      </c>
      <c r="J2779" s="4" t="n">
        <v>747.8</v>
      </c>
      <c r="K2779" s="3" t="inlineStr">
        <is>
          <t>세종시인접 2차선도로 인접  주말농장 쉼터 휴식처</t>
        </is>
      </c>
      <c r="L2779" s="6">
        <f>HYPERLINK("https://fin.land.naver.com/articles/2645892560", "매물Link")</f>
        <v/>
      </c>
      <c r="M2779" s="6">
        <f>HYPERLINK("https://map.naver.com/p/search/세종특별자치시 나성동 829", "지도Link")</f>
        <v/>
      </c>
      <c r="N2779" s="6">
        <f>HYPERLINK("http://www.eum.go.kr/web/ar/lu/luLandDet.jsp?pnu=3611010700108290000&amp;isNoScr=script&amp;mode=search", "토지이음")</f>
        <v/>
      </c>
      <c r="O2779" s="3" t="inlineStr">
        <is>
          <t>세종OK</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세종특별자치시 나성동 829</t>
        </is>
      </c>
      <c r="B2780" s="3" t="inlineStr">
        <is>
          <t>중심상업지역</t>
        </is>
      </c>
      <c r="C2780" s="3" t="inlineStr">
        <is>
          <t>대</t>
        </is>
      </c>
      <c r="D2780" s="3" t="inlineStr">
        <is>
          <t>답</t>
        </is>
      </c>
      <c r="E2780" s="3" t="inlineStr">
        <is>
          <t>매매</t>
        </is>
      </c>
      <c r="F2780" s="4" t="n">
        <v>47000</v>
      </c>
      <c r="G2780" s="4" t="n">
        <v>3038</v>
      </c>
      <c r="H2780" s="4" t="n">
        <v>919</v>
      </c>
      <c r="I2780" s="5" t="n">
        <v>51.1</v>
      </c>
      <c r="J2780" s="4" t="n">
        <v>747.8</v>
      </c>
      <c r="K2780" s="3" t="inlineStr">
        <is>
          <t>세종시에서는 저렴하여 충분한 투자가치가 있는 토지</t>
        </is>
      </c>
      <c r="L2780" s="6">
        <f>HYPERLINK("https://fin.land.naver.com/articles/2643934047", "매물Link")</f>
        <v/>
      </c>
      <c r="M2780" s="6">
        <f>HYPERLINK("https://map.naver.com/p/search/세종특별자치시 나성동 829", "지도Link")</f>
        <v/>
      </c>
      <c r="N2780" s="6">
        <f>HYPERLINK("http://www.eum.go.kr/web/ar/lu/luLandDet.jsp?pnu=3611010700108290000&amp;isNoScr=script&amp;mode=search", "토지이음")</f>
        <v/>
      </c>
      <c r="O2780" s="3" t="inlineStr">
        <is>
          <t>둔곡</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세종특별자치시 나성동 829</t>
        </is>
      </c>
      <c r="B2781" s="3" t="inlineStr">
        <is>
          <t>중심상업지역</t>
        </is>
      </c>
      <c r="C2781" s="3" t="inlineStr">
        <is>
          <t>대</t>
        </is>
      </c>
      <c r="D2781" s="3" t="inlineStr">
        <is>
          <t>대</t>
        </is>
      </c>
      <c r="E2781" s="3" t="inlineStr">
        <is>
          <t>매매</t>
        </is>
      </c>
      <c r="F2781" s="4" t="n">
        <v>330000</v>
      </c>
      <c r="G2781" s="4" t="n">
        <v>727</v>
      </c>
      <c r="H2781" s="4" t="n">
        <v>220</v>
      </c>
      <c r="I2781" s="5" t="n">
        <v>1500</v>
      </c>
      <c r="J2781" s="4" t="n">
        <v>747.8</v>
      </c>
      <c r="K2781" s="3" t="inlineStr">
        <is>
          <t>세종과과학밸트10분내위치, 다양업종가능해요</t>
        </is>
      </c>
      <c r="L2781" s="6">
        <f>HYPERLINK("https://fin.land.naver.com/articles/2644384760", "매물Link")</f>
        <v/>
      </c>
      <c r="M2781" s="6">
        <f>HYPERLINK("https://map.naver.com/p/search/세종특별자치시 나성동 829", "지도Link")</f>
        <v/>
      </c>
      <c r="N2781" s="6">
        <f>HYPERLINK("http://www.eum.go.kr/web/ar/lu/luLandDet.jsp?pnu=3611010700108290000&amp;isNoScr=script&amp;mode=search", "토지이음")</f>
        <v/>
      </c>
      <c r="O2781" s="3" t="inlineStr">
        <is>
          <t>큰길</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세종특별자치시 나성동 829</t>
        </is>
      </c>
      <c r="B2782" s="3" t="inlineStr">
        <is>
          <t>중심상업지역</t>
        </is>
      </c>
      <c r="C2782" s="3" t="inlineStr">
        <is>
          <t>대</t>
        </is>
      </c>
      <c r="D2782" s="3" t="inlineStr">
        <is>
          <t>전</t>
        </is>
      </c>
      <c r="E2782" s="3" t="inlineStr">
        <is>
          <t>매매</t>
        </is>
      </c>
      <c r="F2782" s="4" t="n">
        <v>42000</v>
      </c>
      <c r="G2782" s="4" t="n">
        <v>1702</v>
      </c>
      <c r="H2782" s="4" t="n">
        <v>515</v>
      </c>
      <c r="I2782" s="5" t="n">
        <v>81.59999999999999</v>
      </c>
      <c r="J2782" s="4" t="n">
        <v>747.8</v>
      </c>
      <c r="K2782" s="3" t="inlineStr">
        <is>
          <t>전기, 물, 주차장, 비닐하우스가 있어 체류형쉼터로 각광받을 토지</t>
        </is>
      </c>
      <c r="L2782" s="6">
        <f>HYPERLINK("https://fin.land.naver.com/articles/2643932628", "매물Link")</f>
        <v/>
      </c>
      <c r="M2782" s="6">
        <f>HYPERLINK("https://map.naver.com/p/search/세종특별자치시 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세종특별자치시 나성동 829</t>
        </is>
      </c>
      <c r="B2783" s="3" t="inlineStr">
        <is>
          <t>중심상업지역</t>
        </is>
      </c>
      <c r="C2783" s="3" t="inlineStr">
        <is>
          <t>대</t>
        </is>
      </c>
      <c r="D2783" s="3" t="inlineStr">
        <is>
          <t>대</t>
        </is>
      </c>
      <c r="E2783" s="3" t="inlineStr">
        <is>
          <t>매매</t>
        </is>
      </c>
      <c r="F2783" s="4" t="n">
        <v>62000</v>
      </c>
      <c r="G2783" s="4" t="n">
        <v>235</v>
      </c>
      <c r="H2783" s="4" t="n">
        <v>71</v>
      </c>
      <c r="I2783" s="5" t="n">
        <v>873.2</v>
      </c>
      <c r="J2783" s="4" t="n">
        <v>747.8</v>
      </c>
      <c r="K2783" s="3" t="inlineStr">
        <is>
          <t>nan</t>
        </is>
      </c>
      <c r="L2783" s="6">
        <f>HYPERLINK("https://fin.land.naver.com/articles/2650002484", "매물Link")</f>
        <v/>
      </c>
      <c r="M2783" s="6">
        <f>HYPERLINK("https://map.naver.com/p/search/세종특별자치시 나성동 829", "지도Link")</f>
        <v/>
      </c>
      <c r="N2783" s="6">
        <f>HYPERLINK("http://www.eum.go.kr/web/ar/lu/luLandDet.jsp?pnu=3611010700108290000&amp;isNoScr=script&amp;mode=search", "토지이음")</f>
        <v/>
      </c>
      <c r="O2783" s="3" t="inlineStr">
        <is>
          <t>두드림</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세종특별자치시 나성동 829</t>
        </is>
      </c>
      <c r="B2784" s="3" t="inlineStr">
        <is>
          <t>중심상업지역</t>
        </is>
      </c>
      <c r="C2784" s="3" t="inlineStr">
        <is>
          <t>대</t>
        </is>
      </c>
      <c r="D2784" s="3" t="inlineStr">
        <is>
          <t>대</t>
        </is>
      </c>
      <c r="E2784" s="3" t="inlineStr">
        <is>
          <t>매매</t>
        </is>
      </c>
      <c r="F2784" s="4" t="n">
        <v>337200</v>
      </c>
      <c r="G2784" s="4" t="n">
        <v>430</v>
      </c>
      <c r="H2784" s="4" t="n">
        <v>130</v>
      </c>
      <c r="I2784" s="5" t="n">
        <v>2593.8</v>
      </c>
      <c r="J2784" s="4" t="n">
        <v>747.8</v>
      </c>
      <c r="K2784" s="3" t="inlineStr">
        <is>
          <t>nan</t>
        </is>
      </c>
      <c r="L2784" s="6">
        <f>HYPERLINK("https://fin.land.naver.com/articles/2650002408", "매물Link")</f>
        <v/>
      </c>
      <c r="M2784" s="6">
        <f>HYPERLINK("https://map.naver.com/p/search/세종특별자치시 나성동 829", "지도Link")</f>
        <v/>
      </c>
      <c r="N2784" s="6">
        <f>HYPERLINK("http://www.eum.go.kr/web/ar/lu/luLandDet.jsp?pnu=3611010700108290000&amp;isNoScr=script&amp;mode=search", "토지이음")</f>
        <v/>
      </c>
      <c r="O2784" s="3" t="inlineStr">
        <is>
          <t>두드림</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세종특별자치시 나성동 829</t>
        </is>
      </c>
      <c r="B2785" s="3" t="inlineStr">
        <is>
          <t>중심상업지역</t>
        </is>
      </c>
      <c r="C2785" s="3" t="inlineStr">
        <is>
          <t>대</t>
        </is>
      </c>
      <c r="D2785" s="3" t="inlineStr">
        <is>
          <t>전</t>
        </is>
      </c>
      <c r="E2785" s="3" t="inlineStr">
        <is>
          <t>매매</t>
        </is>
      </c>
      <c r="F2785" s="4" t="n">
        <v>27000</v>
      </c>
      <c r="G2785" s="4" t="n">
        <v>1302</v>
      </c>
      <c r="H2785" s="4" t="n">
        <v>394</v>
      </c>
      <c r="I2785" s="5" t="n">
        <v>68.5</v>
      </c>
      <c r="J2785" s="4" t="n">
        <v>747.8</v>
      </c>
      <c r="K2785" s="3" t="inlineStr">
        <is>
          <t>하우스,관정 시설완비된 주말농장용 토지입니다</t>
        </is>
      </c>
      <c r="L2785" s="6">
        <f>HYPERLINK("https://fin.land.naver.com/articles/2649852153", "매물Link")</f>
        <v/>
      </c>
      <c r="M2785" s="6">
        <f>HYPERLINK("https://map.naver.com/p/search/세종특별자치시 나성동 829", "지도Link")</f>
        <v/>
      </c>
      <c r="N2785" s="6">
        <f>HYPERLINK("http://www.eum.go.kr/web/ar/lu/luLandDet.jsp?pnu=3611010700108290000&amp;isNoScr=script&amp;mode=search", "토지이음")</f>
        <v/>
      </c>
      <c r="O2785" s="3" t="inlineStr">
        <is>
          <t>복댕이무소</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세종특별자치시 나성동 829</t>
        </is>
      </c>
      <c r="B2786" s="3" t="inlineStr">
        <is>
          <t>중심상업지역</t>
        </is>
      </c>
      <c r="C2786" s="3" t="inlineStr">
        <is>
          <t>대</t>
        </is>
      </c>
      <c r="D2786" s="3" t="inlineStr">
        <is>
          <t>전</t>
        </is>
      </c>
      <c r="E2786" s="3" t="inlineStr">
        <is>
          <t>매매</t>
        </is>
      </c>
      <c r="F2786" s="4" t="n">
        <v>27000</v>
      </c>
      <c r="G2786" s="4" t="n">
        <v>396</v>
      </c>
      <c r="H2786" s="4" t="n">
        <v>120</v>
      </c>
      <c r="I2786" s="5" t="n">
        <v>225</v>
      </c>
      <c r="J2786" s="4" t="n">
        <v>747.8</v>
      </c>
      <c r="K2786" s="3" t="inlineStr">
        <is>
          <t>지대가 높아 조망좋은 전원주택지입니다</t>
        </is>
      </c>
      <c r="L2786" s="6">
        <f>HYPERLINK("https://fin.land.naver.com/articles/2649718949", "매물Link")</f>
        <v/>
      </c>
      <c r="M2786" s="6">
        <f>HYPERLINK("https://map.naver.com/p/search/세종특별자치시 나성동 829", "지도Link")</f>
        <v/>
      </c>
      <c r="N2786" s="6">
        <f>HYPERLINK("http://www.eum.go.kr/web/ar/lu/luLandDet.jsp?pnu=3611010700108290000&amp;isNoScr=script&amp;mode=search", "토지이음")</f>
        <v/>
      </c>
      <c r="O2786" s="3" t="inlineStr">
        <is>
          <t>복댕이무소</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세종특별자치시 나성동 829</t>
        </is>
      </c>
      <c r="B2787" s="3" t="inlineStr">
        <is>
          <t>중심상업지역</t>
        </is>
      </c>
      <c r="C2787" s="3" t="inlineStr">
        <is>
          <t>대</t>
        </is>
      </c>
      <c r="D2787" s="3" t="inlineStr">
        <is>
          <t>전</t>
        </is>
      </c>
      <c r="E2787" s="3" t="inlineStr">
        <is>
          <t>매매</t>
        </is>
      </c>
      <c r="F2787" s="4" t="n">
        <v>34000</v>
      </c>
      <c r="G2787" s="4" t="n">
        <v>1322</v>
      </c>
      <c r="H2787" s="4" t="n">
        <v>400</v>
      </c>
      <c r="I2787" s="5" t="n">
        <v>85</v>
      </c>
      <c r="J2787" s="4" t="n">
        <v>747.8</v>
      </c>
      <c r="K2787" s="3" t="inlineStr">
        <is>
          <t>nan</t>
        </is>
      </c>
      <c r="L2787" s="6">
        <f>HYPERLINK("https://fin.land.naver.com/articles/2647811961", "매물Link")</f>
        <v/>
      </c>
      <c r="M2787" s="6">
        <f>HYPERLINK("https://map.naver.com/p/search/세종특별자치시 나성동 829", "지도Link")</f>
        <v/>
      </c>
      <c r="N2787" s="6">
        <f>HYPERLINK("http://www.eum.go.kr/web/ar/lu/luLandDet.jsp?pnu=3611010700108290000&amp;isNoScr=script&amp;mode=search", "토지이음")</f>
        <v/>
      </c>
      <c r="O2787" s="3" t="inlineStr">
        <is>
          <t>뉴미래로</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세종특별자치시 나성동 829</t>
        </is>
      </c>
      <c r="B2788" s="3" t="inlineStr">
        <is>
          <t>중심상업지역</t>
        </is>
      </c>
      <c r="C2788" s="3" t="inlineStr">
        <is>
          <t>대</t>
        </is>
      </c>
      <c r="D2788" s="3" t="inlineStr">
        <is>
          <t>전</t>
        </is>
      </c>
      <c r="E2788" s="3" t="inlineStr">
        <is>
          <t>매매</t>
        </is>
      </c>
      <c r="F2788" s="4" t="n">
        <v>56250</v>
      </c>
      <c r="G2788" s="4" t="n">
        <v>2478</v>
      </c>
      <c r="H2788" s="4" t="n">
        <v>750</v>
      </c>
      <c r="I2788" s="5" t="n">
        <v>75</v>
      </c>
      <c r="J2788" s="4" t="n">
        <v>747.8</v>
      </c>
      <c r="K2788" s="3" t="inlineStr">
        <is>
          <t>현황과 법정도로 모두 있는 그린벨트 전입니다.</t>
        </is>
      </c>
      <c r="L2788" s="6">
        <f>HYPERLINK("https://fin.land.naver.com/articles/2649100173", "매물Link")</f>
        <v/>
      </c>
      <c r="M2788" s="6">
        <f>HYPERLINK("https://map.naver.com/p/search/세종특별자치시 나성동 829", "지도Link")</f>
        <v/>
      </c>
      <c r="N2788" s="6">
        <f>HYPERLINK("http://www.eum.go.kr/web/ar/lu/luLandDet.jsp?pnu=3611010700108290000&amp;isNoScr=script&amp;mode=search", "토지이음")</f>
        <v/>
      </c>
      <c r="O2788" s="3" t="inlineStr">
        <is>
          <t>동행</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세종특별자치시 나성동 829</t>
        </is>
      </c>
      <c r="B2789" s="3" t="inlineStr">
        <is>
          <t>중심상업지역</t>
        </is>
      </c>
      <c r="C2789" s="3" t="inlineStr">
        <is>
          <t>대</t>
        </is>
      </c>
      <c r="D2789" s="3" t="inlineStr">
        <is>
          <t>창고용지</t>
        </is>
      </c>
      <c r="E2789" s="3" t="inlineStr">
        <is>
          <t>매매</t>
        </is>
      </c>
      <c r="F2789" s="4" t="n">
        <v>65000</v>
      </c>
      <c r="G2789" s="4" t="n">
        <v>6212</v>
      </c>
      <c r="H2789" s="4" t="n">
        <v>1879</v>
      </c>
      <c r="I2789" s="5" t="n">
        <v>34.6</v>
      </c>
      <c r="J2789" s="4" t="n">
        <v>747.8</v>
      </c>
      <c r="K2789" s="3" t="inlineStr">
        <is>
          <t>산직동 창고용지1, 전3, 임야1필지 총5필지</t>
        </is>
      </c>
      <c r="L2789" s="6">
        <f>HYPERLINK("https://fin.land.naver.com/articles/2649915027", "매물Link")</f>
        <v/>
      </c>
      <c r="M2789" s="6">
        <f>HYPERLINK("https://map.naver.com/p/search/세종특별자치시 나성동 829", "지도Link")</f>
        <v/>
      </c>
      <c r="N2789" s="6">
        <f>HYPERLINK("http://www.eum.go.kr/web/ar/lu/luLandDet.jsp?pnu=3611010700108290000&amp;isNoScr=script&amp;mode=search", "토지이음")</f>
        <v/>
      </c>
      <c r="O2789" s="3" t="inlineStr">
        <is>
          <t>한국</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세종특별자치시 나성동 829</t>
        </is>
      </c>
      <c r="B2790" s="3" t="inlineStr">
        <is>
          <t>중심상업지역</t>
        </is>
      </c>
      <c r="C2790" s="3" t="inlineStr">
        <is>
          <t>대</t>
        </is>
      </c>
      <c r="D2790" s="3" t="inlineStr">
        <is>
          <t>전</t>
        </is>
      </c>
      <c r="E2790" s="3" t="inlineStr">
        <is>
          <t>매매</t>
        </is>
      </c>
      <c r="F2790" s="4" t="n">
        <v>52000</v>
      </c>
      <c r="G2790" s="4" t="n">
        <v>2478</v>
      </c>
      <c r="H2790" s="4" t="n">
        <v>750</v>
      </c>
      <c r="I2790" s="5" t="n">
        <v>69.3</v>
      </c>
      <c r="J2790" s="4" t="n">
        <v>747.8</v>
      </c>
      <c r="K2790" s="3" t="inlineStr">
        <is>
          <t>nan</t>
        </is>
      </c>
      <c r="L2790" s="6">
        <f>HYPERLINK("https://fin.land.naver.com/articles/2644082633", "매물Link")</f>
        <v/>
      </c>
      <c r="M2790" s="6">
        <f>HYPERLINK("https://map.naver.com/p/search/세종특별자치시 나성동 829", "지도Link")</f>
        <v/>
      </c>
      <c r="N2790" s="6">
        <f>HYPERLINK("http://www.eum.go.kr/web/ar/lu/luLandDet.jsp?pnu=3611010700108290000&amp;isNoScr=script&amp;mode=search", "토지이음")</f>
        <v/>
      </c>
      <c r="O2790" s="3" t="inlineStr">
        <is>
          <t>도마호반</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세종특별자치시 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HYPERLINK("https://map.naver.com/p/search/세종특별자치시 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세종특별자치시 나성동 829</t>
        </is>
      </c>
      <c r="B2792" s="3" t="inlineStr">
        <is>
          <t>중심상업지역</t>
        </is>
      </c>
      <c r="C2792" s="3" t="inlineStr">
        <is>
          <t>대</t>
        </is>
      </c>
      <c r="D2792" s="3" t="inlineStr">
        <is>
          <t>대</t>
        </is>
      </c>
      <c r="E2792" s="3" t="inlineStr">
        <is>
          <t>매매</t>
        </is>
      </c>
      <c r="F2792" s="4" t="n">
        <v>860000</v>
      </c>
      <c r="G2792" s="4" t="n">
        <v>950</v>
      </c>
      <c r="H2792" s="4" t="n">
        <v>287</v>
      </c>
      <c r="I2792" s="5" t="n">
        <v>2996.5</v>
      </c>
      <c r="J2792" s="4" t="n">
        <v>747.8</v>
      </c>
      <c r="K2792" s="3" t="inlineStr">
        <is>
          <t>가수원네거리 계백로 대로변 일반상업지역</t>
        </is>
      </c>
      <c r="L2792" s="6">
        <f>HYPERLINK("https://fin.land.naver.com/articles/2646975697", "매물Link")</f>
        <v/>
      </c>
      <c r="M2792" s="6">
        <f>HYPERLINK("https://map.naver.com/p/search/세종특별자치시 나성동 829", "지도Link")</f>
        <v/>
      </c>
      <c r="N2792" s="6">
        <f>HYPERLINK("http://www.eum.go.kr/web/ar/lu/luLandDet.jsp?pnu=3611010700108290000&amp;isNoScr=script&amp;mode=search", "토지이음")</f>
        <v/>
      </c>
      <c r="O2792" s="3" t="inlineStr">
        <is>
          <t>지산</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세종특별자치시 나성동 829</t>
        </is>
      </c>
      <c r="B2793" s="3" t="inlineStr">
        <is>
          <t>중심상업지역</t>
        </is>
      </c>
      <c r="C2793" s="3" t="inlineStr">
        <is>
          <t>대</t>
        </is>
      </c>
      <c r="D2793" s="3" t="inlineStr">
        <is>
          <t>전</t>
        </is>
      </c>
      <c r="E2793" s="3" t="inlineStr">
        <is>
          <t>매매</t>
        </is>
      </c>
      <c r="F2793" s="4" t="n">
        <v>28700</v>
      </c>
      <c r="G2793" s="4" t="n">
        <v>3801</v>
      </c>
      <c r="H2793" s="4" t="n">
        <v>1150</v>
      </c>
      <c r="I2793" s="5" t="n">
        <v>25</v>
      </c>
      <c r="J2793" s="4" t="n">
        <v>747.8</v>
      </c>
      <c r="K2793" s="3" t="inlineStr">
        <is>
          <t>자연녹지, 노루벌 입구 소재</t>
        </is>
      </c>
      <c r="L2793" s="6">
        <f>HYPERLINK("https://fin.land.naver.com/articles/2649915394", "매물Link")</f>
        <v/>
      </c>
      <c r="M2793" s="6">
        <f>HYPERLINK("https://map.naver.com/p/search/세종특별자치시 나성동 829", "지도Link")</f>
        <v/>
      </c>
      <c r="N2793" s="6">
        <f>HYPERLINK("http://www.eum.go.kr/web/ar/lu/luLandDet.jsp?pnu=3611010700108290000&amp;isNoScr=script&amp;mode=search", "토지이음")</f>
        <v/>
      </c>
      <c r="O2793" s="3" t="inlineStr">
        <is>
          <t>한국</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세종특별자치시 나성동 829</t>
        </is>
      </c>
      <c r="B2794" s="3" t="inlineStr">
        <is>
          <t>중심상업지역</t>
        </is>
      </c>
      <c r="C2794" s="3" t="inlineStr">
        <is>
          <t>대</t>
        </is>
      </c>
      <c r="D2794" s="3" t="inlineStr">
        <is>
          <t>대</t>
        </is>
      </c>
      <c r="E2794" s="3" t="inlineStr">
        <is>
          <t>매매</t>
        </is>
      </c>
      <c r="F2794" s="4" t="n">
        <v>105000</v>
      </c>
      <c r="G2794" s="4" t="n">
        <v>274</v>
      </c>
      <c r="H2794" s="4" t="n">
        <v>83</v>
      </c>
      <c r="I2794" s="5" t="n">
        <v>1265.1</v>
      </c>
      <c r="J2794" s="4" t="n">
        <v>747.8</v>
      </c>
      <c r="K2794" s="3" t="inlineStr">
        <is>
          <t>Point 토지 모양 좋고, 도안 신도시 귀한 소형 토지 매매</t>
        </is>
      </c>
      <c r="L2794" s="6">
        <f>HYPERLINK("https://fin.land.naver.com/articles/2646958441", "매물Link")</f>
        <v/>
      </c>
      <c r="M2794" s="6">
        <f>HYPERLINK("https://map.naver.com/p/search/세종특별자치시 나성동 829", "지도Link")</f>
        <v/>
      </c>
      <c r="N2794" s="6">
        <f>HYPERLINK("http://www.eum.go.kr/web/ar/lu/luLandDet.jsp?pnu=3611010700108290000&amp;isNoScr=script&amp;mode=search", "토지이음")</f>
        <v/>
      </c>
      <c r="O2794" s="3" t="inlineStr">
        <is>
          <t>도마호반</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세종특별자치시 나성동 829</t>
        </is>
      </c>
      <c r="B2795" s="3" t="inlineStr">
        <is>
          <t>중심상업지역</t>
        </is>
      </c>
      <c r="C2795" s="3" t="inlineStr">
        <is>
          <t>대</t>
        </is>
      </c>
      <c r="D2795" s="3" t="inlineStr">
        <is>
          <t>대</t>
        </is>
      </c>
      <c r="E2795" s="3" t="inlineStr">
        <is>
          <t>매매</t>
        </is>
      </c>
      <c r="F2795" s="4" t="n">
        <v>75000</v>
      </c>
      <c r="G2795" s="4" t="n">
        <v>247</v>
      </c>
      <c r="H2795" s="4" t="n">
        <v>75</v>
      </c>
      <c r="I2795" s="5" t="n">
        <v>1000</v>
      </c>
      <c r="J2795" s="4" t="n">
        <v>747.8</v>
      </c>
      <c r="K2795" s="3" t="inlineStr">
        <is>
          <t>도안동 1종일반주거지역 나대지 다가구주택이나 상가주택 적지</t>
        </is>
      </c>
      <c r="L2795" s="6">
        <f>HYPERLINK("https://fin.land.naver.com/articles/2647159045", "매물Link")</f>
        <v/>
      </c>
      <c r="M2795" s="6">
        <f>HYPERLINK("https://map.naver.com/p/search/세종특별자치시 나성동 829", "지도Link")</f>
        <v/>
      </c>
      <c r="N2795" s="6">
        <f>HYPERLINK("http://www.eum.go.kr/web/ar/lu/luLandDet.jsp?pnu=3611010700108290000&amp;isNoScr=script&amp;mode=search", "토지이음")</f>
        <v/>
      </c>
      <c r="O2795" s="3" t="inlineStr">
        <is>
          <t>더책임</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세종특별자치시 나성동 829</t>
        </is>
      </c>
      <c r="B2796" s="3" t="inlineStr">
        <is>
          <t>중심상업지역</t>
        </is>
      </c>
      <c r="C2796" s="3" t="inlineStr">
        <is>
          <t>대</t>
        </is>
      </c>
      <c r="D2796" s="3" t="inlineStr">
        <is>
          <t>대</t>
        </is>
      </c>
      <c r="E2796" s="3" t="inlineStr">
        <is>
          <t>매매</t>
        </is>
      </c>
      <c r="F2796" s="4" t="n">
        <v>60000</v>
      </c>
      <c r="G2796" s="4" t="n">
        <v>225</v>
      </c>
      <c r="H2796" s="4" t="n">
        <v>68</v>
      </c>
      <c r="I2796" s="5" t="n">
        <v>882.4</v>
      </c>
      <c r="J2796" s="4" t="n">
        <v>747.8</v>
      </c>
      <c r="K2796" s="3" t="inlineStr">
        <is>
          <t>주변상권형성 생활편리함</t>
        </is>
      </c>
      <c r="L2796" s="6">
        <f>HYPERLINK("https://fin.land.naver.com/articles/2648848220", "매물Link")</f>
        <v/>
      </c>
      <c r="M2796" s="6">
        <f>HYPERLINK("https://map.naver.com/p/search/세종특별자치시 나성동 829", "지도Link")</f>
        <v/>
      </c>
      <c r="N2796" s="6">
        <f>HYPERLINK("http://www.eum.go.kr/web/ar/lu/luLandDet.jsp?pnu=3611010700108290000&amp;isNoScr=script&amp;mode=search", "토지이음")</f>
        <v/>
      </c>
      <c r="O2796" s="3" t="inlineStr">
        <is>
          <t>도안수목토부자</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세종특별자치시 나성동 829</t>
        </is>
      </c>
      <c r="B2797" s="3" t="inlineStr">
        <is>
          <t>중심상업지역</t>
        </is>
      </c>
      <c r="C2797" s="3" t="inlineStr">
        <is>
          <t>대</t>
        </is>
      </c>
      <c r="D2797" s="3" t="inlineStr">
        <is>
          <t>답</t>
        </is>
      </c>
      <c r="E2797" s="3" t="inlineStr">
        <is>
          <t>매매</t>
        </is>
      </c>
      <c r="F2797" s="4" t="n">
        <v>75000</v>
      </c>
      <c r="G2797" s="4" t="n">
        <v>2215</v>
      </c>
      <c r="H2797" s="4" t="n">
        <v>670</v>
      </c>
      <c r="I2797" s="5" t="n">
        <v>111.9</v>
      </c>
      <c r="J2797" s="4" t="n">
        <v>747.8</v>
      </c>
      <c r="K2797" s="3" t="inlineStr">
        <is>
          <t>향후 개발로 인한 가치 상승 확실</t>
        </is>
      </c>
      <c r="L2797" s="6">
        <f>HYPERLINK("https://fin.land.naver.com/articles/2645144555", "매물Link")</f>
        <v/>
      </c>
      <c r="M2797" s="6">
        <f>HYPERLINK("https://map.naver.com/p/search/세종특별자치시 나성동 829", "지도Link")</f>
        <v/>
      </c>
      <c r="N2797" s="6">
        <f>HYPERLINK("http://www.eum.go.kr/web/ar/lu/luLandDet.jsp?pnu=3611010700108290000&amp;isNoScr=script&amp;mode=search", "토지이음")</f>
        <v/>
      </c>
      <c r="O2797" s="3" t="inlineStr">
        <is>
          <t>쌍둥이</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세종특별자치시 나성동 829</t>
        </is>
      </c>
      <c r="B2798" s="3" t="inlineStr">
        <is>
          <t>중심상업지역</t>
        </is>
      </c>
      <c r="C2798" s="3" t="inlineStr">
        <is>
          <t>대</t>
        </is>
      </c>
      <c r="D2798" s="3" t="inlineStr">
        <is>
          <t>임야</t>
        </is>
      </c>
      <c r="E2798" s="3" t="inlineStr">
        <is>
          <t>매매</t>
        </is>
      </c>
      <c r="F2798" s="4" t="n">
        <v>1720000</v>
      </c>
      <c r="G2798" s="4" t="n">
        <v>10332</v>
      </c>
      <c r="H2798" s="4" t="n">
        <v>3125</v>
      </c>
      <c r="I2798" s="5" t="n">
        <v>550.4</v>
      </c>
      <c r="J2798" s="4" t="n">
        <v>747.8</v>
      </c>
      <c r="K2798" s="3" t="inlineStr">
        <is>
          <t>가수원행정복지센터 인근 넓은 자연녹지</t>
        </is>
      </c>
      <c r="L2798" s="6">
        <f>HYPERLINK("https://fin.land.naver.com/articles/2646975457", "매물Link")</f>
        <v/>
      </c>
      <c r="M2798" s="6">
        <f>HYPERLINK("https://map.naver.com/p/search/세종특별자치시 나성동 829", "지도Link")</f>
        <v/>
      </c>
      <c r="N2798" s="6">
        <f>HYPERLINK("http://www.eum.go.kr/web/ar/lu/luLandDet.jsp?pnu=3611010700108290000&amp;isNoScr=script&amp;mode=search", "토지이음")</f>
        <v/>
      </c>
      <c r="O2798" s="3" t="inlineStr">
        <is>
          <t>지산</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세종특별자치시 나성동 829</t>
        </is>
      </c>
      <c r="B2799" s="3" t="inlineStr">
        <is>
          <t>중심상업지역</t>
        </is>
      </c>
      <c r="C2799" s="3" t="inlineStr">
        <is>
          <t>대</t>
        </is>
      </c>
      <c r="D2799" s="3" t="inlineStr">
        <is>
          <t>답</t>
        </is>
      </c>
      <c r="E2799" s="3" t="inlineStr">
        <is>
          <t>매매</t>
        </is>
      </c>
      <c r="F2799" s="4" t="n">
        <v>20600</v>
      </c>
      <c r="G2799" s="4" t="n">
        <v>597</v>
      </c>
      <c r="H2799" s="4" t="n">
        <v>181</v>
      </c>
      <c r="I2799" s="5" t="n">
        <v>113.8</v>
      </c>
      <c r="J2799" s="4" t="n">
        <v>747.8</v>
      </c>
      <c r="K2799" s="3" t="inlineStr">
        <is>
          <t>빼울약수터 가는길목이며 현재 전으로 사용중 .</t>
        </is>
      </c>
      <c r="L2799" s="6">
        <f>HYPERLINK("https://fin.land.naver.com/articles/2648916611", "매물Link")</f>
        <v/>
      </c>
      <c r="M2799" s="6">
        <f>HYPERLINK("https://map.naver.com/p/search/세종특별자치시 나성동 829", "지도Link")</f>
        <v/>
      </c>
      <c r="N2799" s="6">
        <f>HYPERLINK("http://www.eum.go.kr/web/ar/lu/luLandDet.jsp?pnu=3611010700108290000&amp;isNoScr=script&amp;mode=search", "토지이음")</f>
        <v/>
      </c>
      <c r="O2799" s="3" t="inlineStr">
        <is>
          <t>연수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세종특별자치시 나성동 829</t>
        </is>
      </c>
      <c r="B2800" s="3" t="inlineStr">
        <is>
          <t>중심상업지역</t>
        </is>
      </c>
      <c r="C2800" s="3" t="inlineStr">
        <is>
          <t>대</t>
        </is>
      </c>
      <c r="D2800" s="3" t="inlineStr">
        <is>
          <t>대</t>
        </is>
      </c>
      <c r="E2800" s="3" t="inlineStr">
        <is>
          <t>매매</t>
        </is>
      </c>
      <c r="F2800" s="4" t="n">
        <v>230000</v>
      </c>
      <c r="G2800" s="4" t="n">
        <v>1347</v>
      </c>
      <c r="H2800" s="4" t="n">
        <v>407</v>
      </c>
      <c r="I2800" s="5" t="n">
        <v>565.1</v>
      </c>
      <c r="J2800" s="4" t="n">
        <v>747.8</v>
      </c>
      <c r="K2800" s="3" t="inlineStr">
        <is>
          <t>사업잘되는 터, 건물2동 포함 전부 매도</t>
        </is>
      </c>
      <c r="L2800" s="6">
        <f>HYPERLINK("https://fin.land.naver.com/articles/2649678170", "매물Link")</f>
        <v/>
      </c>
      <c r="M2800" s="6">
        <f>HYPERLINK("https://map.naver.com/p/search/세종특별자치시 나성동 829", "지도Link")</f>
        <v/>
      </c>
      <c r="N2800" s="6">
        <f>HYPERLINK("http://www.eum.go.kr/web/ar/lu/luLandDet.jsp?pnu=3611010700108290000&amp;isNoScr=script&amp;mode=search", "토지이음")</f>
        <v/>
      </c>
      <c r="O2800" s="3" t="inlineStr">
        <is>
          <t>도안드림우미린트리쉐이드</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세종특별자치시 나성동 829</t>
        </is>
      </c>
      <c r="B2801" s="3" t="inlineStr">
        <is>
          <t>중심상업지역</t>
        </is>
      </c>
      <c r="C2801" s="3" t="inlineStr">
        <is>
          <t>대</t>
        </is>
      </c>
      <c r="D2801" s="3" t="inlineStr">
        <is>
          <t>전</t>
        </is>
      </c>
      <c r="E2801" s="3" t="inlineStr">
        <is>
          <t>매매</t>
        </is>
      </c>
      <c r="F2801" s="4" t="n">
        <v>18000</v>
      </c>
      <c r="G2801" s="4" t="n">
        <v>1656</v>
      </c>
      <c r="H2801" s="4" t="n">
        <v>501</v>
      </c>
      <c r="I2801" s="5" t="n">
        <v>35.9</v>
      </c>
      <c r="J2801" s="4" t="n">
        <v>747.8</v>
      </c>
      <c r="K2801" s="3" t="inlineStr">
        <is>
          <t>가수원동 빼울약수터 근처 소재, 접근성 좋음</t>
        </is>
      </c>
      <c r="L2801" s="6">
        <f>HYPERLINK("https://fin.land.naver.com/articles/2649905032", "매물Link")</f>
        <v/>
      </c>
      <c r="M2801" s="6">
        <f>HYPERLINK("https://map.naver.com/p/search/세종특별자치시 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세종특별자치시 나성동 829</t>
        </is>
      </c>
      <c r="B2802" s="3" t="inlineStr">
        <is>
          <t>중심상업지역</t>
        </is>
      </c>
      <c r="C2802" s="3" t="inlineStr">
        <is>
          <t>대</t>
        </is>
      </c>
      <c r="D2802" s="3" t="inlineStr">
        <is>
          <t>전</t>
        </is>
      </c>
      <c r="E2802" s="3" t="inlineStr">
        <is>
          <t>매매</t>
        </is>
      </c>
      <c r="F2802" s="4" t="n">
        <v>134000</v>
      </c>
      <c r="G2802" s="4" t="n">
        <v>370</v>
      </c>
      <c r="H2802" s="4" t="n">
        <v>112</v>
      </c>
      <c r="I2802" s="5" t="n">
        <v>1196.4</v>
      </c>
      <c r="J2802" s="4" t="n">
        <v>747.8</v>
      </c>
      <c r="K2802" s="3" t="inlineStr">
        <is>
          <t>가수원동 2필지, 노유자시설(요양원) 건축허가 득한 곳</t>
        </is>
      </c>
      <c r="L2802" s="6">
        <f>HYPERLINK("https://fin.land.naver.com/articles/2649907541", "매물Link")</f>
        <v/>
      </c>
      <c r="M2802" s="6">
        <f>HYPERLINK("https://map.naver.com/p/search/세종특별자치시 나성동 829", "지도Link")</f>
        <v/>
      </c>
      <c r="N2802" s="6">
        <f>HYPERLINK("http://www.eum.go.kr/web/ar/lu/luLandDet.jsp?pnu=3611010700108290000&amp;isNoScr=script&amp;mode=search", "토지이음")</f>
        <v/>
      </c>
      <c r="O2802" s="3" t="inlineStr">
        <is>
          <t>한국</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세종특별자치시 나성동 829</t>
        </is>
      </c>
      <c r="B2803" s="3" t="inlineStr">
        <is>
          <t>중심상업지역</t>
        </is>
      </c>
      <c r="C2803" s="3" t="inlineStr">
        <is>
          <t>대</t>
        </is>
      </c>
      <c r="D2803" s="3" t="inlineStr">
        <is>
          <t>전</t>
        </is>
      </c>
      <c r="E2803" s="3" t="inlineStr">
        <is>
          <t>매매</t>
        </is>
      </c>
      <c r="F2803" s="4" t="n">
        <v>50500</v>
      </c>
      <c r="G2803" s="4" t="n">
        <v>2454</v>
      </c>
      <c r="H2803" s="4" t="n">
        <v>742</v>
      </c>
      <c r="I2803" s="5" t="n">
        <v>68.09999999999999</v>
      </c>
      <c r="J2803" s="4" t="n">
        <v>747.8</v>
      </c>
      <c r="K2803" s="3" t="inlineStr">
        <is>
          <t>빼울약수터 부근, 자연녹지,개발제한구역, 도로 접</t>
        </is>
      </c>
      <c r="L2803" s="6">
        <f>HYPERLINK("https://fin.land.naver.com/articles/2649910760", "매물Link")</f>
        <v/>
      </c>
      <c r="M2803" s="6">
        <f>HYPERLINK("https://map.naver.com/p/search/세종특별자치시 나성동 829", "지도Link")</f>
        <v/>
      </c>
      <c r="N2803" s="6">
        <f>HYPERLINK("http://www.eum.go.kr/web/ar/lu/luLandDet.jsp?pnu=3611010700108290000&amp;isNoScr=script&amp;mode=search", "토지이음")</f>
        <v/>
      </c>
      <c r="O2803" s="3" t="inlineStr">
        <is>
          <t>한국</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세종특별자치시 나성동 829</t>
        </is>
      </c>
      <c r="B2804" s="3" t="inlineStr">
        <is>
          <t>중심상업지역</t>
        </is>
      </c>
      <c r="C2804" s="3" t="inlineStr">
        <is>
          <t>대</t>
        </is>
      </c>
      <c r="D2804" s="3" t="inlineStr">
        <is>
          <t>대</t>
        </is>
      </c>
      <c r="E2804" s="3" t="inlineStr">
        <is>
          <t>매매</t>
        </is>
      </c>
      <c r="F2804" s="4" t="n">
        <v>11500</v>
      </c>
      <c r="G2804" s="4" t="n">
        <v>165</v>
      </c>
      <c r="H2804" s="4" t="n">
        <v>50</v>
      </c>
      <c r="I2804" s="5" t="n">
        <v>230</v>
      </c>
      <c r="J2804" s="4" t="n">
        <v>747.8</v>
      </c>
      <c r="K2804" s="3" t="inlineStr">
        <is>
          <t>가수원동 새말지구4m도로접합.투자및실사용적합.</t>
        </is>
      </c>
      <c r="L2804" s="6">
        <f>HYPERLINK("https://fin.land.naver.com/articles/2645511712", "매물Link")</f>
        <v/>
      </c>
      <c r="M2804" s="6">
        <f>HYPERLINK("https://map.naver.com/p/search/세종특별자치시 나성동 829", "지도Link")</f>
        <v/>
      </c>
      <c r="N2804" s="6">
        <f>HYPERLINK("http://www.eum.go.kr/web/ar/lu/luLandDet.jsp?pnu=3611010700108290000&amp;isNoScr=script&amp;mode=search", "토지이음")</f>
        <v/>
      </c>
      <c r="O2804" s="3" t="inlineStr">
        <is>
          <t>은아마을</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세종특별자치시 나성동 829</t>
        </is>
      </c>
      <c r="B2805" s="3" t="inlineStr">
        <is>
          <t>중심상업지역</t>
        </is>
      </c>
      <c r="C2805" s="3" t="inlineStr">
        <is>
          <t>대</t>
        </is>
      </c>
      <c r="D2805" s="3" t="inlineStr">
        <is>
          <t>임야</t>
        </is>
      </c>
      <c r="E2805" s="3" t="inlineStr">
        <is>
          <t>매매</t>
        </is>
      </c>
      <c r="F2805" s="4" t="n">
        <v>16000</v>
      </c>
      <c r="G2805" s="4" t="n">
        <v>537</v>
      </c>
      <c r="H2805" s="4" t="n">
        <v>162</v>
      </c>
      <c r="I2805" s="5" t="n">
        <v>98.8</v>
      </c>
      <c r="J2805" s="4" t="n">
        <v>747.8</v>
      </c>
      <c r="K2805" s="3" t="inlineStr">
        <is>
          <t>성장관리지역,조용한전원주택지로 추천,영평사인접,저렴매물</t>
        </is>
      </c>
      <c r="L2805" s="6">
        <f>HYPERLINK("https://fin.land.naver.com/articles/2647619798", "매물Link")</f>
        <v/>
      </c>
      <c r="M2805" s="6">
        <f>HYPERLINK("https://map.naver.com/p/search/세종특별자치시 나성동 829", "지도Link")</f>
        <v/>
      </c>
      <c r="N2805" s="6">
        <f>HYPERLINK("http://www.eum.go.kr/web/ar/lu/luLandDet.jsp?pnu=3611010700108290000&amp;isNoScr=script&amp;mode=search", "토지이음")</f>
        <v/>
      </c>
      <c r="O2805" s="3" t="inlineStr">
        <is>
          <t>고운햇살</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세종특별자치시 나성동 829</t>
        </is>
      </c>
      <c r="B2806" s="3" t="inlineStr">
        <is>
          <t>중심상업지역</t>
        </is>
      </c>
      <c r="C2806" s="3" t="inlineStr">
        <is>
          <t>대</t>
        </is>
      </c>
      <c r="D2806" s="3" t="inlineStr">
        <is>
          <t>대</t>
        </is>
      </c>
      <c r="E2806" s="3" t="inlineStr">
        <is>
          <t>매매</t>
        </is>
      </c>
      <c r="F2806" s="4" t="n">
        <v>88000</v>
      </c>
      <c r="G2806" s="4" t="n">
        <v>291</v>
      </c>
      <c r="H2806" s="4" t="n">
        <v>88</v>
      </c>
      <c r="I2806" s="5" t="n">
        <v>1000</v>
      </c>
      <c r="J2806" s="4" t="n">
        <v>747.8</v>
      </c>
      <c r="K2806" s="3" t="inlineStr">
        <is>
          <t>더샵관저 댜단위 아파트배후 상가주택지  서대전I.C인근 교통편리</t>
        </is>
      </c>
      <c r="L2806" s="6">
        <f>HYPERLINK("https://fin.land.naver.com/articles/2646854942", "매물Link")</f>
        <v/>
      </c>
      <c r="M2806" s="6">
        <f>HYPERLINK("https://map.naver.com/p/search/세종특별자치시 나성동 829", "지도Link")</f>
        <v/>
      </c>
      <c r="N2806" s="6">
        <f>HYPERLINK("http://www.eum.go.kr/web/ar/lu/luLandDet.jsp?pnu=3611010700108290000&amp;isNoScr=script&amp;mode=search", "토지이음")</f>
        <v/>
      </c>
      <c r="O2806" s="3" t="inlineStr">
        <is>
          <t>국화</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세종특별자치시 나성동 829</t>
        </is>
      </c>
      <c r="B2807" s="3" t="inlineStr">
        <is>
          <t>중심상업지역</t>
        </is>
      </c>
      <c r="C2807" s="3" t="inlineStr">
        <is>
          <t>대</t>
        </is>
      </c>
      <c r="D2807" s="3" t="inlineStr">
        <is>
          <t>대</t>
        </is>
      </c>
      <c r="E2807" s="3" t="inlineStr">
        <is>
          <t>매매</t>
        </is>
      </c>
      <c r="F2807" s="4" t="n">
        <v>75000</v>
      </c>
      <c r="G2807" s="4" t="n">
        <v>259</v>
      </c>
      <c r="H2807" s="4" t="n">
        <v>78</v>
      </c>
      <c r="I2807" s="5" t="n">
        <v>961.5</v>
      </c>
      <c r="J2807" s="4" t="n">
        <v>747.8</v>
      </c>
      <c r="K2807" s="3" t="inlineStr">
        <is>
          <t>위치좋은 8차선대로 뒷블럭 각지 북향으로 건축히 좋은 나대지,조절</t>
        </is>
      </c>
      <c r="L2807" s="6">
        <f>HYPERLINK("https://fin.land.naver.com/articles/2647796013", "매물Link")</f>
        <v/>
      </c>
      <c r="M2807" s="6">
        <f>HYPERLINK("https://map.naver.com/p/search/세종특별자치시 나성동 829", "지도Link")</f>
        <v/>
      </c>
      <c r="N2807" s="6">
        <f>HYPERLINK("http://www.eum.go.kr/web/ar/lu/luLandDet.jsp?pnu=3611010700108290000&amp;isNoScr=script&amp;mode=search", "토지이음")</f>
        <v/>
      </c>
      <c r="O2807" s="3" t="inlineStr">
        <is>
          <t>새시대</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세종특별자치시 나성동 829</t>
        </is>
      </c>
      <c r="B2808" s="3" t="inlineStr">
        <is>
          <t>중심상업지역</t>
        </is>
      </c>
      <c r="C2808" s="3" t="inlineStr">
        <is>
          <t>대</t>
        </is>
      </c>
      <c r="D2808" s="3" t="inlineStr">
        <is>
          <t>대</t>
        </is>
      </c>
      <c r="E2808" s="3" t="inlineStr">
        <is>
          <t>매매</t>
        </is>
      </c>
      <c r="F2808" s="4" t="n">
        <v>750000</v>
      </c>
      <c r="G2808" s="4" t="n">
        <v>986</v>
      </c>
      <c r="H2808" s="4" t="n">
        <v>298</v>
      </c>
      <c r="I2808" s="5" t="n">
        <v>2516.8</v>
      </c>
      <c r="J2808" s="4" t="n">
        <v>747.8</v>
      </c>
      <c r="K2808" s="3" t="inlineStr">
        <is>
          <t>도안대로변 토지 매매</t>
        </is>
      </c>
      <c r="L2808" s="6">
        <f>HYPERLINK("https://fin.land.naver.com/articles/2646975740", "매물Link")</f>
        <v/>
      </c>
      <c r="M2808" s="6">
        <f>HYPERLINK("https://map.naver.com/p/search/세종특별자치시 나성동 829", "지도Link")</f>
        <v/>
      </c>
      <c r="N2808" s="6">
        <f>HYPERLINK("http://www.eum.go.kr/web/ar/lu/luLandDet.jsp?pnu=3611010700108290000&amp;isNoScr=script&amp;mode=search", "토지이음")</f>
        <v/>
      </c>
      <c r="O2808" s="3" t="inlineStr">
        <is>
          <t>지산</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세종특별자치시 나성동 829</t>
        </is>
      </c>
      <c r="B2809" s="3" t="inlineStr">
        <is>
          <t>중심상업지역</t>
        </is>
      </c>
      <c r="C2809" s="3" t="inlineStr">
        <is>
          <t>대</t>
        </is>
      </c>
      <c r="D2809" s="3" t="inlineStr">
        <is>
          <t>대</t>
        </is>
      </c>
      <c r="E2809" s="3" t="inlineStr">
        <is>
          <t>매매</t>
        </is>
      </c>
      <c r="F2809" s="4" t="n">
        <v>370000</v>
      </c>
      <c r="G2809" s="4" t="n">
        <v>525</v>
      </c>
      <c r="H2809" s="4" t="n">
        <v>159</v>
      </c>
      <c r="I2809" s="5" t="n">
        <v>2327</v>
      </c>
      <c r="J2809" s="4" t="n">
        <v>747.8</v>
      </c>
      <c r="K2809" s="3" t="inlineStr">
        <is>
          <t>관저동 도안지구 내 대로변 준주거지역 토지</t>
        </is>
      </c>
      <c r="L2809" s="6">
        <f>HYPERLINK("https://fin.land.naver.com/articles/2646976291", "매물Link")</f>
        <v/>
      </c>
      <c r="M2809" s="6">
        <f>HYPERLINK("https://map.naver.com/p/search/세종특별자치시 나성동 829", "지도Link")</f>
        <v/>
      </c>
      <c r="N2809" s="6">
        <f>HYPERLINK("http://www.eum.go.kr/web/ar/lu/luLandDet.jsp?pnu=3611010700108290000&amp;isNoScr=script&amp;mode=search", "토지이음")</f>
        <v/>
      </c>
      <c r="O2809" s="3" t="inlineStr">
        <is>
          <t>지산</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세종특별자치시 나성동 829</t>
        </is>
      </c>
      <c r="B2810" s="3" t="inlineStr">
        <is>
          <t>중심상업지역</t>
        </is>
      </c>
      <c r="C2810" s="3" t="inlineStr">
        <is>
          <t>대</t>
        </is>
      </c>
      <c r="D2810" s="3" t="inlineStr">
        <is>
          <t>대</t>
        </is>
      </c>
      <c r="E2810" s="3" t="inlineStr">
        <is>
          <t>매매</t>
        </is>
      </c>
      <c r="F2810" s="4" t="n">
        <v>2960000</v>
      </c>
      <c r="G2810" s="4" t="n">
        <v>6314</v>
      </c>
      <c r="H2810" s="4" t="n">
        <v>1910</v>
      </c>
      <c r="I2810" s="5" t="n">
        <v>1549.7</v>
      </c>
      <c r="J2810" s="4" t="n">
        <v>747.8</v>
      </c>
      <c r="K2810" s="3" t="inlineStr">
        <is>
          <t>도안택지개발지구 대형 상업지역 토지</t>
        </is>
      </c>
      <c r="L2810" s="6">
        <f>HYPERLINK("https://fin.land.naver.com/articles/2646975338", "매물Link")</f>
        <v/>
      </c>
      <c r="M2810" s="6">
        <f>HYPERLINK("https://map.naver.com/p/search/세종특별자치시 나성동 829", "지도Link")</f>
        <v/>
      </c>
      <c r="N2810" s="6">
        <f>HYPERLINK("http://www.eum.go.kr/web/ar/lu/luLandDet.jsp?pnu=3611010700108290000&amp;isNoScr=script&amp;mode=search", "토지이음")</f>
        <v/>
      </c>
      <c r="O2810" s="3" t="inlineStr">
        <is>
          <t>지산</t>
        </is>
      </c>
      <c r="P2810" s="3" t="n">
        <v>1</v>
      </c>
      <c r="Q2810" s="3" t="n">
        <v>17306</v>
      </c>
      <c r="R2810" s="3" t="inlineStr">
        <is>
          <t>지정되지않음</t>
        </is>
      </c>
      <c r="S2810" s="3" t="inlineStr">
        <is>
          <t>주상용</t>
        </is>
      </c>
      <c r="T2810" s="3" t="inlineStr">
        <is>
          <t>평지</t>
        </is>
      </c>
      <c r="U2810" s="3" t="inlineStr">
        <is>
          <t>사다리형</t>
        </is>
      </c>
      <c r="V2810" s="3" t="inlineStr">
        <is>
          <t>광대소각</t>
        </is>
      </c>
    </row>
    <row r="2811">
      <c r="A2811" s="3" t="inlineStr">
        <is>
          <t>세종특별자치시 다정동 641</t>
        </is>
      </c>
      <c r="B2811" s="3" t="inlineStr">
        <is>
          <t>제1종전용주거지역</t>
        </is>
      </c>
      <c r="C2811" s="3" t="inlineStr">
        <is>
          <t>대</t>
        </is>
      </c>
      <c r="D2811" s="3" t="inlineStr">
        <is>
          <t>대</t>
        </is>
      </c>
      <c r="E2811" s="3" t="inlineStr">
        <is>
          <t>매매</t>
        </is>
      </c>
      <c r="F2811" s="4" t="n">
        <v>60000</v>
      </c>
      <c r="G2811" s="4" t="n">
        <v>409</v>
      </c>
      <c r="H2811" s="4" t="n">
        <v>124</v>
      </c>
      <c r="I2811" s="5" t="n">
        <v>483.9</v>
      </c>
      <c r="J2811" s="4" t="n">
        <v>324.8</v>
      </c>
      <c r="K2811" s="3" t="inlineStr">
        <is>
          <t>3면코너각지 대형필지 조율가능</t>
        </is>
      </c>
      <c r="L2811" s="6">
        <f>HYPERLINK("https://fin.land.naver.com/articles/2647658777", "매물Link")</f>
        <v/>
      </c>
      <c r="M2811" s="6">
        <f>HYPERLINK("https://map.naver.com/p/search/세종특별자치시 다정동 641", "지도Link")</f>
        <v/>
      </c>
      <c r="N2811" s="6">
        <f>HYPERLINK("http://www.eum.go.kr/web/ar/lu/luLandDet.jsp?pnu=3611010900106410000&amp;isNoScr=script&amp;mode=search", "토지이음")</f>
        <v/>
      </c>
      <c r="O2811" s="3" t="inlineStr">
        <is>
          <t>세종스타</t>
        </is>
      </c>
      <c r="P2811" s="3" t="n">
        <v>2</v>
      </c>
      <c r="Q2811" s="3" t="n">
        <v>408.8</v>
      </c>
      <c r="R2811" s="3" t="inlineStr">
        <is>
          <t>지정되지않음</t>
        </is>
      </c>
      <c r="S2811" s="3" t="inlineStr">
        <is>
          <t>주거나지</t>
        </is>
      </c>
      <c r="T2811" s="3" t="inlineStr">
        <is>
          <t>평지</t>
        </is>
      </c>
      <c r="U2811" s="3" t="inlineStr">
        <is>
          <t>세로장방</t>
        </is>
      </c>
      <c r="V2811" s="3" t="inlineStr">
        <is>
          <t>중로각지</t>
        </is>
      </c>
    </row>
    <row r="2812">
      <c r="A2812" s="3" t="inlineStr">
        <is>
          <t>세종특별자치시 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HYPERLINK("https://map.naver.com/p/search/세종특별자치시 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세종특별자치시 다정동 643</t>
        </is>
      </c>
      <c r="B2813" s="3" t="inlineStr">
        <is>
          <t>제1종전용주거지역</t>
        </is>
      </c>
      <c r="C2813" s="3" t="inlineStr">
        <is>
          <t>대</t>
        </is>
      </c>
      <c r="D2813" s="3" t="inlineStr">
        <is>
          <t>대</t>
        </is>
      </c>
      <c r="E2813" s="3" t="inlineStr">
        <is>
          <t>매매</t>
        </is>
      </c>
      <c r="F2813" s="4" t="n">
        <v>68000</v>
      </c>
      <c r="G2813" s="4" t="n">
        <v>534</v>
      </c>
      <c r="H2813" s="4" t="n">
        <v>162</v>
      </c>
      <c r="I2813" s="5" t="n">
        <v>419.8</v>
      </c>
      <c r="J2813" s="4" t="n">
        <v>278</v>
      </c>
      <c r="K2813" s="3" t="inlineStr">
        <is>
          <t>공원 인근 다정동 단독주택지, 넓은 면적 추천</t>
        </is>
      </c>
      <c r="L2813" s="6">
        <f>HYPERLINK("https://fin.land.naver.com/articles/2644187344", "매물Link")</f>
        <v/>
      </c>
      <c r="M2813" s="6">
        <f>HYPERLINK("https://map.naver.com/p/search/세종특별자치시 다정동 643", "지도Link")</f>
        <v/>
      </c>
      <c r="N2813" s="6">
        <f>HYPERLINK("http://www.eum.go.kr/web/ar/lu/luLandDet.jsp?pnu=3611010900106430000&amp;isNoScr=script&amp;mode=search", "토지이음")</f>
        <v/>
      </c>
      <c r="O2813" s="3" t="inlineStr">
        <is>
          <t>세종무지개</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세종특별자치시 다정동 643</t>
        </is>
      </c>
      <c r="B2814" s="3" t="inlineStr">
        <is>
          <t>제1종전용주거지역</t>
        </is>
      </c>
      <c r="C2814" s="3" t="inlineStr">
        <is>
          <t>대</t>
        </is>
      </c>
      <c r="D2814" s="3" t="inlineStr">
        <is>
          <t>대</t>
        </is>
      </c>
      <c r="E2814" s="3" t="inlineStr">
        <is>
          <t>매매</t>
        </is>
      </c>
      <c r="F2814" s="4" t="n">
        <v>68000</v>
      </c>
      <c r="G2814" s="4" t="n">
        <v>643</v>
      </c>
      <c r="H2814" s="4" t="n">
        <v>195</v>
      </c>
      <c r="I2814" s="5" t="n">
        <v>348.7</v>
      </c>
      <c r="J2814" s="4" t="n">
        <v>278</v>
      </c>
      <c r="K2814" s="3" t="inlineStr">
        <is>
          <t>급매매 큰땅입니다</t>
        </is>
      </c>
      <c r="L2814" s="6">
        <f>HYPERLINK("https://fin.land.naver.com/articles/2648362434", "매물Link")</f>
        <v/>
      </c>
      <c r="M2814" s="6">
        <f>HYPERLINK("https://map.naver.com/p/search/세종특별자치시 다정동 643", "지도Link")</f>
        <v/>
      </c>
      <c r="N2814" s="6">
        <f>HYPERLINK("http://www.eum.go.kr/web/ar/lu/luLandDet.jsp?pnu=3611010900106430000&amp;isNoScr=script&amp;mode=search", "토지이음")</f>
        <v/>
      </c>
      <c r="O2814" s="3" t="inlineStr">
        <is>
          <t>킹세종</t>
        </is>
      </c>
      <c r="P2814" s="3" t="n">
        <v>1</v>
      </c>
      <c r="Q2814" s="3" t="n">
        <v>535</v>
      </c>
      <c r="R2814" s="3" t="inlineStr">
        <is>
          <t>지정되지않음</t>
        </is>
      </c>
      <c r="S2814" s="3" t="inlineStr">
        <is>
          <t>주거나지</t>
        </is>
      </c>
      <c r="T2814" s="3" t="inlineStr">
        <is>
          <t>평지</t>
        </is>
      </c>
      <c r="U2814" s="3" t="inlineStr">
        <is>
          <t>부정형</t>
        </is>
      </c>
      <c r="V2814" s="3" t="inlineStr">
        <is>
          <t>소로한면</t>
        </is>
      </c>
    </row>
    <row r="2815">
      <c r="A2815" s="3" t="inlineStr">
        <is>
          <t>세종특별자치시 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조용한 단독주택지, 정남향</t>
        </is>
      </c>
      <c r="L2815" s="6">
        <f>HYPERLINK("https://fin.land.naver.com/articles/2646690725", "매물Link")</f>
        <v/>
      </c>
      <c r="M2815" s="6">
        <f>HYPERLINK("https://map.naver.com/p/search/세종특별자치시 다정동 651", "지도Link")</f>
        <v/>
      </c>
      <c r="N2815" s="6">
        <f>HYPERLINK("http://www.eum.go.kr/web/ar/lu/luLandDet.jsp?pnu=3611010900106510000&amp;isNoScr=script&amp;mode=search", "토지이음")</f>
        <v/>
      </c>
      <c r="O2815" s="3" t="inlineStr">
        <is>
          <t>세종무지개</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세종특별자치시 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가격좋은 조용한 위치 토지매매</t>
        </is>
      </c>
      <c r="L2816" s="6">
        <f>HYPERLINK("https://fin.land.naver.com/articles/2648902119", "매물Link")</f>
        <v/>
      </c>
      <c r="M2816" s="6">
        <f>HYPERLINK("https://map.naver.com/p/search/세종특별자치시 다정동 651", "지도Link")</f>
        <v/>
      </c>
      <c r="N2816" s="6">
        <f>HYPERLINK("http://www.eum.go.kr/web/ar/lu/luLandDet.jsp?pnu=3611010900106510000&amp;isNoScr=script&amp;mode=search", "토지이음")</f>
        <v/>
      </c>
      <c r="O2816" s="3" t="inlineStr">
        <is>
          <t>명진</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세종특별자치시 다정동 651</t>
        </is>
      </c>
      <c r="B2817" s="3" t="inlineStr">
        <is>
          <t>제1종전용주거지역</t>
        </is>
      </c>
      <c r="C2817" s="3" t="inlineStr">
        <is>
          <t>대</t>
        </is>
      </c>
      <c r="D2817" s="3" t="inlineStr">
        <is>
          <t>대</t>
        </is>
      </c>
      <c r="E2817" s="3" t="inlineStr">
        <is>
          <t>매매</t>
        </is>
      </c>
      <c r="F2817" s="4" t="n">
        <v>60000</v>
      </c>
      <c r="G2817" s="4" t="n">
        <v>300</v>
      </c>
      <c r="H2817" s="4" t="n">
        <v>91</v>
      </c>
      <c r="I2817" s="5" t="n">
        <v>659.3</v>
      </c>
      <c r="J2817" s="4" t="n">
        <v>292.7</v>
      </c>
      <c r="K2817" s="3" t="inlineStr">
        <is>
          <t>가격조정가능 공원옆으로 남향 입지최고</t>
        </is>
      </c>
      <c r="L2817" s="6">
        <f>HYPERLINK("https://fin.land.naver.com/articles/2648976575", "매물Link")</f>
        <v/>
      </c>
      <c r="M2817" s="6">
        <f>HYPERLINK("https://map.naver.com/p/search/세종특별자치시 다정동 651", "지도Link")</f>
        <v/>
      </c>
      <c r="N2817" s="6">
        <f>HYPERLINK("http://www.eum.go.kr/web/ar/lu/luLandDet.jsp?pnu=3611010900106510000&amp;isNoScr=script&amp;mode=search", "토지이음")</f>
        <v/>
      </c>
      <c r="O2817" s="3" t="inlineStr">
        <is>
          <t>고운동리치세종</t>
        </is>
      </c>
      <c r="P2817" s="3" t="n">
        <v>2</v>
      </c>
      <c r="Q2817" s="3" t="n">
        <v>300</v>
      </c>
      <c r="R2817" s="3" t="inlineStr">
        <is>
          <t>지정되지않음</t>
        </is>
      </c>
      <c r="S2817" s="3" t="inlineStr">
        <is>
          <t>주거나지</t>
        </is>
      </c>
      <c r="T2817" s="3" t="inlineStr">
        <is>
          <t>평지</t>
        </is>
      </c>
      <c r="U2817" s="3" t="inlineStr">
        <is>
          <t>정방형</t>
        </is>
      </c>
      <c r="V2817" s="3" t="inlineStr">
        <is>
          <t>소로한면</t>
        </is>
      </c>
    </row>
    <row r="2818">
      <c r="A2818" s="3" t="inlineStr">
        <is>
          <t>세종특별자치시 다정동 655</t>
        </is>
      </c>
      <c r="B2818" s="3" t="inlineStr">
        <is>
          <t>제1종전용주거지역</t>
        </is>
      </c>
      <c r="C2818" s="3" t="inlineStr">
        <is>
          <t>대</t>
        </is>
      </c>
      <c r="D2818" s="3" t="inlineStr">
        <is>
          <t>대</t>
        </is>
      </c>
      <c r="E2818" s="3" t="inlineStr">
        <is>
          <t>매매</t>
        </is>
      </c>
      <c r="F2818" s="4" t="n">
        <v>47000</v>
      </c>
      <c r="G2818" s="4" t="n">
        <v>327</v>
      </c>
      <c r="H2818" s="4" t="n">
        <v>99</v>
      </c>
      <c r="I2818" s="5" t="n">
        <v>474.7</v>
      </c>
      <c r="J2818" s="4" t="n">
        <v>292.7</v>
      </c>
      <c r="K2818" s="3" t="inlineStr">
        <is>
          <t>급매 정남향 뒤로5천평 공원접함</t>
        </is>
      </c>
      <c r="L2818" s="6">
        <f>HYPERLINK("https://fin.land.naver.com/articles/2646405783", "매물Link")</f>
        <v/>
      </c>
      <c r="M2818" s="6">
        <f>HYPERLINK("https://map.naver.com/p/search/세종특별자치시 다정동 655", "지도Link")</f>
        <v/>
      </c>
      <c r="N2818" s="6">
        <f>HYPERLINK("http://www.eum.go.kr/web/ar/lu/luLandDet.jsp?pnu=3611010900106550000&amp;isNoScr=script&amp;mode=search", "토지이음")</f>
        <v/>
      </c>
      <c r="O2818" s="3" t="inlineStr">
        <is>
          <t>세종스타</t>
        </is>
      </c>
      <c r="P2818" s="3" t="n">
        <v>1</v>
      </c>
      <c r="Q2818" s="3" t="n">
        <v>327</v>
      </c>
      <c r="R2818" s="3" t="inlineStr">
        <is>
          <t>지정되지않음</t>
        </is>
      </c>
      <c r="S2818" s="3" t="inlineStr">
        <is>
          <t>주거나지</t>
        </is>
      </c>
      <c r="T2818" s="3" t="inlineStr">
        <is>
          <t>평지</t>
        </is>
      </c>
      <c r="U2818" s="3" t="inlineStr">
        <is>
          <t>정방형</t>
        </is>
      </c>
      <c r="V2818" s="3" t="inlineStr">
        <is>
          <t>소로한면</t>
        </is>
      </c>
    </row>
    <row r="2819">
      <c r="A2819" s="3" t="inlineStr">
        <is>
          <t>세종특별자치시 다정동 667</t>
        </is>
      </c>
      <c r="B2819" s="3" t="inlineStr">
        <is>
          <t>제1종전용주거지역</t>
        </is>
      </c>
      <c r="C2819" s="3" t="inlineStr">
        <is>
          <t>대</t>
        </is>
      </c>
      <c r="D2819" s="3" t="inlineStr">
        <is>
          <t>대</t>
        </is>
      </c>
      <c r="E2819" s="3" t="inlineStr">
        <is>
          <t>매매</t>
        </is>
      </c>
      <c r="F2819" s="4" t="n">
        <v>62000</v>
      </c>
      <c r="G2819" s="4" t="n">
        <v>336</v>
      </c>
      <c r="H2819" s="4" t="n">
        <v>102</v>
      </c>
      <c r="I2819" s="5" t="n">
        <v>607.8</v>
      </c>
      <c r="J2819" s="4" t="n">
        <v>324.8</v>
      </c>
      <c r="K2819" s="3" t="inlineStr">
        <is>
          <t>다정동 단독상가 매매, 입지 좋은 조용한 위치</t>
        </is>
      </c>
      <c r="L2819" s="6">
        <f>HYPERLINK("https://fin.land.naver.com/articles/2647425840", "매물Link")</f>
        <v/>
      </c>
      <c r="M2819" s="6">
        <f>HYPERLINK("https://map.naver.com/p/search/세종특별자치시 다정동 667", "지도Link")</f>
        <v/>
      </c>
      <c r="N2819" s="6">
        <f>HYPERLINK("http://www.eum.go.kr/web/ar/lu/luLandDet.jsp?pnu=3611010900106670000&amp;isNoScr=script&amp;mode=search", "토지이음")</f>
        <v/>
      </c>
      <c r="O2819" s="3" t="inlineStr">
        <is>
          <t>세종무지개</t>
        </is>
      </c>
      <c r="P2819" s="3" t="n">
        <v>1</v>
      </c>
      <c r="Q2819" s="3" t="n">
        <v>336.3</v>
      </c>
      <c r="R2819" s="3" t="inlineStr">
        <is>
          <t>지정되지않음</t>
        </is>
      </c>
      <c r="S2819" s="3" t="inlineStr">
        <is>
          <t>주거나지</t>
        </is>
      </c>
      <c r="T2819" s="3" t="inlineStr">
        <is>
          <t>평지</t>
        </is>
      </c>
      <c r="U2819" s="3" t="inlineStr">
        <is>
          <t>세로장방</t>
        </is>
      </c>
      <c r="V2819" s="3" t="inlineStr">
        <is>
          <t>중로각지</t>
        </is>
      </c>
    </row>
    <row r="2820">
      <c r="A2820" s="3" t="inlineStr">
        <is>
          <t>세종특별자치시 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저렴한매매 가격조정가능</t>
        </is>
      </c>
      <c r="L2820" s="6">
        <f>HYPERLINK("https://fin.land.naver.com/articles/2648849052", "매물Link")</f>
        <v/>
      </c>
      <c r="M2820" s="6">
        <f>HYPERLINK("https://map.naver.com/p/search/세종특별자치시 다정동 674", "지도Link")</f>
        <v/>
      </c>
      <c r="N2820" s="6">
        <f>HYPERLINK("http://www.eum.go.kr/web/ar/lu/luLandDet.jsp?pnu=3611010900106740000&amp;isNoScr=script&amp;mode=search", "토지이음")</f>
        <v/>
      </c>
      <c r="O2820" s="3" t="inlineStr">
        <is>
          <t>고운동리치세종</t>
        </is>
      </c>
      <c r="P2820" s="3" t="n">
        <v>2</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세종특별자치시 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HYPERLINK("https://map.naver.com/p/search/세종특별자치시 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세종특별자치시 다정동 674</t>
        </is>
      </c>
      <c r="B2822" s="3" t="inlineStr">
        <is>
          <t>제1종전용주거지역</t>
        </is>
      </c>
      <c r="C2822" s="3" t="inlineStr">
        <is>
          <t>대</t>
        </is>
      </c>
      <c r="D2822" s="3" t="inlineStr">
        <is>
          <t>대</t>
        </is>
      </c>
      <c r="E2822" s="3" t="inlineStr">
        <is>
          <t>매매</t>
        </is>
      </c>
      <c r="F2822" s="4" t="n">
        <v>43000</v>
      </c>
      <c r="G2822" s="4" t="n">
        <v>290</v>
      </c>
      <c r="H2822" s="4" t="n">
        <v>88</v>
      </c>
      <c r="I2822" s="5" t="n">
        <v>488.6</v>
      </c>
      <c r="J2822" s="4" t="n">
        <v>292.7</v>
      </c>
      <c r="K2822" s="3" t="inlineStr">
        <is>
          <t>총 87.9p, 토지 초급매, 추천매물</t>
        </is>
      </c>
      <c r="L2822" s="6">
        <f>HYPERLINK("https://fin.land.naver.com/articles/2649020955", "매물Link")</f>
        <v/>
      </c>
      <c r="M2822" s="6">
        <f>HYPERLINK("https://map.naver.com/p/search/세종특별자치시 다정동 674", "지도Link")</f>
        <v/>
      </c>
      <c r="N2822" s="6">
        <f>HYPERLINK("http://www.eum.go.kr/web/ar/lu/luLandDet.jsp?pnu=3611010900106740000&amp;isNoScr=script&amp;mode=search", "토지이음")</f>
        <v/>
      </c>
      <c r="O2822" s="3" t="inlineStr">
        <is>
          <t>명진</t>
        </is>
      </c>
      <c r="P2822" s="3" t="n">
        <v>1</v>
      </c>
      <c r="Q2822" s="3" t="n">
        <v>290</v>
      </c>
      <c r="R2822" s="3" t="inlineStr">
        <is>
          <t>지정되지않음</t>
        </is>
      </c>
      <c r="S2822" s="3" t="inlineStr">
        <is>
          <t>주거나지</t>
        </is>
      </c>
      <c r="T2822" s="3" t="inlineStr">
        <is>
          <t>평지</t>
        </is>
      </c>
      <c r="U2822" s="3" t="inlineStr">
        <is>
          <t>가로장방</t>
        </is>
      </c>
      <c r="V2822" s="3" t="inlineStr">
        <is>
          <t>소로한면</t>
        </is>
      </c>
    </row>
    <row r="2823">
      <c r="A2823" s="3" t="inlineStr">
        <is>
          <t>세종특별자치시 다정동 677</t>
        </is>
      </c>
      <c r="B2823" s="3" t="inlineStr">
        <is>
          <t>제1종전용주거지역</t>
        </is>
      </c>
      <c r="C2823" s="3" t="inlineStr">
        <is>
          <t>대</t>
        </is>
      </c>
      <c r="D2823" s="3" t="inlineStr">
        <is>
          <t>대</t>
        </is>
      </c>
      <c r="E2823" s="3" t="inlineStr">
        <is>
          <t>매매</t>
        </is>
      </c>
      <c r="F2823" s="4" t="n">
        <v>62000</v>
      </c>
      <c r="G2823" s="4" t="n">
        <v>270</v>
      </c>
      <c r="H2823" s="4" t="n">
        <v>82</v>
      </c>
      <c r="I2823" s="5" t="n">
        <v>756.1</v>
      </c>
      <c r="J2823" s="4" t="n">
        <v>292.7</v>
      </c>
      <c r="K2823" s="3" t="inlineStr">
        <is>
          <t>단독주택부지. 교통, 상권 편리한 귀한 필지</t>
        </is>
      </c>
      <c r="L2823" s="6">
        <f>HYPERLINK("https://fin.land.naver.com/articles/2649018519", "매물Link")</f>
        <v/>
      </c>
      <c r="M2823" s="6">
        <f>HYPERLINK("https://map.naver.com/p/search/세종특별자치시 다정동 677", "지도Link")</f>
        <v/>
      </c>
      <c r="N2823" s="6">
        <f>HYPERLINK("http://www.eum.go.kr/web/ar/lu/luLandDet.jsp?pnu=3611010900106770000&amp;isNoScr=script&amp;mode=search", "토지이음")</f>
        <v/>
      </c>
      <c r="O2823" s="3" t="inlineStr">
        <is>
          <t>라이프</t>
        </is>
      </c>
      <c r="P2823" s="3" t="n">
        <v>2</v>
      </c>
      <c r="Q2823" s="3" t="n">
        <v>270</v>
      </c>
      <c r="R2823" s="3" t="inlineStr">
        <is>
          <t>지정되지않음</t>
        </is>
      </c>
      <c r="S2823" s="3" t="inlineStr">
        <is>
          <t>주거나지</t>
        </is>
      </c>
      <c r="T2823" s="3" t="inlineStr">
        <is>
          <t>평지</t>
        </is>
      </c>
      <c r="U2823" s="3" t="inlineStr">
        <is>
          <t>가로장방</t>
        </is>
      </c>
      <c r="V2823" s="3" t="inlineStr">
        <is>
          <t>소로한면</t>
        </is>
      </c>
    </row>
    <row r="2824">
      <c r="A2824" s="3" t="inlineStr">
        <is>
          <t>세종특별자치시 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HYPERLINK("https://map.naver.com/p/search/세종특별자치시 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세종특별자치시 다정동 688</t>
        </is>
      </c>
      <c r="B2825" s="3" t="inlineStr">
        <is>
          <t>제1종전용주거지역</t>
        </is>
      </c>
      <c r="C2825" s="3" t="inlineStr">
        <is>
          <t>대</t>
        </is>
      </c>
      <c r="D2825" s="3" t="inlineStr">
        <is>
          <t>대</t>
        </is>
      </c>
      <c r="E2825" s="3" t="inlineStr">
        <is>
          <t>매매</t>
        </is>
      </c>
      <c r="F2825" s="4" t="n">
        <v>45000</v>
      </c>
      <c r="G2825" s="4" t="n">
        <v>273</v>
      </c>
      <c r="H2825" s="4" t="n">
        <v>83</v>
      </c>
      <c r="I2825" s="5" t="n">
        <v>542.2</v>
      </c>
      <c r="J2825" s="4" t="n">
        <v>313.1</v>
      </c>
      <c r="K2825" s="3" t="inlineStr">
        <is>
          <t>조용한 단독주택지,급매</t>
        </is>
      </c>
      <c r="L2825" s="6">
        <f>HYPERLINK("https://fin.land.naver.com/articles/2648806860", "매물Link")</f>
        <v/>
      </c>
      <c r="M2825" s="6">
        <f>HYPERLINK("https://map.naver.com/p/search/세종특별자치시 다정동 688", "지도Link")</f>
        <v/>
      </c>
      <c r="N2825" s="6">
        <f>HYPERLINK("http://www.eum.go.kr/web/ar/lu/luLandDet.jsp?pnu=3611010900106880000&amp;isNoScr=script&amp;mode=search", "토지이음")</f>
        <v/>
      </c>
      <c r="O2825" s="3" t="inlineStr">
        <is>
          <t>세종금주</t>
        </is>
      </c>
      <c r="P2825" s="3" t="n">
        <v>1</v>
      </c>
      <c r="Q2825" s="3" t="n">
        <v>273</v>
      </c>
      <c r="R2825" s="3" t="inlineStr">
        <is>
          <t>지정되지않음</t>
        </is>
      </c>
      <c r="S2825" s="3" t="inlineStr">
        <is>
          <t>주거나지</t>
        </is>
      </c>
      <c r="T2825" s="3" t="inlineStr">
        <is>
          <t>평지</t>
        </is>
      </c>
      <c r="U2825" s="3" t="inlineStr">
        <is>
          <t>가로장방</t>
        </is>
      </c>
      <c r="V2825" s="3" t="inlineStr">
        <is>
          <t>중로한면</t>
        </is>
      </c>
    </row>
    <row r="2826">
      <c r="A2826" s="3" t="inlineStr">
        <is>
          <t>세종특별자치시 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다정동 단독주택토지, 코너입지, 111.8p</t>
        </is>
      </c>
      <c r="L2826" s="6">
        <f>HYPERLINK("https://fin.land.naver.com/articles/2646692103", "매물Link")</f>
        <v/>
      </c>
      <c r="M2826" s="6">
        <f>HYPERLINK("https://map.naver.com/p/search/세종특별자치시 다정동 729", "지도Link")</f>
        <v/>
      </c>
      <c r="N2826" s="6">
        <f>HYPERLINK("http://www.eum.go.kr/web/ar/lu/luLandDet.jsp?pnu=3611010900107290000&amp;isNoScr=script&amp;mode=search", "토지이음")</f>
        <v/>
      </c>
      <c r="O2826" s="3" t="inlineStr">
        <is>
          <t>세종무지개</t>
        </is>
      </c>
      <c r="P2826" s="3" t="n">
        <v>1</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세종특별자치시 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HYPERLINK("https://map.naver.com/p/search/세종특별자치시 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세종특별자치시 다정동 729</t>
        </is>
      </c>
      <c r="B2828" s="3" t="inlineStr">
        <is>
          <t>제1종전용주거지역</t>
        </is>
      </c>
      <c r="C2828" s="3" t="inlineStr">
        <is>
          <t>대</t>
        </is>
      </c>
      <c r="D2828" s="3" t="inlineStr">
        <is>
          <t>대</t>
        </is>
      </c>
      <c r="E2828" s="3" t="inlineStr">
        <is>
          <t>매매</t>
        </is>
      </c>
      <c r="F2828" s="4" t="n">
        <v>67000</v>
      </c>
      <c r="G2828" s="4" t="n">
        <v>369</v>
      </c>
      <c r="H2828" s="4" t="n">
        <v>112</v>
      </c>
      <c r="I2828" s="5" t="n">
        <v>598.2</v>
      </c>
      <c r="J2828" s="4" t="n">
        <v>341.2</v>
      </c>
      <c r="K2828" s="3" t="inlineStr">
        <is>
          <t>2면도로 접,주변 60m가로 공원근접함</t>
        </is>
      </c>
      <c r="L2828" s="6">
        <f>HYPERLINK("https://fin.land.naver.com/articles/2649639476", "매물Link")</f>
        <v/>
      </c>
      <c r="M2828" s="6">
        <f>HYPERLINK("https://map.naver.com/p/search/세종특별자치시 다정동 729", "지도Link")</f>
        <v/>
      </c>
      <c r="N2828" s="6">
        <f>HYPERLINK("http://www.eum.go.kr/web/ar/lu/luLandDet.jsp?pnu=3611010900107290000&amp;isNoScr=script&amp;mode=search", "토지이음")</f>
        <v/>
      </c>
      <c r="O2828" s="3" t="inlineStr">
        <is>
          <t>킹세종</t>
        </is>
      </c>
      <c r="P2828" s="3" t="n">
        <v>2</v>
      </c>
      <c r="Q2828" s="3" t="n">
        <v>369</v>
      </c>
      <c r="R2828" s="3" t="inlineStr">
        <is>
          <t>지정되지않음</t>
        </is>
      </c>
      <c r="S2828" s="3" t="inlineStr">
        <is>
          <t>주거나지</t>
        </is>
      </c>
      <c r="T2828" s="3" t="inlineStr">
        <is>
          <t>평지</t>
        </is>
      </c>
      <c r="U2828" s="3" t="inlineStr">
        <is>
          <t>정방형</t>
        </is>
      </c>
      <c r="V2828" s="3" t="inlineStr">
        <is>
          <t>중로한면</t>
        </is>
      </c>
    </row>
    <row r="2829">
      <c r="A2829" s="3" t="inlineStr">
        <is>
          <t>세종특별자치시 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HYPERLINK("https://map.naver.com/p/search/세종특별자치시 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세종특별자치시 다정동 756</t>
        </is>
      </c>
      <c r="B2830" s="3" t="inlineStr">
        <is>
          <t>제1종전용주거지역</t>
        </is>
      </c>
      <c r="C2830" s="3" t="inlineStr">
        <is>
          <t>대</t>
        </is>
      </c>
      <c r="D2830" s="3" t="inlineStr">
        <is>
          <t>대</t>
        </is>
      </c>
      <c r="E2830" s="3" t="inlineStr">
        <is>
          <t>매매</t>
        </is>
      </c>
      <c r="F2830" s="4" t="n">
        <v>83000</v>
      </c>
      <c r="G2830" s="4" t="n">
        <v>368</v>
      </c>
      <c r="H2830" s="4" t="n">
        <v>111</v>
      </c>
      <c r="I2830" s="5" t="n">
        <v>747.7</v>
      </c>
      <c r="J2830" s="4" t="n">
        <v>326</v>
      </c>
      <c r="K2830" s="3" t="inlineStr">
        <is>
          <t>다정동 조용한 위치 단독주택 매매, 코너위치</t>
        </is>
      </c>
      <c r="L2830" s="6">
        <f>HYPERLINK("https://fin.land.naver.com/articles/2644479943", "매물Link")</f>
        <v/>
      </c>
      <c r="M2830" s="6">
        <f>HYPERLINK("https://map.naver.com/p/search/세종특별자치시 다정동 756", "지도Link")</f>
        <v/>
      </c>
      <c r="N2830" s="6">
        <f>HYPERLINK("http://www.eum.go.kr/web/ar/lu/luLandDet.jsp?pnu=3611010900107560000&amp;isNoScr=script&amp;mode=search", "토지이음")</f>
        <v/>
      </c>
      <c r="O2830" s="3" t="inlineStr">
        <is>
          <t>세종무지개</t>
        </is>
      </c>
      <c r="P2830" s="3" t="n">
        <v>1</v>
      </c>
      <c r="Q2830" s="3" t="n">
        <v>368</v>
      </c>
      <c r="R2830" s="3" t="inlineStr">
        <is>
          <t>지정되지않음</t>
        </is>
      </c>
      <c r="S2830" s="3" t="inlineStr">
        <is>
          <t>주거나지</t>
        </is>
      </c>
      <c r="T2830" s="3" t="inlineStr">
        <is>
          <t>평지</t>
        </is>
      </c>
      <c r="U2830" s="3" t="inlineStr">
        <is>
          <t>정방형</t>
        </is>
      </c>
      <c r="V2830" s="3" t="inlineStr">
        <is>
          <t>중로한면</t>
        </is>
      </c>
    </row>
    <row r="2831">
      <c r="A2831" s="3" t="inlineStr">
        <is>
          <t>세종특별자치시 다정동 769</t>
        </is>
      </c>
      <c r="B2831" s="3" t="inlineStr">
        <is>
          <t>제1종전용주거지역</t>
        </is>
      </c>
      <c r="C2831" s="3" t="inlineStr">
        <is>
          <t>대</t>
        </is>
      </c>
      <c r="D2831" s="3" t="inlineStr">
        <is>
          <t>대</t>
        </is>
      </c>
      <c r="E2831" s="3" t="inlineStr">
        <is>
          <t>매매</t>
        </is>
      </c>
      <c r="F2831" s="4" t="n">
        <v>50000</v>
      </c>
      <c r="G2831" s="4" t="n">
        <v>269</v>
      </c>
      <c r="H2831" s="4" t="n">
        <v>81</v>
      </c>
      <c r="I2831" s="5" t="n">
        <v>617.3</v>
      </c>
      <c r="J2831" s="4" t="n">
        <v>313.8</v>
      </c>
      <c r="K2831" s="3" t="inlineStr">
        <is>
          <t>세종시 다정동 안쪽 코너각지 나대지</t>
        </is>
      </c>
      <c r="L2831" s="6">
        <f>HYPERLINK("https://fin.land.naver.com/articles/2645629137", "매물Link")</f>
        <v/>
      </c>
      <c r="M2831" s="6">
        <f>HYPERLINK("https://map.naver.com/p/search/세종특별자치시 다정동 769", "지도Link")</f>
        <v/>
      </c>
      <c r="N2831" s="6">
        <f>HYPERLINK("http://www.eum.go.kr/web/ar/lu/luLandDet.jsp?pnu=3611010900107690000&amp;isNoScr=script&amp;mode=search", "토지이음")</f>
        <v/>
      </c>
      <c r="O2831" s="3" t="inlineStr">
        <is>
          <t>청명</t>
        </is>
      </c>
      <c r="P2831" s="3" t="n">
        <v>1</v>
      </c>
      <c r="Q2831" s="3" t="n">
        <v>269.7</v>
      </c>
      <c r="R2831" s="3" t="inlineStr">
        <is>
          <t>지정되지않음</t>
        </is>
      </c>
      <c r="S2831" s="3" t="inlineStr">
        <is>
          <t>주거나지</t>
        </is>
      </c>
      <c r="T2831" s="3" t="inlineStr">
        <is>
          <t>평지</t>
        </is>
      </c>
      <c r="U2831" s="3" t="inlineStr">
        <is>
          <t>정방형</t>
        </is>
      </c>
      <c r="V2831" s="3" t="inlineStr">
        <is>
          <t>소로각지</t>
        </is>
      </c>
    </row>
    <row r="2832">
      <c r="A2832" s="3" t="inlineStr">
        <is>
          <t>세종특별자치시 다정동 772</t>
        </is>
      </c>
      <c r="B2832" s="3" t="inlineStr">
        <is>
          <t>제1종전용주거지역</t>
        </is>
      </c>
      <c r="C2832" s="3" t="inlineStr">
        <is>
          <t>대</t>
        </is>
      </c>
      <c r="D2832" s="3" t="inlineStr">
        <is>
          <t>대</t>
        </is>
      </c>
      <c r="E2832" s="3" t="inlineStr">
        <is>
          <t>매매</t>
        </is>
      </c>
      <c r="F2832" s="4" t="n">
        <v>69500</v>
      </c>
      <c r="G2832" s="4" t="n">
        <v>279</v>
      </c>
      <c r="H2832" s="4" t="n">
        <v>84</v>
      </c>
      <c r="I2832" s="5" t="n">
        <v>827.4</v>
      </c>
      <c r="J2832" s="4" t="n">
        <v>304.6</v>
      </c>
      <c r="K2832" s="3" t="inlineStr">
        <is>
          <t>총 84.8p, 다정동 입지 좋은 단독주태 토지</t>
        </is>
      </c>
      <c r="L2832" s="6">
        <f>HYPERLINK("https://fin.land.naver.com/articles/2649004372", "매물Link")</f>
        <v/>
      </c>
      <c r="M2832" s="6">
        <f>HYPERLINK("https://map.naver.com/p/search/세종특별자치시 다정동 772", "지도Link")</f>
        <v/>
      </c>
      <c r="N2832" s="6">
        <f>HYPERLINK("http://www.eum.go.kr/web/ar/lu/luLandDet.jsp?pnu=3611010900107720000&amp;isNoScr=script&amp;mode=search", "토지이음")</f>
        <v/>
      </c>
      <c r="O2832" s="3" t="inlineStr">
        <is>
          <t>명진</t>
        </is>
      </c>
      <c r="P2832" s="3" t="n">
        <v>1</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세종특별자치시 다정동 772</t>
        </is>
      </c>
      <c r="B2833" s="3" t="inlineStr">
        <is>
          <t>제1종전용주거지역</t>
        </is>
      </c>
      <c r="C2833" s="3" t="inlineStr">
        <is>
          <t>대</t>
        </is>
      </c>
      <c r="D2833" s="3" t="inlineStr">
        <is>
          <t>대</t>
        </is>
      </c>
      <c r="E2833" s="3" t="inlineStr">
        <is>
          <t>매매</t>
        </is>
      </c>
      <c r="F2833" s="4" t="n">
        <v>55000</v>
      </c>
      <c r="G2833" s="4" t="n">
        <v>297</v>
      </c>
      <c r="H2833" s="4" t="n">
        <v>90</v>
      </c>
      <c r="I2833" s="5" t="n">
        <v>611.1</v>
      </c>
      <c r="J2833" s="4" t="n">
        <v>304.6</v>
      </c>
      <c r="K2833" s="3" t="inlineStr">
        <is>
          <t>단독주택 부지  착한 매매가로 추천드립니다.</t>
        </is>
      </c>
      <c r="L2833" s="6">
        <f>HYPERLINK("https://fin.land.naver.com/articles/2648168344", "매물Link")</f>
        <v/>
      </c>
      <c r="M2833" s="6">
        <f>HYPERLINK("https://map.naver.com/p/search/세종특별자치시 다정동 772", "지도Link")</f>
        <v/>
      </c>
      <c r="N2833" s="6">
        <f>HYPERLINK("http://www.eum.go.kr/web/ar/lu/luLandDet.jsp?pnu=3611010900107720000&amp;isNoScr=script&amp;mode=search", "토지이음")</f>
        <v/>
      </c>
      <c r="O2833" s="3" t="inlineStr">
        <is>
          <t>세종가온채</t>
        </is>
      </c>
      <c r="P2833" s="3" t="n">
        <v>2</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세종특별자치시 다정동 772</t>
        </is>
      </c>
      <c r="B2834" s="3" t="inlineStr">
        <is>
          <t>제1종전용주거지역</t>
        </is>
      </c>
      <c r="C2834" s="3" t="inlineStr">
        <is>
          <t>대</t>
        </is>
      </c>
      <c r="D2834" s="3" t="inlineStr">
        <is>
          <t>대</t>
        </is>
      </c>
      <c r="E2834" s="3" t="inlineStr">
        <is>
          <t>매매</t>
        </is>
      </c>
      <c r="F2834" s="4" t="n">
        <v>69500</v>
      </c>
      <c r="G2834" s="4" t="n">
        <v>279</v>
      </c>
      <c r="H2834" s="4" t="n">
        <v>84</v>
      </c>
      <c r="I2834" s="5" t="n">
        <v>827.4</v>
      </c>
      <c r="J2834" s="4" t="n">
        <v>304.6</v>
      </c>
      <c r="K2834" s="3" t="inlineStr">
        <is>
          <t>84.8p, 정남향, 다정동 단독주택지</t>
        </is>
      </c>
      <c r="L2834" s="6">
        <f>HYPERLINK("https://fin.land.naver.com/articles/2647425898", "매물Link")</f>
        <v/>
      </c>
      <c r="M2834" s="6">
        <f>HYPERLINK("https://map.naver.com/p/search/세종특별자치시 다정동 772", "지도Link")</f>
        <v/>
      </c>
      <c r="N2834" s="6">
        <f>HYPERLINK("http://www.eum.go.kr/web/ar/lu/luLandDet.jsp?pnu=3611010900107720000&amp;isNoScr=script&amp;mode=search", "토지이음")</f>
        <v/>
      </c>
      <c r="O2834" s="3" t="inlineStr">
        <is>
          <t>세종무지개</t>
        </is>
      </c>
      <c r="P2834" s="3" t="n">
        <v>1</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세종특별자치시 다정동 773</t>
        </is>
      </c>
      <c r="B2835" s="3" t="inlineStr">
        <is>
          <t>제1종전용주거지역</t>
        </is>
      </c>
      <c r="C2835" s="3" t="inlineStr">
        <is>
          <t>대</t>
        </is>
      </c>
      <c r="D2835" s="3" t="inlineStr">
        <is>
          <t>대</t>
        </is>
      </c>
      <c r="E2835" s="3" t="inlineStr">
        <is>
          <t>매매</t>
        </is>
      </c>
      <c r="F2835" s="4" t="n">
        <v>44000</v>
      </c>
      <c r="G2835" s="4" t="n">
        <v>279</v>
      </c>
      <c r="H2835" s="4" t="n">
        <v>84</v>
      </c>
      <c r="I2835" s="5" t="n">
        <v>523.8</v>
      </c>
      <c r="J2835" s="4" t="n">
        <v>304.6</v>
      </c>
      <c r="K2835" s="3" t="inlineStr">
        <is>
          <t>급매 남향 택지 조용한위치 상권 학교 가까움</t>
        </is>
      </c>
      <c r="L2835" s="6">
        <f>HYPERLINK("https://fin.land.naver.com/articles/2649375100", "매물Link")</f>
        <v/>
      </c>
      <c r="M2835" s="6">
        <f>HYPERLINK("https://map.naver.com/p/search/세종특별자치시 다정동 773", "지도Link")</f>
        <v/>
      </c>
      <c r="N2835" s="6">
        <f>HYPERLINK("http://www.eum.go.kr/web/ar/lu/luLandDet.jsp?pnu=3611010900107730000&amp;isNoScr=script&amp;mode=search", "토지이음")</f>
        <v/>
      </c>
      <c r="O2835" s="3" t="inlineStr">
        <is>
          <t>세종스타</t>
        </is>
      </c>
      <c r="P2835" s="3" t="n">
        <v>2</v>
      </c>
      <c r="Q2835" s="3" t="n">
        <v>279.7</v>
      </c>
      <c r="R2835" s="3" t="inlineStr">
        <is>
          <t>지정되지않음</t>
        </is>
      </c>
      <c r="S2835" s="3" t="inlineStr">
        <is>
          <t>주거나지</t>
        </is>
      </c>
      <c r="T2835" s="3" t="inlineStr">
        <is>
          <t>평지</t>
        </is>
      </c>
      <c r="U2835" s="3" t="inlineStr">
        <is>
          <t>정방형</t>
        </is>
      </c>
      <c r="V2835" s="3" t="inlineStr">
        <is>
          <t>소로한면</t>
        </is>
      </c>
    </row>
    <row r="2836">
      <c r="A2836" s="3" t="inlineStr">
        <is>
          <t>세종특별자치시 다정동 774</t>
        </is>
      </c>
      <c r="B2836" s="3" t="inlineStr">
        <is>
          <t>제1종전용주거지역</t>
        </is>
      </c>
      <c r="C2836" s="3" t="inlineStr">
        <is>
          <t>대</t>
        </is>
      </c>
      <c r="D2836" s="3" t="inlineStr">
        <is>
          <t>대</t>
        </is>
      </c>
      <c r="E2836" s="3" t="inlineStr">
        <is>
          <t>매매</t>
        </is>
      </c>
      <c r="F2836" s="4" t="n">
        <v>69500</v>
      </c>
      <c r="G2836" s="4" t="n">
        <v>280</v>
      </c>
      <c r="H2836" s="4" t="n">
        <v>85</v>
      </c>
      <c r="I2836" s="5" t="n">
        <v>817.6</v>
      </c>
      <c r="J2836" s="4" t="n">
        <v>337.9</v>
      </c>
      <c r="K2836" s="3" t="inlineStr">
        <is>
          <t>nan</t>
        </is>
      </c>
      <c r="L2836" s="6">
        <f>HYPERLINK("https://fin.land.naver.com/articles/2647198411", "매물Link")</f>
        <v/>
      </c>
      <c r="M2836" s="6">
        <f>HYPERLINK("https://map.naver.com/p/search/세종특별자치시 다정동 774", "지도Link")</f>
        <v/>
      </c>
      <c r="N2836" s="6">
        <f>HYPERLINK("http://www.eum.go.kr/web/ar/lu/luLandDet.jsp?pnu=3611010900107740000&amp;isNoScr=script&amp;mode=search", "토지이음")</f>
        <v/>
      </c>
      <c r="O2836" s="3" t="inlineStr">
        <is>
          <t>디아트성심</t>
        </is>
      </c>
      <c r="P2836" s="3" t="n">
        <v>1</v>
      </c>
      <c r="Q2836" s="3" t="n">
        <v>291.7</v>
      </c>
      <c r="R2836" s="3" t="inlineStr">
        <is>
          <t>지정되지않음</t>
        </is>
      </c>
      <c r="S2836" s="3" t="inlineStr">
        <is>
          <t>주거나지</t>
        </is>
      </c>
      <c r="T2836" s="3" t="inlineStr">
        <is>
          <t>평지</t>
        </is>
      </c>
      <c r="U2836" s="3" t="inlineStr">
        <is>
          <t>정방형</t>
        </is>
      </c>
      <c r="V2836" s="3" t="inlineStr">
        <is>
          <t>중로각지</t>
        </is>
      </c>
    </row>
    <row r="2837">
      <c r="A2837" s="3" t="inlineStr">
        <is>
          <t>세종특별자치시 다정동 779</t>
        </is>
      </c>
      <c r="B2837" s="3" t="inlineStr">
        <is>
          <t>제1종전용주거지역</t>
        </is>
      </c>
      <c r="C2837" s="3" t="inlineStr">
        <is>
          <t>대</t>
        </is>
      </c>
      <c r="D2837" s="3" t="inlineStr">
        <is>
          <t>대</t>
        </is>
      </c>
      <c r="E2837" s="3" t="inlineStr">
        <is>
          <t>매매</t>
        </is>
      </c>
      <c r="F2837" s="4" t="n">
        <v>50000</v>
      </c>
      <c r="G2837" s="4" t="n">
        <v>297</v>
      </c>
      <c r="H2837" s="4" t="n">
        <v>90</v>
      </c>
      <c r="I2837" s="5" t="n">
        <v>555.6</v>
      </c>
      <c r="J2837" s="4" t="n">
        <v>304.6</v>
      </c>
      <c r="K2837" s="3" t="inlineStr">
        <is>
          <t>I 신한 I  급매  Iㅑ채광 좋은 남향 단독주택용지</t>
        </is>
      </c>
      <c r="L2837" s="6">
        <f>HYPERLINK("https://fin.land.naver.com/articles/2644861093", "매물Link")</f>
        <v/>
      </c>
      <c r="M2837" s="6">
        <f>HYPERLINK("https://map.naver.com/p/search/세종특별자치시 다정동 779", "지도Link")</f>
        <v/>
      </c>
      <c r="N2837" s="6">
        <f>HYPERLINK("http://www.eum.go.kr/web/ar/lu/luLandDet.jsp?pnu=3611010900107790000&amp;isNoScr=script&amp;mode=search", "토지이음")</f>
        <v/>
      </c>
      <c r="O2837" s="3" t="inlineStr">
        <is>
          <t>세종신한</t>
        </is>
      </c>
      <c r="P2837" s="3" t="n">
        <v>1</v>
      </c>
      <c r="Q2837" s="3" t="n">
        <v>297.3</v>
      </c>
      <c r="R2837" s="3" t="inlineStr">
        <is>
          <t>지정되지않음</t>
        </is>
      </c>
      <c r="S2837" s="3" t="inlineStr">
        <is>
          <t>주거나지</t>
        </is>
      </c>
      <c r="T2837" s="3" t="inlineStr">
        <is>
          <t>평지</t>
        </is>
      </c>
      <c r="U2837" s="3" t="inlineStr">
        <is>
          <t>정방형</t>
        </is>
      </c>
      <c r="V2837" s="3" t="inlineStr">
        <is>
          <t>소로한면</t>
        </is>
      </c>
    </row>
    <row r="2838">
      <c r="A2838" s="3" t="inlineStr">
        <is>
          <t>세종특별자치시 다정동 781</t>
        </is>
      </c>
      <c r="B2838" s="3" t="inlineStr">
        <is>
          <t>제1종전용주거지역</t>
        </is>
      </c>
      <c r="C2838" s="3" t="inlineStr">
        <is>
          <t>대</t>
        </is>
      </c>
      <c r="D2838" s="3" t="inlineStr">
        <is>
          <t>대</t>
        </is>
      </c>
      <c r="E2838" s="3" t="inlineStr">
        <is>
          <t>매매</t>
        </is>
      </c>
      <c r="F2838" s="4" t="n">
        <v>42000</v>
      </c>
      <c r="G2838" s="4" t="n">
        <v>254</v>
      </c>
      <c r="H2838" s="4" t="n">
        <v>77</v>
      </c>
      <c r="I2838" s="5" t="n">
        <v>545.5</v>
      </c>
      <c r="J2838" s="4" t="n">
        <v>313.8</v>
      </c>
      <c r="K2838" s="3" t="inlineStr">
        <is>
          <t>급매 코너각지 정남향 최저가 조율협의가능</t>
        </is>
      </c>
      <c r="L2838" s="6">
        <f>HYPERLINK("https://fin.land.naver.com/articles/2647125848", "매물Link")</f>
        <v/>
      </c>
      <c r="M2838" s="6">
        <f>HYPERLINK("https://map.naver.com/p/search/세종특별자치시 다정동 781", "지도Link")</f>
        <v/>
      </c>
      <c r="N2838" s="6">
        <f>HYPERLINK("http://www.eum.go.kr/web/ar/lu/luLandDet.jsp?pnu=3611010900107810000&amp;isNoScr=script&amp;mode=search", "토지이음")</f>
        <v/>
      </c>
      <c r="O2838" s="3" t="inlineStr">
        <is>
          <t>세종스타</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세종특별자치시 다정동 781</t>
        </is>
      </c>
      <c r="B2839" s="3" t="inlineStr">
        <is>
          <t>제1종전용주거지역</t>
        </is>
      </c>
      <c r="C2839" s="3" t="inlineStr">
        <is>
          <t>대</t>
        </is>
      </c>
      <c r="D2839" s="3" t="inlineStr">
        <is>
          <t>대</t>
        </is>
      </c>
      <c r="E2839" s="3" t="inlineStr">
        <is>
          <t>매매</t>
        </is>
      </c>
      <c r="F2839" s="4" t="n">
        <v>45000</v>
      </c>
      <c r="G2839" s="4" t="n">
        <v>254</v>
      </c>
      <c r="H2839" s="4" t="n">
        <v>77</v>
      </c>
      <c r="I2839" s="5" t="n">
        <v>584.4</v>
      </c>
      <c r="J2839" s="4" t="n">
        <v>313.8</v>
      </c>
      <c r="K2839" s="3" t="inlineStr">
        <is>
          <t>nan</t>
        </is>
      </c>
      <c r="L2839" s="6">
        <f>HYPERLINK("https://fin.land.naver.com/articles/2647198355", "매물Link")</f>
        <v/>
      </c>
      <c r="M2839" s="6">
        <f>HYPERLINK("https://map.naver.com/p/search/세종특별자치시 다정동 781", "지도Link")</f>
        <v/>
      </c>
      <c r="N2839" s="6">
        <f>HYPERLINK("http://www.eum.go.kr/web/ar/lu/luLandDet.jsp?pnu=3611010900107810000&amp;isNoScr=script&amp;mode=search", "토지이음")</f>
        <v/>
      </c>
      <c r="O2839" s="3" t="inlineStr">
        <is>
          <t>디아트성심</t>
        </is>
      </c>
      <c r="P2839" s="3" t="n">
        <v>1</v>
      </c>
      <c r="Q2839" s="3" t="n">
        <v>254.3</v>
      </c>
      <c r="R2839" s="3" t="inlineStr">
        <is>
          <t>지정되지않음</t>
        </is>
      </c>
      <c r="S2839" s="3" t="inlineStr">
        <is>
          <t>주거나지</t>
        </is>
      </c>
      <c r="T2839" s="3" t="inlineStr">
        <is>
          <t>평지</t>
        </is>
      </c>
      <c r="U2839" s="3" t="inlineStr">
        <is>
          <t>정방형</t>
        </is>
      </c>
      <c r="V2839" s="3" t="inlineStr">
        <is>
          <t>소로각지</t>
        </is>
      </c>
    </row>
    <row r="2840">
      <c r="A2840" s="3" t="inlineStr">
        <is>
          <t>세종특별자치시 다정동 783</t>
        </is>
      </c>
      <c r="B2840" s="3" t="inlineStr">
        <is>
          <t>제1종전용주거지역</t>
        </is>
      </c>
      <c r="C2840" s="3" t="inlineStr">
        <is>
          <t>대</t>
        </is>
      </c>
      <c r="D2840" s="3" t="inlineStr">
        <is>
          <t>대</t>
        </is>
      </c>
      <c r="E2840" s="3" t="inlineStr">
        <is>
          <t>매매</t>
        </is>
      </c>
      <c r="F2840" s="4" t="n">
        <v>50000</v>
      </c>
      <c r="G2840" s="4" t="n">
        <v>297</v>
      </c>
      <c r="H2840" s="4" t="n">
        <v>90</v>
      </c>
      <c r="I2840" s="5" t="n">
        <v>555.6</v>
      </c>
      <c r="J2840" s="4" t="n">
        <v>304.6</v>
      </c>
      <c r="K2840" s="3" t="inlineStr">
        <is>
          <t>조율가능 정남향 토지모양최상</t>
        </is>
      </c>
      <c r="L2840" s="6">
        <f>HYPERLINK("https://fin.land.naver.com/articles/2649812025", "매물Link")</f>
        <v/>
      </c>
      <c r="M2840" s="6">
        <f>HYPERLINK("https://map.naver.com/p/search/세종특별자치시 다정동 783", "지도Link")</f>
        <v/>
      </c>
      <c r="N2840" s="6">
        <f>HYPERLINK("http://www.eum.go.kr/web/ar/lu/luLandDet.jsp?pnu=3611010900107830000&amp;isNoScr=script&amp;mode=search", "토지이음")</f>
        <v/>
      </c>
      <c r="O2840" s="3" t="inlineStr">
        <is>
          <t>세종스타</t>
        </is>
      </c>
      <c r="P2840" s="3" t="n">
        <v>1</v>
      </c>
      <c r="Q2840" s="3" t="n">
        <v>297.3</v>
      </c>
      <c r="R2840" s="3" t="inlineStr">
        <is>
          <t>지정되지않음</t>
        </is>
      </c>
      <c r="S2840" s="3" t="inlineStr">
        <is>
          <t>주거나지</t>
        </is>
      </c>
      <c r="T2840" s="3" t="inlineStr">
        <is>
          <t>평지</t>
        </is>
      </c>
      <c r="U2840" s="3" t="inlineStr">
        <is>
          <t>정방형</t>
        </is>
      </c>
      <c r="V2840" s="3" t="inlineStr">
        <is>
          <t>소로한면</t>
        </is>
      </c>
    </row>
    <row r="2841">
      <c r="A2841" s="3" t="inlineStr">
        <is>
          <t>세종특별자치시 다정동 793</t>
        </is>
      </c>
      <c r="B2841" s="3" t="inlineStr">
        <is>
          <t>제1종전용주거지역</t>
        </is>
      </c>
      <c r="C2841" s="3" t="inlineStr">
        <is>
          <t>대</t>
        </is>
      </c>
      <c r="D2841" s="3" t="inlineStr">
        <is>
          <t>대</t>
        </is>
      </c>
      <c r="E2841" s="3" t="inlineStr">
        <is>
          <t>매매</t>
        </is>
      </c>
      <c r="F2841" s="4" t="n">
        <v>75000</v>
      </c>
      <c r="G2841" s="4" t="n">
        <v>315</v>
      </c>
      <c r="H2841" s="4" t="n">
        <v>95</v>
      </c>
      <c r="I2841" s="5" t="n">
        <v>789.5</v>
      </c>
      <c r="J2841" s="4" t="n">
        <v>313.8</v>
      </c>
      <c r="K2841" s="3" t="inlineStr">
        <is>
          <t>코너각지,선호하는 위치 모양좋은 대지,가격조율가능</t>
        </is>
      </c>
      <c r="L2841" s="6">
        <f>HYPERLINK("https://fin.land.naver.com/articles/2647229420", "매물Link")</f>
        <v/>
      </c>
      <c r="M2841" s="6">
        <f>HYPERLINK("https://map.naver.com/p/search/세종특별자치시 다정동 793", "지도Link")</f>
        <v/>
      </c>
      <c r="N2841" s="6">
        <f>HYPERLINK("http://www.eum.go.kr/web/ar/lu/luLandDet.jsp?pnu=3611010900107930000&amp;isNoScr=script&amp;mode=search", "토지이음")</f>
        <v/>
      </c>
      <c r="O2841" s="3" t="inlineStr">
        <is>
          <t>다정동첫번째</t>
        </is>
      </c>
      <c r="P2841" s="3" t="n">
        <v>1</v>
      </c>
      <c r="Q2841" s="3" t="n">
        <v>315.9</v>
      </c>
      <c r="R2841" s="3" t="inlineStr">
        <is>
          <t>지정되지않음</t>
        </is>
      </c>
      <c r="S2841" s="3" t="inlineStr">
        <is>
          <t>주거나지</t>
        </is>
      </c>
      <c r="T2841" s="3" t="inlineStr">
        <is>
          <t>평지</t>
        </is>
      </c>
      <c r="U2841" s="3" t="inlineStr">
        <is>
          <t>정방형</t>
        </is>
      </c>
      <c r="V2841" s="3" t="inlineStr">
        <is>
          <t>소로각지</t>
        </is>
      </c>
    </row>
    <row r="2842">
      <c r="A2842" s="3" t="inlineStr">
        <is>
          <t>세종특별자치시 다정동 794</t>
        </is>
      </c>
      <c r="B2842" s="3" t="inlineStr">
        <is>
          <t>제1종전용주거지역</t>
        </is>
      </c>
      <c r="C2842" s="3" t="inlineStr">
        <is>
          <t>대</t>
        </is>
      </c>
      <c r="D2842" s="3" t="inlineStr">
        <is>
          <t>대</t>
        </is>
      </c>
      <c r="E2842" s="3" t="inlineStr">
        <is>
          <t>매매</t>
        </is>
      </c>
      <c r="F2842" s="4" t="n">
        <v>48000</v>
      </c>
      <c r="G2842" s="4" t="n">
        <v>254</v>
      </c>
      <c r="H2842" s="4" t="n">
        <v>77</v>
      </c>
      <c r="I2842" s="5" t="n">
        <v>623.4</v>
      </c>
      <c r="J2842" s="4" t="n">
        <v>337.9</v>
      </c>
      <c r="K2842" s="3" t="inlineStr">
        <is>
          <t>코너각지 공공인도접함 선호하는위치</t>
        </is>
      </c>
      <c r="L2842" s="6">
        <f>HYPERLINK("https://fin.land.naver.com/articles/2648716215", "매물Link")</f>
        <v/>
      </c>
      <c r="M2842" s="6">
        <f>HYPERLINK("https://map.naver.com/p/search/세종특별자치시 다정동 794", "지도Link")</f>
        <v/>
      </c>
      <c r="N2842" s="6">
        <f>HYPERLINK("http://www.eum.go.kr/web/ar/lu/luLandDet.jsp?pnu=3611010900107940000&amp;isNoScr=script&amp;mode=search", "토지이음")</f>
        <v/>
      </c>
      <c r="O2842" s="3" t="inlineStr">
        <is>
          <t>세종스타</t>
        </is>
      </c>
      <c r="P2842" s="3" t="n">
        <v>1</v>
      </c>
      <c r="Q2842" s="3" t="n">
        <v>254.9</v>
      </c>
      <c r="R2842" s="3" t="inlineStr">
        <is>
          <t>지정되지않음</t>
        </is>
      </c>
      <c r="S2842" s="3" t="inlineStr">
        <is>
          <t>주거나지</t>
        </is>
      </c>
      <c r="T2842" s="3" t="inlineStr">
        <is>
          <t>평지</t>
        </is>
      </c>
      <c r="U2842" s="3" t="inlineStr">
        <is>
          <t>정방형</t>
        </is>
      </c>
      <c r="V2842" s="3" t="inlineStr">
        <is>
          <t>중로각지</t>
        </is>
      </c>
    </row>
    <row r="2843">
      <c r="A2843" s="3" t="inlineStr">
        <is>
          <t>세종특별자치시 다정동 810</t>
        </is>
      </c>
      <c r="B2843" s="3" t="inlineStr">
        <is>
          <t>제1종전용주거지역</t>
        </is>
      </c>
      <c r="C2843" s="3" t="inlineStr">
        <is>
          <t>대</t>
        </is>
      </c>
      <c r="D2843" s="3" t="inlineStr">
        <is>
          <t>대</t>
        </is>
      </c>
      <c r="E2843" s="3" t="inlineStr">
        <is>
          <t>매매</t>
        </is>
      </c>
      <c r="F2843" s="4" t="n">
        <v>59500</v>
      </c>
      <c r="G2843" s="4" t="n">
        <v>314</v>
      </c>
      <c r="H2843" s="4" t="n">
        <v>95</v>
      </c>
      <c r="I2843" s="5" t="n">
        <v>626.3</v>
      </c>
      <c r="J2843" s="4" t="n">
        <v>298.2</v>
      </c>
      <c r="K2843" s="3" t="inlineStr">
        <is>
          <t>추가조율가능 남향택지 상권접근성 용이한 위치</t>
        </is>
      </c>
      <c r="L2843" s="6">
        <f>HYPERLINK("https://fin.land.naver.com/articles/2649618939", "매물Link")</f>
        <v/>
      </c>
      <c r="M2843" s="6">
        <f>HYPERLINK("https://map.naver.com/p/search/세종특별자치시 다정동 810", "지도Link")</f>
        <v/>
      </c>
      <c r="N2843" s="6">
        <f>HYPERLINK("http://www.eum.go.kr/web/ar/lu/luLandDet.jsp?pnu=3611010900108100000&amp;isNoScr=script&amp;mode=search", "토지이음")</f>
        <v/>
      </c>
      <c r="O2843" s="3" t="inlineStr">
        <is>
          <t>세종스타</t>
        </is>
      </c>
      <c r="P2843" s="3" t="n">
        <v>1</v>
      </c>
      <c r="Q2843" s="3" t="n">
        <v>314.8</v>
      </c>
      <c r="R2843" s="3" t="inlineStr">
        <is>
          <t>지정되지않음</t>
        </is>
      </c>
      <c r="S2843" s="3" t="inlineStr">
        <is>
          <t>주거나지</t>
        </is>
      </c>
      <c r="T2843" s="3" t="inlineStr">
        <is>
          <t>평지</t>
        </is>
      </c>
      <c r="U2843" s="3" t="inlineStr">
        <is>
          <t>세로장방</t>
        </is>
      </c>
      <c r="V2843" s="3" t="inlineStr">
        <is>
          <t>소로한면</t>
        </is>
      </c>
    </row>
    <row r="2844">
      <c r="A2844" s="3" t="inlineStr">
        <is>
          <t>세종특별자치시 다정동 818</t>
        </is>
      </c>
      <c r="B2844" s="3" t="inlineStr">
        <is>
          <t>제1종전용주거지역</t>
        </is>
      </c>
      <c r="C2844" s="3" t="inlineStr">
        <is>
          <t>대</t>
        </is>
      </c>
      <c r="D2844" s="3" t="inlineStr">
        <is>
          <t>대</t>
        </is>
      </c>
      <c r="E2844" s="3" t="inlineStr">
        <is>
          <t>매매</t>
        </is>
      </c>
      <c r="F2844" s="4" t="n">
        <v>83500</v>
      </c>
      <c r="G2844" s="4" t="n">
        <v>394</v>
      </c>
      <c r="H2844" s="4" t="n">
        <v>119</v>
      </c>
      <c r="I2844" s="5" t="n">
        <v>701.7</v>
      </c>
      <c r="J2844" s="4" t="n">
        <v>353.7</v>
      </c>
      <c r="K2844" s="3" t="inlineStr">
        <is>
          <t>사거리 코너, 입지 좋은토지, 조율가능</t>
        </is>
      </c>
      <c r="L2844" s="6">
        <f>HYPERLINK("https://fin.land.naver.com/articles/2647427873", "매물Link")</f>
        <v/>
      </c>
      <c r="M2844" s="6">
        <f>HYPERLINK("https://map.naver.com/p/search/세종특별자치시 다정동 818", "지도Link")</f>
        <v/>
      </c>
      <c r="N2844" s="6">
        <f>HYPERLINK("http://www.eum.go.kr/web/ar/lu/luLandDet.jsp?pnu=3611010900108180000&amp;isNoScr=script&amp;mode=search", "토지이음")</f>
        <v/>
      </c>
      <c r="O2844" s="3" t="inlineStr">
        <is>
          <t>세종무지개</t>
        </is>
      </c>
      <c r="P2844" s="3" t="n">
        <v>1</v>
      </c>
      <c r="Q2844" s="3" t="n">
        <v>394</v>
      </c>
      <c r="R2844" s="3" t="inlineStr">
        <is>
          <t>지정되지않음</t>
        </is>
      </c>
      <c r="S2844" s="3" t="inlineStr">
        <is>
          <t>주거나지</t>
        </is>
      </c>
      <c r="T2844" s="3" t="inlineStr">
        <is>
          <t>평지</t>
        </is>
      </c>
      <c r="U2844" s="3" t="inlineStr">
        <is>
          <t>정방형</t>
        </is>
      </c>
      <c r="V2844" s="3" t="inlineStr">
        <is>
          <t>중로각지</t>
        </is>
      </c>
    </row>
    <row r="2845">
      <c r="A2845" s="3" t="inlineStr">
        <is>
          <t>세종특별자치시 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nan</t>
        </is>
      </c>
      <c r="L2845" s="6">
        <f>HYPERLINK("https://fin.land.naver.com/articles/2647198457", "매물Link")</f>
        <v/>
      </c>
      <c r="M2845" s="6">
        <f>HYPERLINK("https://map.naver.com/p/search/세종특별자치시 다정동 823", "지도Link")</f>
        <v/>
      </c>
      <c r="N2845" s="6">
        <f>HYPERLINK("http://www.eum.go.kr/web/ar/lu/luLandDet.jsp?pnu=3611010900108230000&amp;isNoScr=script&amp;mode=search", "토지이음")</f>
        <v/>
      </c>
      <c r="O2845" s="3" t="inlineStr">
        <is>
          <t>디아트성심</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세종특별자치시 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총 95.5p, 조율가능, 다정동 단독주택지</t>
        </is>
      </c>
      <c r="L2846" s="6">
        <f>HYPERLINK("https://fin.land.naver.com/articles/2649022530", "매물Link")</f>
        <v/>
      </c>
      <c r="M2846" s="6">
        <f>HYPERLINK("https://map.naver.com/p/search/세종특별자치시 다정동 823", "지도Link")</f>
        <v/>
      </c>
      <c r="N2846" s="6">
        <f>HYPERLINK("http://www.eum.go.kr/web/ar/lu/luLandDet.jsp?pnu=3611010900108230000&amp;isNoScr=script&amp;mode=search", "토지이음")</f>
        <v/>
      </c>
      <c r="O2846" s="3" t="inlineStr">
        <is>
          <t>명진</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세종특별자치시 다정동 823</t>
        </is>
      </c>
      <c r="B2847" s="3" t="inlineStr">
        <is>
          <t>제1종전용주거지역</t>
        </is>
      </c>
      <c r="C2847" s="3" t="inlineStr">
        <is>
          <t>대</t>
        </is>
      </c>
      <c r="D2847" s="3" t="inlineStr">
        <is>
          <t>대</t>
        </is>
      </c>
      <c r="E2847" s="3" t="inlineStr">
        <is>
          <t>매매</t>
        </is>
      </c>
      <c r="F2847" s="4" t="n">
        <v>73000</v>
      </c>
      <c r="G2847" s="4" t="n">
        <v>315</v>
      </c>
      <c r="H2847" s="4" t="n">
        <v>95</v>
      </c>
      <c r="I2847" s="5" t="n">
        <v>768.4</v>
      </c>
      <c r="J2847" s="4" t="n">
        <v>341.2</v>
      </c>
      <c r="K2847" s="3" t="inlineStr">
        <is>
          <t>95.5p, 유치원 맞은편, 가운데 토지</t>
        </is>
      </c>
      <c r="L2847" s="6">
        <f>HYPERLINK("https://fin.land.naver.com/articles/2648833463", "매물Link")</f>
        <v/>
      </c>
      <c r="M2847" s="6">
        <f>HYPERLINK("https://map.naver.com/p/search/세종특별자치시 다정동 823", "지도Link")</f>
        <v/>
      </c>
      <c r="N2847" s="6">
        <f>HYPERLINK("http://www.eum.go.kr/web/ar/lu/luLandDet.jsp?pnu=3611010900108230000&amp;isNoScr=script&amp;mode=search", "토지이음")</f>
        <v/>
      </c>
      <c r="O2847" s="3" t="inlineStr">
        <is>
          <t>세종무지개</t>
        </is>
      </c>
      <c r="P2847" s="3" t="n">
        <v>1</v>
      </c>
      <c r="Q2847" s="3" t="n">
        <v>315</v>
      </c>
      <c r="R2847" s="3" t="inlineStr">
        <is>
          <t>지정되지않음</t>
        </is>
      </c>
      <c r="S2847" s="3" t="inlineStr">
        <is>
          <t>주거나지</t>
        </is>
      </c>
      <c r="T2847" s="3" t="inlineStr">
        <is>
          <t>평지</t>
        </is>
      </c>
      <c r="U2847" s="3" t="inlineStr">
        <is>
          <t>세로장방</t>
        </is>
      </c>
      <c r="V2847" s="3" t="inlineStr">
        <is>
          <t>중로한면</t>
        </is>
      </c>
    </row>
    <row r="2848">
      <c r="A2848" s="3" t="inlineStr">
        <is>
          <t>세종특별자치시 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새솔유치원인근, 가운데 토지</t>
        </is>
      </c>
      <c r="L2848" s="6">
        <f>HYPERLINK("https://fin.land.naver.com/articles/2649005944", "매물Link")</f>
        <v/>
      </c>
      <c r="M2848" s="6">
        <f>HYPERLINK("https://map.naver.com/p/search/세종특별자치시 다정동 842", "지도Link")</f>
        <v/>
      </c>
      <c r="N2848" s="6">
        <f>HYPERLINK("http://www.eum.go.kr/web/ar/lu/luLandDet.jsp?pnu=3611010900108420000&amp;isNoScr=script&amp;mode=search", "토지이음")</f>
        <v/>
      </c>
      <c r="O2848" s="3" t="inlineStr">
        <is>
          <t>명진</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세종특별자치시 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HYPERLINK("https://map.naver.com/p/search/세종특별자치시 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세종특별자치시 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유치원 인근 다정동 토지매매</t>
        </is>
      </c>
      <c r="L2850" s="6">
        <f>HYPERLINK("https://fin.land.naver.com/articles/2649571368", "매물Link")</f>
        <v/>
      </c>
      <c r="M2850" s="6">
        <f>HYPERLINK("https://map.naver.com/p/search/세종특별자치시 다정동 842", "지도Link")</f>
        <v/>
      </c>
      <c r="N2850" s="6">
        <f>HYPERLINK("http://www.eum.go.kr/web/ar/lu/luLandDet.jsp?pnu=3611010900108420000&amp;isNoScr=script&amp;mode=search", "토지이음")</f>
        <v/>
      </c>
      <c r="O2850" s="3" t="inlineStr">
        <is>
          <t>세종무지개</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세종특별자치시 다정동 842</t>
        </is>
      </c>
      <c r="B2851" s="3" t="inlineStr">
        <is>
          <t>제1종전용주거지역</t>
        </is>
      </c>
      <c r="C2851" s="3" t="inlineStr">
        <is>
          <t>대</t>
        </is>
      </c>
      <c r="D2851" s="3" t="inlineStr">
        <is>
          <t>대</t>
        </is>
      </c>
      <c r="E2851" s="3" t="inlineStr">
        <is>
          <t>매매</t>
        </is>
      </c>
      <c r="F2851" s="4" t="n">
        <v>58000</v>
      </c>
      <c r="G2851" s="4" t="n">
        <v>315</v>
      </c>
      <c r="H2851" s="4" t="n">
        <v>95</v>
      </c>
      <c r="I2851" s="5" t="n">
        <v>610.5</v>
      </c>
      <c r="J2851" s="4" t="n">
        <v>318.9</v>
      </c>
      <c r="K2851" s="3" t="inlineStr">
        <is>
          <t>nan</t>
        </is>
      </c>
      <c r="L2851" s="6">
        <f>HYPERLINK("https://fin.land.naver.com/articles/2647198512", "매물Link")</f>
        <v/>
      </c>
      <c r="M2851" s="6">
        <f>HYPERLINK("https://map.naver.com/p/search/세종특별자치시 다정동 842", "지도Link")</f>
        <v/>
      </c>
      <c r="N2851" s="6">
        <f>HYPERLINK("http://www.eum.go.kr/web/ar/lu/luLandDet.jsp?pnu=3611010900108420000&amp;isNoScr=script&amp;mode=search", "토지이음")</f>
        <v/>
      </c>
      <c r="O2851" s="3" t="inlineStr">
        <is>
          <t>디아트성심</t>
        </is>
      </c>
      <c r="P2851" s="3" t="n">
        <v>1</v>
      </c>
      <c r="Q2851" s="3" t="n">
        <v>315</v>
      </c>
      <c r="R2851" s="3" t="inlineStr">
        <is>
          <t>지정되지않음</t>
        </is>
      </c>
      <c r="S2851" s="3" t="inlineStr">
        <is>
          <t>주거나지</t>
        </is>
      </c>
      <c r="T2851" s="3" t="inlineStr">
        <is>
          <t>평지</t>
        </is>
      </c>
      <c r="U2851" s="3" t="inlineStr">
        <is>
          <t>세로장방</t>
        </is>
      </c>
      <c r="V2851" s="3" t="inlineStr">
        <is>
          <t>소로한면</t>
        </is>
      </c>
    </row>
    <row r="2852">
      <c r="A2852" s="3" t="inlineStr">
        <is>
          <t>세종특별자치시 다정동 852</t>
        </is>
      </c>
      <c r="B2852" s="3" t="inlineStr">
        <is>
          <t>제1종전용주거지역</t>
        </is>
      </c>
      <c r="C2852" s="3" t="inlineStr">
        <is>
          <t>대</t>
        </is>
      </c>
      <c r="D2852" s="3" t="inlineStr">
        <is>
          <t>대</t>
        </is>
      </c>
      <c r="E2852" s="3" t="inlineStr">
        <is>
          <t>매매</t>
        </is>
      </c>
      <c r="F2852" s="4" t="n">
        <v>48000</v>
      </c>
      <c r="G2852" s="4" t="n">
        <v>298</v>
      </c>
      <c r="H2852" s="4" t="n">
        <v>90</v>
      </c>
      <c r="I2852" s="5" t="n">
        <v>533.3</v>
      </c>
      <c r="J2852" s="4" t="n">
        <v>298.2</v>
      </c>
      <c r="K2852" s="3" t="inlineStr">
        <is>
          <t>nan</t>
        </is>
      </c>
      <c r="L2852" s="6">
        <f>HYPERLINK("https://fin.land.naver.com/articles/2649625468", "매물Link")</f>
        <v/>
      </c>
      <c r="M2852" s="6">
        <f>HYPERLINK("https://map.naver.com/p/search/세종특별자치시 다정동 852", "지도Link")</f>
        <v/>
      </c>
      <c r="N2852" s="6">
        <f>HYPERLINK("http://www.eum.go.kr/web/ar/lu/luLandDet.jsp?pnu=3611010900108520000&amp;isNoScr=script&amp;mode=search", "토지이음")</f>
        <v/>
      </c>
      <c r="O2852" s="3" t="inlineStr">
        <is>
          <t>세종리더스</t>
        </is>
      </c>
      <c r="P2852" s="3" t="n">
        <v>1</v>
      </c>
      <c r="Q2852" s="3" t="n">
        <v>293.7</v>
      </c>
      <c r="R2852" s="3" t="inlineStr">
        <is>
          <t>지정되지않음</t>
        </is>
      </c>
      <c r="S2852" s="3" t="inlineStr">
        <is>
          <t>주거나지</t>
        </is>
      </c>
      <c r="T2852" s="3" t="inlineStr">
        <is>
          <t>평지</t>
        </is>
      </c>
      <c r="U2852" s="3" t="inlineStr">
        <is>
          <t>세로장방</t>
        </is>
      </c>
      <c r="V2852" s="3" t="inlineStr">
        <is>
          <t>소로한면</t>
        </is>
      </c>
    </row>
    <row r="2853">
      <c r="A2853" s="3" t="inlineStr">
        <is>
          <t>세종특별자치시 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다정동 3면 도로 접한 1종전용주거 대지, 초급매, 코너각지</t>
        </is>
      </c>
      <c r="L2853" s="6">
        <f>HYPERLINK("https://fin.land.naver.com/articles/2647315489", "매물Link")</f>
        <v/>
      </c>
      <c r="M2853" s="6">
        <f>HYPERLINK("https://map.naver.com/p/search/세종특별자치시 다정동 885", "지도Link")</f>
        <v/>
      </c>
      <c r="N2853" s="6">
        <f>HYPERLINK("http://www.eum.go.kr/web/ar/lu/luLandDet.jsp?pnu=3611010900108850000&amp;isNoScr=script&amp;mode=search", "토지이음")</f>
        <v/>
      </c>
      <c r="O2853" s="3" t="inlineStr">
        <is>
          <t>스카이</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세종특별자치시 다정동 885</t>
        </is>
      </c>
      <c r="B2854" s="3" t="inlineStr">
        <is>
          <t>제1종전용주거지역</t>
        </is>
      </c>
      <c r="C2854" s="3" t="inlineStr">
        <is>
          <t>대</t>
        </is>
      </c>
      <c r="D2854" s="3" t="inlineStr">
        <is>
          <t>대</t>
        </is>
      </c>
      <c r="E2854" s="3" t="inlineStr">
        <is>
          <t>매매</t>
        </is>
      </c>
      <c r="F2854" s="4" t="n">
        <v>48000</v>
      </c>
      <c r="G2854" s="4" t="n">
        <v>397</v>
      </c>
      <c r="H2854" s="4" t="n">
        <v>120</v>
      </c>
      <c r="I2854" s="5" t="n">
        <v>400</v>
      </c>
      <c r="J2854" s="4" t="n">
        <v>353.7</v>
      </c>
      <c r="K2854" s="3" t="inlineStr">
        <is>
          <t>nan</t>
        </is>
      </c>
      <c r="L2854" s="6">
        <f>HYPERLINK("https://fin.land.naver.com/articles/2647198581", "매물Link")</f>
        <v/>
      </c>
      <c r="M2854" s="6">
        <f>HYPERLINK("https://map.naver.com/p/search/세종특별자치시 다정동 885", "지도Link")</f>
        <v/>
      </c>
      <c r="N2854" s="6">
        <f>HYPERLINK("http://www.eum.go.kr/web/ar/lu/luLandDet.jsp?pnu=3611010900108850000&amp;isNoScr=script&amp;mode=search", "토지이음")</f>
        <v/>
      </c>
      <c r="O2854" s="3" t="inlineStr">
        <is>
          <t>디아트성심</t>
        </is>
      </c>
      <c r="P2854" s="3" t="n">
        <v>2</v>
      </c>
      <c r="Q2854" s="3" t="n">
        <v>397</v>
      </c>
      <c r="R2854" s="3" t="inlineStr">
        <is>
          <t>지정되지않음</t>
        </is>
      </c>
      <c r="S2854" s="3" t="inlineStr">
        <is>
          <t>주거나지</t>
        </is>
      </c>
      <c r="T2854" s="3" t="inlineStr">
        <is>
          <t>평지</t>
        </is>
      </c>
      <c r="U2854" s="3" t="inlineStr">
        <is>
          <t>세로장방</t>
        </is>
      </c>
      <c r="V2854" s="3" t="inlineStr">
        <is>
          <t>중로각지</t>
        </is>
      </c>
    </row>
    <row r="2855">
      <c r="A2855" s="3" t="inlineStr">
        <is>
          <t>세종특별자치시 다정동 887</t>
        </is>
      </c>
      <c r="B2855" s="3" t="inlineStr">
        <is>
          <t>제1종전용주거지역</t>
        </is>
      </c>
      <c r="C2855" s="3" t="inlineStr">
        <is>
          <t>대</t>
        </is>
      </c>
      <c r="D2855" s="3" t="inlineStr">
        <is>
          <t>대</t>
        </is>
      </c>
      <c r="E2855" s="3" t="inlineStr">
        <is>
          <t>매매</t>
        </is>
      </c>
      <c r="F2855" s="4" t="n">
        <v>53000</v>
      </c>
      <c r="G2855" s="4" t="n">
        <v>374</v>
      </c>
      <c r="H2855" s="4" t="n">
        <v>113</v>
      </c>
      <c r="I2855" s="5" t="n">
        <v>469</v>
      </c>
      <c r="J2855" s="4" t="n">
        <v>353.7</v>
      </c>
      <c r="K2855" s="3" t="inlineStr">
        <is>
          <t>총 113.3p, 조율가능, 주유소인근, 다정동 단독주택지</t>
        </is>
      </c>
      <c r="L2855" s="6">
        <f>HYPERLINK("https://fin.land.naver.com/articles/2646690590", "매물Link")</f>
        <v/>
      </c>
      <c r="M2855" s="6">
        <f>HYPERLINK("https://map.naver.com/p/search/세종특별자치시 다정동 887", "지도Link")</f>
        <v/>
      </c>
      <c r="N2855" s="6">
        <f>HYPERLINK("http://www.eum.go.kr/web/ar/lu/luLandDet.jsp?pnu=3611010900108870000&amp;isNoScr=script&amp;mode=search", "토지이음")</f>
        <v/>
      </c>
      <c r="O2855" s="3" t="inlineStr">
        <is>
          <t>세종무지개</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세종특별자치시 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HYPERLINK("https://map.naver.com/p/search/세종특별자치시 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세종특별자치시 다정동 887</t>
        </is>
      </c>
      <c r="B2857" s="3" t="inlineStr">
        <is>
          <t>제1종전용주거지역</t>
        </is>
      </c>
      <c r="C2857" s="3" t="inlineStr">
        <is>
          <t>대</t>
        </is>
      </c>
      <c r="D2857" s="3" t="inlineStr">
        <is>
          <t>대</t>
        </is>
      </c>
      <c r="E2857" s="3" t="inlineStr">
        <is>
          <t>매매</t>
        </is>
      </c>
      <c r="F2857" s="4" t="n">
        <v>54000</v>
      </c>
      <c r="G2857" s="4" t="n">
        <v>374</v>
      </c>
      <c r="H2857" s="4" t="n">
        <v>113</v>
      </c>
      <c r="I2857" s="5" t="n">
        <v>477.9</v>
      </c>
      <c r="J2857" s="4" t="n">
        <v>353.7</v>
      </c>
      <c r="K2857" s="3" t="inlineStr">
        <is>
          <t>급매 다정동 전원주택토지임.</t>
        </is>
      </c>
      <c r="L2857" s="6">
        <f>HYPERLINK("https://fin.land.naver.com/articles/2647387576", "매물Link")</f>
        <v/>
      </c>
      <c r="M2857" s="6">
        <f>HYPERLINK("https://map.naver.com/p/search/세종특별자치시 다정동 887", "지도Link")</f>
        <v/>
      </c>
      <c r="N2857" s="6">
        <f>HYPERLINK("http://www.eum.go.kr/web/ar/lu/luLandDet.jsp?pnu=3611010900108870000&amp;isNoScr=script&amp;mode=search", "토지이음")</f>
        <v/>
      </c>
      <c r="O2857" s="3" t="inlineStr">
        <is>
          <t>태흥</t>
        </is>
      </c>
      <c r="P2857" s="3" t="n">
        <v>1</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세종특별자치시 다정동 887</t>
        </is>
      </c>
      <c r="B2858" s="3" t="inlineStr">
        <is>
          <t>제1종전용주거지역</t>
        </is>
      </c>
      <c r="C2858" s="3" t="inlineStr">
        <is>
          <t>대</t>
        </is>
      </c>
      <c r="D2858" s="3" t="inlineStr">
        <is>
          <t>대</t>
        </is>
      </c>
      <c r="E2858" s="3" t="inlineStr">
        <is>
          <t>매매</t>
        </is>
      </c>
      <c r="F2858" s="4" t="n">
        <v>59000</v>
      </c>
      <c r="G2858" s="4" t="n">
        <v>374</v>
      </c>
      <c r="H2858" s="4" t="n">
        <v>113</v>
      </c>
      <c r="I2858" s="5" t="n">
        <v>522.1</v>
      </c>
      <c r="J2858" s="4" t="n">
        <v>353.7</v>
      </c>
      <c r="K2858" s="3" t="inlineStr">
        <is>
          <t>급매매 단독택지입지최고 가격조정가능</t>
        </is>
      </c>
      <c r="L2858" s="6">
        <f>HYPERLINK("https://fin.land.naver.com/articles/2648996441", "매물Link")</f>
        <v/>
      </c>
      <c r="M2858" s="6">
        <f>HYPERLINK("https://map.naver.com/p/search/세종특별자치시 다정동 887", "지도Link")</f>
        <v/>
      </c>
      <c r="N2858" s="6">
        <f>HYPERLINK("http://www.eum.go.kr/web/ar/lu/luLandDet.jsp?pnu=3611010900108870000&amp;isNoScr=script&amp;mode=search", "토지이음")</f>
        <v/>
      </c>
      <c r="O2858" s="3" t="inlineStr">
        <is>
          <t>고운동리치세종</t>
        </is>
      </c>
      <c r="P2858" s="3" t="n">
        <v>2</v>
      </c>
      <c r="Q2858" s="3" t="n">
        <v>374</v>
      </c>
      <c r="R2858" s="3" t="inlineStr">
        <is>
          <t>지정되지않음</t>
        </is>
      </c>
      <c r="S2858" s="3" t="inlineStr">
        <is>
          <t>주거나지</t>
        </is>
      </c>
      <c r="T2858" s="3" t="inlineStr">
        <is>
          <t>평지</t>
        </is>
      </c>
      <c r="U2858" s="3" t="inlineStr">
        <is>
          <t>세로장방</t>
        </is>
      </c>
      <c r="V2858" s="3" t="inlineStr">
        <is>
          <t>중로각지</t>
        </is>
      </c>
    </row>
    <row r="2859">
      <c r="A2859" s="3" t="inlineStr">
        <is>
          <t>세종특별자치시 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다정동 코너 위치한 근생 토지매매, 조율가능, 입지 최고</t>
        </is>
      </c>
      <c r="L2859" s="6">
        <f>HYPERLINK("https://fin.land.naver.com/articles/2649608618", "매물Link")</f>
        <v/>
      </c>
      <c r="M2859" s="6">
        <f>HYPERLINK("https://map.naver.com/p/search/세종특별자치시 다정동 897", "지도Link")</f>
        <v/>
      </c>
      <c r="N2859" s="6">
        <f>HYPERLINK("http://www.eum.go.kr/web/ar/lu/luLandDet.jsp?pnu=3611010900108970000&amp;isNoScr=script&amp;mode=search", "토지이음")</f>
        <v/>
      </c>
      <c r="O2859" s="3" t="inlineStr">
        <is>
          <t>세종무지개</t>
        </is>
      </c>
      <c r="P2859" s="3" t="n">
        <v>1</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세종특별자치시 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HYPERLINK("https://map.naver.com/p/search/세종특별자치시 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세종특별자치시 다정동 897</t>
        </is>
      </c>
      <c r="B2861" s="3" t="inlineStr">
        <is>
          <t>제1종전용주거지역</t>
        </is>
      </c>
      <c r="C2861" s="3" t="inlineStr">
        <is>
          <t>대</t>
        </is>
      </c>
      <c r="D2861" s="3" t="inlineStr">
        <is>
          <t>대</t>
        </is>
      </c>
      <c r="E2861" s="3" t="inlineStr">
        <is>
          <t>매매</t>
        </is>
      </c>
      <c r="F2861" s="4" t="n">
        <v>194000</v>
      </c>
      <c r="G2861" s="4" t="n">
        <v>641</v>
      </c>
      <c r="H2861" s="4" t="n">
        <v>194</v>
      </c>
      <c r="I2861" s="5" t="n">
        <v>1000</v>
      </c>
      <c r="J2861" s="4" t="n">
        <v>763</v>
      </c>
      <c r="K2861" s="3" t="inlineStr">
        <is>
          <t>nan</t>
        </is>
      </c>
      <c r="L2861" s="6">
        <f>HYPERLINK("https://fin.land.naver.com/articles/2649398258", "매물Link")</f>
        <v/>
      </c>
      <c r="M2861" s="6">
        <f>HYPERLINK("https://map.naver.com/p/search/세종특별자치시 다정동 897", "지도Link")</f>
        <v/>
      </c>
      <c r="N2861" s="6">
        <f>HYPERLINK("http://www.eum.go.kr/web/ar/lu/luLandDet.jsp?pnu=3611010900108970000&amp;isNoScr=script&amp;mode=search", "토지이음")</f>
        <v/>
      </c>
      <c r="O2861" s="3" t="inlineStr">
        <is>
          <t>세종나라</t>
        </is>
      </c>
      <c r="P2861" s="3" t="n">
        <v>4</v>
      </c>
      <c r="Q2861" s="3" t="n">
        <v>641</v>
      </c>
      <c r="R2861" s="3" t="inlineStr">
        <is>
          <t>지정되지않음</t>
        </is>
      </c>
      <c r="S2861" s="3" t="inlineStr">
        <is>
          <t>상업나지</t>
        </is>
      </c>
      <c r="T2861" s="3" t="inlineStr">
        <is>
          <t>평지</t>
        </is>
      </c>
      <c r="U2861" s="3" t="inlineStr">
        <is>
          <t>정방형</t>
        </is>
      </c>
      <c r="V2861" s="3" t="inlineStr">
        <is>
          <t>중로각지</t>
        </is>
      </c>
    </row>
    <row r="2862">
      <c r="A2862" s="3" t="inlineStr">
        <is>
          <t>세종특별자치시 다정동 900</t>
        </is>
      </c>
      <c r="B2862" s="3" t="inlineStr">
        <is>
          <t>제1종전용주거지역</t>
        </is>
      </c>
      <c r="C2862" s="3" t="inlineStr">
        <is>
          <t>대</t>
        </is>
      </c>
      <c r="D2862" s="3" t="inlineStr">
        <is>
          <t>대</t>
        </is>
      </c>
      <c r="E2862" s="3" t="inlineStr">
        <is>
          <t>매매</t>
        </is>
      </c>
      <c r="F2862" s="4" t="n">
        <v>250000</v>
      </c>
      <c r="G2862" s="4" t="n">
        <v>594</v>
      </c>
      <c r="H2862" s="4" t="n">
        <v>180</v>
      </c>
      <c r="I2862" s="5" t="n">
        <v>1388.9</v>
      </c>
      <c r="J2862" s="4" t="n">
        <v>763</v>
      </c>
      <c r="K2862" s="3" t="inlineStr">
        <is>
          <t>대단지아파트 주변 근린생활시설용지,근생단독건물건축용지</t>
        </is>
      </c>
      <c r="L2862" s="6">
        <f>HYPERLINK("https://fin.land.naver.com/articles/2646127972", "매물Link")</f>
        <v/>
      </c>
      <c r="M2862" s="6">
        <f>HYPERLINK("https://map.naver.com/p/search/세종특별자치시 다정동 900", "지도Link")</f>
        <v/>
      </c>
      <c r="N2862" s="6">
        <f>HYPERLINK("http://www.eum.go.kr/web/ar/lu/luLandDet.jsp?pnu=3611010900109000000&amp;isNoScr=script&amp;mode=search", "토지이음")</f>
        <v/>
      </c>
      <c r="O2862" s="3" t="inlineStr">
        <is>
          <t>어반통</t>
        </is>
      </c>
      <c r="P2862" s="3" t="n">
        <v>1</v>
      </c>
      <c r="Q2862" s="3" t="n">
        <v>594</v>
      </c>
      <c r="R2862" s="3" t="inlineStr">
        <is>
          <t>지정되지않음</t>
        </is>
      </c>
      <c r="S2862" s="3" t="inlineStr">
        <is>
          <t>상업나지</t>
        </is>
      </c>
      <c r="T2862" s="3" t="inlineStr">
        <is>
          <t>평지</t>
        </is>
      </c>
      <c r="U2862" s="3" t="inlineStr">
        <is>
          <t>정방형</t>
        </is>
      </c>
      <c r="V2862" s="3" t="inlineStr">
        <is>
          <t>중로각지</t>
        </is>
      </c>
    </row>
    <row r="2863">
      <c r="A2863" s="3" t="inlineStr">
        <is>
          <t>세종특별자치시 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코너 입지한 근린생활용지 토지 매매, 위치 좋음</t>
        </is>
      </c>
      <c r="L2863" s="6">
        <f>HYPERLINK("https://fin.land.naver.com/articles/2644482916", "매물Link")</f>
        <v/>
      </c>
      <c r="M2863" s="6">
        <f>HYPERLINK("https://map.naver.com/p/search/세종특별자치시 다정동 902", "지도Link")</f>
        <v/>
      </c>
      <c r="N2863" s="6">
        <f>HYPERLINK("http://www.eum.go.kr/web/ar/lu/luLandDet.jsp?pnu=3611010900109020000&amp;isNoScr=script&amp;mode=search", "토지이음")</f>
        <v/>
      </c>
      <c r="O2863" s="3" t="inlineStr">
        <is>
          <t>세종무지개</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세종특별자치시 다정동 902</t>
        </is>
      </c>
      <c r="B2864" s="3" t="inlineStr">
        <is>
          <t>제1종전용주거지역</t>
        </is>
      </c>
      <c r="C2864" s="3" t="inlineStr">
        <is>
          <t>대</t>
        </is>
      </c>
      <c r="D2864" s="3" t="inlineStr">
        <is>
          <t>대</t>
        </is>
      </c>
      <c r="E2864" s="3" t="inlineStr">
        <is>
          <t>매매</t>
        </is>
      </c>
      <c r="F2864" s="4" t="n">
        <v>396000</v>
      </c>
      <c r="G2864" s="4" t="n">
        <v>654</v>
      </c>
      <c r="H2864" s="4" t="n">
        <v>198</v>
      </c>
      <c r="I2864" s="5" t="n">
        <v>2000</v>
      </c>
      <c r="J2864" s="4" t="n">
        <v>763</v>
      </c>
      <c r="K2864" s="3" t="inlineStr">
        <is>
          <t>근생용지,코너각지땅으로 대단지 아파트초인근임</t>
        </is>
      </c>
      <c r="L2864" s="6">
        <f>HYPERLINK("https://fin.land.naver.com/articles/2649789570", "매물Link")</f>
        <v/>
      </c>
      <c r="M2864" s="6">
        <f>HYPERLINK("https://map.naver.com/p/search/세종특별자치시 다정동 902", "지도Link")</f>
        <v/>
      </c>
      <c r="N2864" s="6">
        <f>HYPERLINK("http://www.eum.go.kr/web/ar/lu/luLandDet.jsp?pnu=3611010900109020000&amp;isNoScr=script&amp;mode=search", "토지이음")</f>
        <v/>
      </c>
      <c r="O2864" s="3" t="inlineStr">
        <is>
          <t>세종대명</t>
        </is>
      </c>
      <c r="P2864" s="3" t="n">
        <v>1</v>
      </c>
      <c r="Q2864" s="3" t="n">
        <v>654.6</v>
      </c>
      <c r="R2864" s="3" t="inlineStr">
        <is>
          <t>지정되지않음</t>
        </is>
      </c>
      <c r="S2864" s="3" t="inlineStr">
        <is>
          <t>상업나지</t>
        </is>
      </c>
      <c r="T2864" s="3" t="inlineStr">
        <is>
          <t>평지</t>
        </is>
      </c>
      <c r="U2864" s="3" t="inlineStr">
        <is>
          <t>정방형</t>
        </is>
      </c>
      <c r="V2864" s="3" t="inlineStr">
        <is>
          <t>중로각지</t>
        </is>
      </c>
    </row>
    <row r="2865">
      <c r="A2865" s="3" t="inlineStr">
        <is>
          <t>세종특별자치시 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주차장 부지</t>
        </is>
      </c>
      <c r="L2865" s="6">
        <f>HYPERLINK("https://fin.land.naver.com/articles/2646669906", "매물Link")</f>
        <v/>
      </c>
      <c r="M2865" s="6">
        <f>HYPERLINK("https://map.naver.com/p/search/세종특별자치시 대평동 696", "지도Link")</f>
        <v/>
      </c>
      <c r="N2865" s="6">
        <f>HYPERLINK("http://www.eum.go.kr/web/ar/lu/luLandDet.jsp?pnu=3611010400106960000&amp;isNoScr=script&amp;mode=search", "토지이음")</f>
        <v/>
      </c>
      <c r="O2865" s="3" t="inlineStr">
        <is>
          <t>프로</t>
        </is>
      </c>
      <c r="P2865" s="3" t="n">
        <v>1</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세종특별자치시 대평동 696</t>
        </is>
      </c>
      <c r="B2866" s="3" t="inlineStr">
        <is>
          <t>일반상업지역</t>
        </is>
      </c>
      <c r="C2866" s="3" t="inlineStr">
        <is>
          <t>주차장</t>
        </is>
      </c>
      <c r="D2866" s="3" t="inlineStr">
        <is>
          <t>주차장</t>
        </is>
      </c>
      <c r="E2866" s="3" t="inlineStr">
        <is>
          <t>매매</t>
        </is>
      </c>
      <c r="F2866" s="4" t="n">
        <v>500000</v>
      </c>
      <c r="G2866" s="4" t="n">
        <v>1757</v>
      </c>
      <c r="H2866" s="4" t="n">
        <v>531</v>
      </c>
      <c r="I2866" s="5" t="n">
        <v>941.6</v>
      </c>
      <c r="J2866" s="4" t="n">
        <v>896.9</v>
      </c>
      <c r="K2866" s="3" t="inlineStr">
        <is>
          <t>대평동 일반상업지 주차장부지, 근생 및 주차타워, 건축허가, 감정가 이하</t>
        </is>
      </c>
      <c r="L2866" s="6">
        <f>HYPERLINK("https://fin.land.naver.com/articles/2647660000", "매물Link")</f>
        <v/>
      </c>
      <c r="M2866" s="6">
        <f>HYPERLINK("https://map.naver.com/p/search/세종특별자치시 대평동 696", "지도Link")</f>
        <v/>
      </c>
      <c r="N2866" s="6">
        <f>HYPERLINK("http://www.eum.go.kr/web/ar/lu/luLandDet.jsp?pnu=3611010400106960000&amp;isNoScr=script&amp;mode=search", "토지이음")</f>
        <v/>
      </c>
      <c r="O2866" s="3" t="inlineStr">
        <is>
          <t>스카이</t>
        </is>
      </c>
      <c r="P2866" s="3" t="n">
        <v>2</v>
      </c>
      <c r="Q2866" s="3" t="n">
        <v>1757.8</v>
      </c>
      <c r="R2866" s="3" t="inlineStr">
        <is>
          <t>지정되지않음</t>
        </is>
      </c>
      <c r="S2866" s="3" t="inlineStr">
        <is>
          <t>주차장등</t>
        </is>
      </c>
      <c r="T2866" s="3" t="inlineStr">
        <is>
          <t>평지</t>
        </is>
      </c>
      <c r="U2866" s="3" t="inlineStr">
        <is>
          <t>사다리형</t>
        </is>
      </c>
      <c r="V2866" s="3" t="inlineStr">
        <is>
          <t>광대소각</t>
        </is>
      </c>
    </row>
    <row r="2867">
      <c r="A2867" s="3" t="inlineStr">
        <is>
          <t>세종특별자치시 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HYPERLINK("https://map.naver.com/p/search/세종특별자치시 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세종특별자치시 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조율가능 남향 코너각지 천조망가능 최상입지</t>
        </is>
      </c>
      <c r="L2868" s="6">
        <f>HYPERLINK("https://fin.land.naver.com/articles/2649296102", "매물Link")</f>
        <v/>
      </c>
      <c r="M2868" s="6">
        <f>HYPERLINK("https://map.naver.com/p/search/세종특별자치시 도담동 410", "지도Link")</f>
        <v/>
      </c>
      <c r="N2868" s="6">
        <f>HYPERLINK("http://www.eum.go.kr/web/ar/lu/luLandDet.jsp?pnu=3611011400104100000&amp;isNoScr=script&amp;mode=search", "토지이음")</f>
        <v/>
      </c>
      <c r="O2868" s="3" t="inlineStr">
        <is>
          <t>세종스타</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세종특별자치시 도담동 410</t>
        </is>
      </c>
      <c r="B2869" s="3" t="inlineStr">
        <is>
          <t>제1종전용주거지역</t>
        </is>
      </c>
      <c r="C2869" s="3" t="inlineStr">
        <is>
          <t>대</t>
        </is>
      </c>
      <c r="D2869" s="3" t="inlineStr">
        <is>
          <t>대</t>
        </is>
      </c>
      <c r="E2869" s="3" t="inlineStr">
        <is>
          <t>매매</t>
        </is>
      </c>
      <c r="F2869" s="4" t="n">
        <v>100000</v>
      </c>
      <c r="G2869" s="4" t="n">
        <v>330</v>
      </c>
      <c r="H2869" s="4" t="n">
        <v>100</v>
      </c>
      <c r="I2869" s="5" t="n">
        <v>1000</v>
      </c>
      <c r="J2869" s="4" t="n">
        <v>362</v>
      </c>
      <c r="K2869" s="3" t="inlineStr">
        <is>
          <t>총 100p, 주민휴게광장옆, 위치좋은 토지</t>
        </is>
      </c>
      <c r="L2869" s="6">
        <f>HYPERLINK("https://fin.land.naver.com/articles/2648902958", "매물Link")</f>
        <v/>
      </c>
      <c r="M2869" s="6">
        <f>HYPERLINK("https://map.naver.com/p/search/세종특별자치시 도담동 410", "지도Link")</f>
        <v/>
      </c>
      <c r="N2869" s="6">
        <f>HYPERLINK("http://www.eum.go.kr/web/ar/lu/luLandDet.jsp?pnu=3611011400104100000&amp;isNoScr=script&amp;mode=search", "토지이음")</f>
        <v/>
      </c>
      <c r="O2869" s="3" t="inlineStr">
        <is>
          <t>명진</t>
        </is>
      </c>
      <c r="P2869" s="3" t="n">
        <v>1</v>
      </c>
      <c r="Q2869" s="3" t="n">
        <v>330</v>
      </c>
      <c r="R2869" s="3" t="inlineStr">
        <is>
          <t>지정되지않음</t>
        </is>
      </c>
      <c r="S2869" s="3" t="inlineStr">
        <is>
          <t>주거나지</t>
        </is>
      </c>
      <c r="T2869" s="3" t="inlineStr">
        <is>
          <t>평지</t>
        </is>
      </c>
      <c r="U2869" s="3" t="inlineStr">
        <is>
          <t>정방형</t>
        </is>
      </c>
      <c r="V2869" s="3" t="inlineStr">
        <is>
          <t>소로한면</t>
        </is>
      </c>
    </row>
    <row r="2870">
      <c r="A2870" s="3" t="inlineStr">
        <is>
          <t>세종특별자치시 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말발굽지에 정남향 위치좋음, 조율가능</t>
        </is>
      </c>
      <c r="L2870" s="6">
        <f>HYPERLINK("https://fin.land.naver.com/articles/2650178437", "매물Link")</f>
        <v/>
      </c>
      <c r="M2870" s="6">
        <f>HYPERLINK("https://map.naver.com/p/search/세종특별자치시 도담동 419", "지도Link")</f>
        <v/>
      </c>
      <c r="N2870" s="6">
        <f>HYPERLINK("http://www.eum.go.kr/web/ar/lu/luLandDet.jsp?pnu=3611011400104190000&amp;isNoScr=script&amp;mode=search", "토지이음")</f>
        <v/>
      </c>
      <c r="O2870" s="3" t="inlineStr">
        <is>
          <t>연동스카이</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세종특별자치시 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말발굽 정남향 귀한 토지, 조율가능</t>
        </is>
      </c>
      <c r="L2871" s="6">
        <f>HYPERLINK("https://fin.land.naver.com/articles/2645666141", "매물Link")</f>
        <v/>
      </c>
      <c r="M2871" s="6">
        <f>HYPERLINK("https://map.naver.com/p/search/세종특별자치시 도담동 419", "지도Link")</f>
        <v/>
      </c>
      <c r="N2871" s="6">
        <f>HYPERLINK("http://www.eum.go.kr/web/ar/lu/luLandDet.jsp?pnu=3611011400104190000&amp;isNoScr=script&amp;mode=search", "토지이음")</f>
        <v/>
      </c>
      <c r="O2871" s="3" t="inlineStr">
        <is>
          <t>명진</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세종특별자치시 도담동 419</t>
        </is>
      </c>
      <c r="B2872" s="3" t="inlineStr">
        <is>
          <t>제1종전용주거지역</t>
        </is>
      </c>
      <c r="C2872" s="3" t="inlineStr">
        <is>
          <t>대</t>
        </is>
      </c>
      <c r="D2872" s="3" t="inlineStr">
        <is>
          <t>대</t>
        </is>
      </c>
      <c r="E2872" s="3" t="inlineStr">
        <is>
          <t>매매</t>
        </is>
      </c>
      <c r="F2872" s="4" t="n">
        <v>100000</v>
      </c>
      <c r="G2872" s="4" t="n">
        <v>327</v>
      </c>
      <c r="H2872" s="4" t="n">
        <v>99</v>
      </c>
      <c r="I2872" s="5" t="n">
        <v>1010.1</v>
      </c>
      <c r="J2872" s="4" t="n">
        <v>358.3</v>
      </c>
      <c r="K2872" s="3" t="inlineStr">
        <is>
          <t>99.1p, 도담동 말발굽 토지, 공원 보행로 접해 있음</t>
        </is>
      </c>
      <c r="L2872" s="6">
        <f>HYPERLINK("https://fin.land.naver.com/articles/2647428982", "매물Link")</f>
        <v/>
      </c>
      <c r="M2872" s="6">
        <f>HYPERLINK("https://map.naver.com/p/search/세종특별자치시 도담동 419", "지도Link")</f>
        <v/>
      </c>
      <c r="N2872" s="6">
        <f>HYPERLINK("http://www.eum.go.kr/web/ar/lu/luLandDet.jsp?pnu=3611011400104190000&amp;isNoScr=script&amp;mode=search", "토지이음")</f>
        <v/>
      </c>
      <c r="O2872" s="3" t="inlineStr">
        <is>
          <t>세종무지개</t>
        </is>
      </c>
      <c r="P2872" s="3" t="n">
        <v>1</v>
      </c>
      <c r="Q2872" s="3" t="n">
        <v>327</v>
      </c>
      <c r="R2872" s="3" t="inlineStr">
        <is>
          <t>지정되지않음</t>
        </is>
      </c>
      <c r="S2872" s="3" t="inlineStr">
        <is>
          <t>주거나지</t>
        </is>
      </c>
      <c r="T2872" s="3" t="inlineStr">
        <is>
          <t>평지</t>
        </is>
      </c>
      <c r="U2872" s="3" t="inlineStr">
        <is>
          <t>사다리형</t>
        </is>
      </c>
      <c r="V2872" s="3" t="inlineStr">
        <is>
          <t>소로한면</t>
        </is>
      </c>
    </row>
    <row r="2873">
      <c r="A2873" s="3" t="inlineStr">
        <is>
          <t>세종특별자치시 도담동 424</t>
        </is>
      </c>
      <c r="B2873" s="3" t="inlineStr">
        <is>
          <t>제1종전용주거지역</t>
        </is>
      </c>
      <c r="C2873" s="3" t="inlineStr">
        <is>
          <t>대</t>
        </is>
      </c>
      <c r="D2873" s="3" t="inlineStr">
        <is>
          <t>대</t>
        </is>
      </c>
      <c r="E2873" s="3" t="inlineStr">
        <is>
          <t>매매</t>
        </is>
      </c>
      <c r="F2873" s="4" t="n">
        <v>115000</v>
      </c>
      <c r="G2873" s="4" t="n">
        <v>305</v>
      </c>
      <c r="H2873" s="4" t="n">
        <v>92</v>
      </c>
      <c r="I2873" s="5" t="n">
        <v>1250</v>
      </c>
      <c r="J2873" s="4" t="n">
        <v>358.3</v>
      </c>
      <c r="K2873" s="3" t="inlineStr">
        <is>
          <t>조율가능 공원접함 최선호 반원호내 단독주택지</t>
        </is>
      </c>
      <c r="L2873" s="6">
        <f>HYPERLINK("https://fin.land.naver.com/articles/2645720791", "매물Link")</f>
        <v/>
      </c>
      <c r="M2873" s="6">
        <f>HYPERLINK("https://map.naver.com/p/search/세종특별자치시 도담동 424", "지도Link")</f>
        <v/>
      </c>
      <c r="N2873" s="6">
        <f>HYPERLINK("http://www.eum.go.kr/web/ar/lu/luLandDet.jsp?pnu=3611011400104240000&amp;isNoScr=script&amp;mode=search", "토지이음")</f>
        <v/>
      </c>
      <c r="O2873" s="3" t="inlineStr">
        <is>
          <t>세종스타</t>
        </is>
      </c>
      <c r="P2873" s="3" t="n">
        <v>1</v>
      </c>
      <c r="Q2873" s="3" t="n">
        <v>305</v>
      </c>
      <c r="R2873" s="3" t="inlineStr">
        <is>
          <t>지정되지않음</t>
        </is>
      </c>
      <c r="S2873" s="3" t="inlineStr">
        <is>
          <t>주거나지</t>
        </is>
      </c>
      <c r="T2873" s="3" t="inlineStr">
        <is>
          <t>평지</t>
        </is>
      </c>
      <c r="U2873" s="3" t="inlineStr">
        <is>
          <t>사다리형</t>
        </is>
      </c>
      <c r="V2873" s="3" t="inlineStr">
        <is>
          <t>소로한면</t>
        </is>
      </c>
    </row>
    <row r="2874">
      <c r="A2874" s="3" t="inlineStr">
        <is>
          <t>세종특별자치시 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총 92.1p, 말발굽 최고입지, 넓은 공원 인근</t>
        </is>
      </c>
      <c r="L2874" s="6">
        <f>HYPERLINK("https://fin.land.naver.com/articles/2647421924", "매물Link")</f>
        <v/>
      </c>
      <c r="M2874" s="6">
        <f>HYPERLINK("https://map.naver.com/p/search/세종특별자치시 도담동 425", "지도Link")</f>
        <v/>
      </c>
      <c r="N2874" s="6">
        <f>HYPERLINK("http://www.eum.go.kr/web/ar/lu/luLandDet.jsp?pnu=3611011400104250000&amp;isNoScr=script&amp;mode=search", "토지이음")</f>
        <v/>
      </c>
      <c r="O2874" s="3" t="inlineStr">
        <is>
          <t>명진</t>
        </is>
      </c>
      <c r="P2874" s="3" t="n">
        <v>1</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세종특별자치시 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HYPERLINK("https://map.naver.com/p/search/세종특별자치시 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세종특별자치시 도담동 425</t>
        </is>
      </c>
      <c r="B2876" s="3" t="inlineStr">
        <is>
          <t>제1종전용주거지역</t>
        </is>
      </c>
      <c r="C2876" s="3" t="inlineStr">
        <is>
          <t>대</t>
        </is>
      </c>
      <c r="D2876" s="3" t="inlineStr">
        <is>
          <t>대</t>
        </is>
      </c>
      <c r="E2876" s="3" t="inlineStr">
        <is>
          <t>매매</t>
        </is>
      </c>
      <c r="F2876" s="4" t="n">
        <v>110000</v>
      </c>
      <c r="G2876" s="4" t="n">
        <v>304</v>
      </c>
      <c r="H2876" s="4" t="n">
        <v>92</v>
      </c>
      <c r="I2876" s="5" t="n">
        <v>1195.7</v>
      </c>
      <c r="J2876" s="4" t="n">
        <v>358.3</v>
      </c>
      <c r="K2876" s="3" t="inlineStr">
        <is>
          <t>조율가능 도담동 말발굽내 반달모양 최선호위치</t>
        </is>
      </c>
      <c r="L2876" s="6">
        <f>HYPERLINK("https://fin.land.naver.com/articles/2649479522", "매물Link")</f>
        <v/>
      </c>
      <c r="M2876" s="6">
        <f>HYPERLINK("https://map.naver.com/p/search/세종특별자치시 도담동 425", "지도Link")</f>
        <v/>
      </c>
      <c r="N2876" s="6">
        <f>HYPERLINK("http://www.eum.go.kr/web/ar/lu/luLandDet.jsp?pnu=3611011400104250000&amp;isNoScr=script&amp;mode=search", "토지이음")</f>
        <v/>
      </c>
      <c r="O2876" s="3" t="inlineStr">
        <is>
          <t>세종스타</t>
        </is>
      </c>
      <c r="P2876" s="3" t="n">
        <v>3</v>
      </c>
      <c r="Q2876" s="3" t="n">
        <v>304</v>
      </c>
      <c r="R2876" s="3" t="inlineStr">
        <is>
          <t>지정되지않음</t>
        </is>
      </c>
      <c r="S2876" s="3" t="inlineStr">
        <is>
          <t>주거나지</t>
        </is>
      </c>
      <c r="T2876" s="3" t="inlineStr">
        <is>
          <t>평지</t>
        </is>
      </c>
      <c r="U2876" s="3" t="inlineStr">
        <is>
          <t>사다리형</t>
        </is>
      </c>
      <c r="V2876" s="3" t="inlineStr">
        <is>
          <t>소로한면</t>
        </is>
      </c>
    </row>
    <row r="2877">
      <c r="A2877" s="3" t="inlineStr">
        <is>
          <t>세종특별자치시 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HYPERLINK("https://map.naver.com/p/search/세종특별자치시 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세종특별자치시 도담동 455</t>
        </is>
      </c>
      <c r="B2878" s="3" t="inlineStr">
        <is>
          <t>제1종전용주거지역</t>
        </is>
      </c>
      <c r="C2878" s="3" t="inlineStr">
        <is>
          <t>대</t>
        </is>
      </c>
      <c r="D2878" s="3" t="inlineStr">
        <is>
          <t>대</t>
        </is>
      </c>
      <c r="E2878" s="3" t="inlineStr">
        <is>
          <t>매매</t>
        </is>
      </c>
      <c r="F2878" s="4" t="n">
        <v>93000</v>
      </c>
      <c r="G2878" s="4" t="n">
        <v>335</v>
      </c>
      <c r="H2878" s="4" t="n">
        <v>101</v>
      </c>
      <c r="I2878" s="5" t="n">
        <v>920.8</v>
      </c>
      <c r="J2878" s="4" t="n">
        <v>358.3</v>
      </c>
      <c r="K2878" s="3" t="inlineStr">
        <is>
          <t>조율가능한 말발굽 위치 좋은 토지 매매, 코너각지</t>
        </is>
      </c>
      <c r="L2878" s="6">
        <f>HYPERLINK("https://fin.land.naver.com/articles/2644186162", "매물Link")</f>
        <v/>
      </c>
      <c r="M2878" s="6">
        <f>HYPERLINK("https://map.naver.com/p/search/세종특별자치시 도담동 455", "지도Link")</f>
        <v/>
      </c>
      <c r="N2878" s="6">
        <f>HYPERLINK("http://www.eum.go.kr/web/ar/lu/luLandDet.jsp?pnu=3611011400104550000&amp;isNoScr=script&amp;mode=search", "토지이음")</f>
        <v/>
      </c>
      <c r="O2878" s="3" t="inlineStr">
        <is>
          <t>세종무지개</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세종특별자치시 도담동 455</t>
        </is>
      </c>
      <c r="B2879" s="3" t="inlineStr">
        <is>
          <t>제1종전용주거지역</t>
        </is>
      </c>
      <c r="C2879" s="3" t="inlineStr">
        <is>
          <t>대</t>
        </is>
      </c>
      <c r="D2879" s="3" t="inlineStr">
        <is>
          <t>대</t>
        </is>
      </c>
      <c r="E2879" s="3" t="inlineStr">
        <is>
          <t>매매</t>
        </is>
      </c>
      <c r="F2879" s="4" t="n">
        <v>93000</v>
      </c>
      <c r="G2879" s="4" t="n">
        <v>337</v>
      </c>
      <c r="H2879" s="4" t="n">
        <v>102</v>
      </c>
      <c r="I2879" s="5" t="n">
        <v>911.8</v>
      </c>
      <c r="J2879" s="4" t="n">
        <v>358.3</v>
      </c>
      <c r="K2879" s="3" t="inlineStr">
        <is>
          <t>조율가능 반원호내 좋은위치</t>
        </is>
      </c>
      <c r="L2879" s="6">
        <f>HYPERLINK("https://fin.land.naver.com/articles/2649296288", "매물Link")</f>
        <v/>
      </c>
      <c r="M2879" s="6">
        <f>HYPERLINK("https://map.naver.com/p/search/세종특별자치시 도담동 455", "지도Link")</f>
        <v/>
      </c>
      <c r="N2879" s="6">
        <f>HYPERLINK("http://www.eum.go.kr/web/ar/lu/luLandDet.jsp?pnu=3611011400104550000&amp;isNoScr=script&amp;mode=search", "토지이음")</f>
        <v/>
      </c>
      <c r="O2879" s="3" t="inlineStr">
        <is>
          <t>세종스타</t>
        </is>
      </c>
      <c r="P2879" s="3" t="n">
        <v>1</v>
      </c>
      <c r="Q2879" s="3" t="n">
        <v>337</v>
      </c>
      <c r="R2879" s="3" t="inlineStr">
        <is>
          <t>지정되지않음</t>
        </is>
      </c>
      <c r="S2879" s="3" t="inlineStr">
        <is>
          <t>주거나지</t>
        </is>
      </c>
      <c r="T2879" s="3" t="inlineStr">
        <is>
          <t>평지</t>
        </is>
      </c>
      <c r="U2879" s="3" t="inlineStr">
        <is>
          <t>사다리형</t>
        </is>
      </c>
      <c r="V2879" s="3" t="inlineStr">
        <is>
          <t>소로한면</t>
        </is>
      </c>
    </row>
    <row r="2880">
      <c r="A2880" s="3" t="inlineStr">
        <is>
          <t>세종특별자치시 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HYPERLINK("https://map.naver.com/p/search/세종특별자치시 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세종특별자치시 도담동 496</t>
        </is>
      </c>
      <c r="B2881" s="3" t="inlineStr">
        <is>
          <t>제1종전용주거지역</t>
        </is>
      </c>
      <c r="C2881" s="3" t="inlineStr">
        <is>
          <t>대</t>
        </is>
      </c>
      <c r="D2881" s="3" t="inlineStr">
        <is>
          <t>대</t>
        </is>
      </c>
      <c r="E2881" s="3" t="inlineStr">
        <is>
          <t>매매</t>
        </is>
      </c>
      <c r="F2881" s="4" t="n">
        <v>75000</v>
      </c>
      <c r="G2881" s="4" t="n">
        <v>319</v>
      </c>
      <c r="H2881" s="4" t="n">
        <v>96</v>
      </c>
      <c r="I2881" s="5" t="n">
        <v>781.2</v>
      </c>
      <c r="J2881" s="4" t="n">
        <v>366.9</v>
      </c>
      <c r="K2881" s="3" t="inlineStr">
        <is>
          <t>급매 양지초인근 땅모양좋음 공원용지 접함</t>
        </is>
      </c>
      <c r="L2881" s="6">
        <f>HYPERLINK("https://fin.land.naver.com/articles/2649479469", "매물Link")</f>
        <v/>
      </c>
      <c r="M2881" s="6">
        <f>HYPERLINK("https://map.naver.com/p/search/세종특별자치시 도담동 496", "지도Link")</f>
        <v/>
      </c>
      <c r="N2881" s="6">
        <f>HYPERLINK("http://www.eum.go.kr/web/ar/lu/luLandDet.jsp?pnu=3611011400104960000&amp;isNoScr=script&amp;mode=search", "토지이음")</f>
        <v/>
      </c>
      <c r="O2881" s="3" t="inlineStr">
        <is>
          <t>세종스타</t>
        </is>
      </c>
      <c r="P2881" s="3" t="n">
        <v>2</v>
      </c>
      <c r="Q2881" s="3" t="n">
        <v>319.9</v>
      </c>
      <c r="R2881" s="3" t="inlineStr">
        <is>
          <t>지정되지않음</t>
        </is>
      </c>
      <c r="S2881" s="3" t="inlineStr">
        <is>
          <t>주거나지</t>
        </is>
      </c>
      <c r="T2881" s="3" t="inlineStr">
        <is>
          <t>평지</t>
        </is>
      </c>
      <c r="U2881" s="3" t="inlineStr">
        <is>
          <t>정방형</t>
        </is>
      </c>
      <c r="V2881" s="3" t="inlineStr">
        <is>
          <t>소로한면</t>
        </is>
      </c>
    </row>
    <row r="2882">
      <c r="A2882" s="3" t="inlineStr">
        <is>
          <t>세종특별자치시 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HYPERLINK("https://map.naver.com/p/search/세종특별자치시 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세종특별자치시 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HYPERLINK("https://map.naver.com/p/search/세종특별자치시 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세종특별자치시 도담동 546</t>
        </is>
      </c>
      <c r="B2884" s="3" t="inlineStr">
        <is>
          <t>제1종전용주거지역</t>
        </is>
      </c>
      <c r="C2884" s="3" t="inlineStr">
        <is>
          <t>대</t>
        </is>
      </c>
      <c r="D2884" s="3" t="inlineStr">
        <is>
          <t>대</t>
        </is>
      </c>
      <c r="E2884" s="3" t="inlineStr">
        <is>
          <t>매매</t>
        </is>
      </c>
      <c r="F2884" s="4" t="n">
        <v>80000</v>
      </c>
      <c r="G2884" s="4" t="n">
        <v>329</v>
      </c>
      <c r="H2884" s="4" t="n">
        <v>100</v>
      </c>
      <c r="I2884" s="5" t="n">
        <v>800</v>
      </c>
      <c r="J2884" s="4" t="n">
        <v>366.9</v>
      </c>
      <c r="K2884" s="3" t="inlineStr">
        <is>
          <t>99.9p, 유.초등학교 인근, 사거리 코너자리</t>
        </is>
      </c>
      <c r="L2884" s="6">
        <f>HYPERLINK("https://fin.land.naver.com/articles/2648839579", "매물Link")</f>
        <v/>
      </c>
      <c r="M2884" s="6">
        <f>HYPERLINK("https://map.naver.com/p/search/세종특별자치시 도담동 546", "지도Link")</f>
        <v/>
      </c>
      <c r="N2884" s="6">
        <f>HYPERLINK("http://www.eum.go.kr/web/ar/lu/luLandDet.jsp?pnu=3611011400105460000&amp;isNoScr=script&amp;mode=search", "토지이음")</f>
        <v/>
      </c>
      <c r="O2884" s="3" t="inlineStr">
        <is>
          <t>세종무지개</t>
        </is>
      </c>
      <c r="P2884" s="3" t="n">
        <v>1</v>
      </c>
      <c r="Q2884" s="3" t="n">
        <v>329.8</v>
      </c>
      <c r="R2884" s="3" t="inlineStr">
        <is>
          <t>지정되지않음</t>
        </is>
      </c>
      <c r="S2884" s="3" t="inlineStr">
        <is>
          <t>주거나지</t>
        </is>
      </c>
      <c r="T2884" s="3" t="inlineStr">
        <is>
          <t>평지</t>
        </is>
      </c>
      <c r="U2884" s="3" t="inlineStr">
        <is>
          <t>세로장방</t>
        </is>
      </c>
      <c r="V2884" s="3" t="inlineStr">
        <is>
          <t>소로한면</t>
        </is>
      </c>
    </row>
    <row r="2885">
      <c r="A2885" s="3" t="inlineStr">
        <is>
          <t>세종특별자치시 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말발굽토지 급매, 사거리 코너 최고 입지, 총 116p</t>
        </is>
      </c>
      <c r="L2885" s="6">
        <f>HYPERLINK("https://fin.land.naver.com/articles/2644486584", "매물Link")</f>
        <v/>
      </c>
      <c r="M2885" s="6">
        <f>HYPERLINK("https://map.naver.com/p/search/세종특별자치시 도담동 561", "지도Link")</f>
        <v/>
      </c>
      <c r="N2885" s="6">
        <f>HYPERLINK("http://www.eum.go.kr/web/ar/lu/luLandDet.jsp?pnu=3611011400105610000&amp;isNoScr=script&amp;mode=search", "토지이음")</f>
        <v/>
      </c>
      <c r="O2885" s="3" t="inlineStr">
        <is>
          <t>세종무지개</t>
        </is>
      </c>
      <c r="P2885" s="3" t="n">
        <v>1</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세종특별자치시 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조율가능 코너각지 넓은면적 독립된 사이드위치</t>
        </is>
      </c>
      <c r="L2886" s="6">
        <f>HYPERLINK("https://fin.land.naver.com/articles/2648716346", "매물Link")</f>
        <v/>
      </c>
      <c r="M2886" s="6">
        <f>HYPERLINK("https://map.naver.com/p/search/세종특별자치시 도담동 561", "지도Link")</f>
        <v/>
      </c>
      <c r="N2886" s="6">
        <f>HYPERLINK("http://www.eum.go.kr/web/ar/lu/luLandDet.jsp?pnu=3611011400105610000&amp;isNoScr=script&amp;mode=search", "토지이음")</f>
        <v/>
      </c>
      <c r="O2886" s="3" t="inlineStr">
        <is>
          <t>세종스타</t>
        </is>
      </c>
      <c r="P2886" s="3" t="n">
        <v>3</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세종특별자치시 도담동 561</t>
        </is>
      </c>
      <c r="B2887" s="3" t="inlineStr">
        <is>
          <t>제1종전용주거지역</t>
        </is>
      </c>
      <c r="C2887" s="3" t="inlineStr">
        <is>
          <t>대</t>
        </is>
      </c>
      <c r="D2887" s="3" t="inlineStr">
        <is>
          <t>대</t>
        </is>
      </c>
      <c r="E2887" s="3" t="inlineStr">
        <is>
          <t>매매</t>
        </is>
      </c>
      <c r="F2887" s="4" t="n">
        <v>85000</v>
      </c>
      <c r="G2887" s="4" t="n">
        <v>382</v>
      </c>
      <c r="H2887" s="4" t="n">
        <v>116</v>
      </c>
      <c r="I2887" s="5" t="n">
        <v>732.8</v>
      </c>
      <c r="J2887" s="4" t="n">
        <v>363</v>
      </c>
      <c r="K2887" s="3" t="inlineStr">
        <is>
          <t>급매, 총 116p, 대형토지, 도담동 말발굽토지, 조율가능</t>
        </is>
      </c>
      <c r="L2887" s="6">
        <f>HYPERLINK("https://fin.land.naver.com/articles/2645496050", "매물Link")</f>
        <v/>
      </c>
      <c r="M2887" s="6">
        <f>HYPERLINK("https://map.naver.com/p/search/세종특별자치시 도담동 561", "지도Link")</f>
        <v/>
      </c>
      <c r="N2887" s="6">
        <f>HYPERLINK("http://www.eum.go.kr/web/ar/lu/luLandDet.jsp?pnu=3611011400105610000&amp;isNoScr=script&amp;mode=search", "토지이음")</f>
        <v/>
      </c>
      <c r="O2887" s="3" t="inlineStr">
        <is>
          <t>명진</t>
        </is>
      </c>
      <c r="P2887" s="3" t="n">
        <v>1</v>
      </c>
      <c r="Q2887" s="3" t="n">
        <v>382.9</v>
      </c>
      <c r="R2887" s="3" t="inlineStr">
        <is>
          <t>지정되지않음</t>
        </is>
      </c>
      <c r="S2887" s="3" t="inlineStr">
        <is>
          <t>주거나지</t>
        </is>
      </c>
      <c r="T2887" s="3" t="inlineStr">
        <is>
          <t>평지</t>
        </is>
      </c>
      <c r="U2887" s="3" t="inlineStr">
        <is>
          <t>사다리형</t>
        </is>
      </c>
      <c r="V2887" s="3" t="inlineStr">
        <is>
          <t>소로한면</t>
        </is>
      </c>
    </row>
    <row r="2888">
      <c r="A2888" s="3" t="inlineStr">
        <is>
          <t>세종특별자치시 도담동 562</t>
        </is>
      </c>
      <c r="B2888" s="3" t="inlineStr">
        <is>
          <t>제1종전용주거지역</t>
        </is>
      </c>
      <c r="C2888" s="3" t="inlineStr">
        <is>
          <t>대</t>
        </is>
      </c>
      <c r="D2888" s="3" t="inlineStr">
        <is>
          <t>대</t>
        </is>
      </c>
      <c r="E2888" s="3" t="inlineStr">
        <is>
          <t>매매</t>
        </is>
      </c>
      <c r="F2888" s="4" t="n">
        <v>110000</v>
      </c>
      <c r="G2888" s="4" t="n">
        <v>329</v>
      </c>
      <c r="H2888" s="4" t="n">
        <v>100</v>
      </c>
      <c r="I2888" s="5" t="n">
        <v>1100</v>
      </c>
      <c r="J2888" s="4" t="n">
        <v>366.9</v>
      </c>
      <c r="K2888" s="3" t="inlineStr">
        <is>
          <t>명성공인, 도담 말발굽자리 위치 좋은 명당 추천 매물</t>
        </is>
      </c>
      <c r="L2888" s="6">
        <f>HYPERLINK("https://fin.land.naver.com/articles/2648974784", "매물Link")</f>
        <v/>
      </c>
      <c r="M2888" s="6">
        <f>HYPERLINK("https://map.naver.com/p/search/세종특별자치시 도담동 562", "지도Link")</f>
        <v/>
      </c>
      <c r="N2888" s="6">
        <f>HYPERLINK("http://www.eum.go.kr/web/ar/lu/luLandDet.jsp?pnu=3611011400105620000&amp;isNoScr=script&amp;mode=search", "토지이음")</f>
        <v/>
      </c>
      <c r="O2888" s="3" t="inlineStr">
        <is>
          <t>명성</t>
        </is>
      </c>
      <c r="P2888" s="3" t="n">
        <v>2</v>
      </c>
      <c r="Q2888" s="3" t="n">
        <v>329.8</v>
      </c>
      <c r="R2888" s="3" t="inlineStr">
        <is>
          <t>지정되지않음</t>
        </is>
      </c>
      <c r="S2888" s="3" t="inlineStr">
        <is>
          <t>주거나지</t>
        </is>
      </c>
      <c r="T2888" s="3" t="inlineStr">
        <is>
          <t>평지</t>
        </is>
      </c>
      <c r="U2888" s="3" t="inlineStr">
        <is>
          <t>세로장방</t>
        </is>
      </c>
      <c r="V2888" s="3" t="inlineStr">
        <is>
          <t>소로한면</t>
        </is>
      </c>
    </row>
    <row r="2889">
      <c r="A2889" s="3" t="inlineStr">
        <is>
          <t>세종특별자치시 도담동 566</t>
        </is>
      </c>
      <c r="B2889" s="3" t="inlineStr">
        <is>
          <t>제1종전용주거지역</t>
        </is>
      </c>
      <c r="C2889" s="3" t="inlineStr">
        <is>
          <t>대</t>
        </is>
      </c>
      <c r="D2889" s="3" t="inlineStr">
        <is>
          <t>대</t>
        </is>
      </c>
      <c r="E2889" s="3" t="inlineStr">
        <is>
          <t>매매</t>
        </is>
      </c>
      <c r="F2889" s="4" t="n">
        <v>85000</v>
      </c>
      <c r="G2889" s="4" t="n">
        <v>316</v>
      </c>
      <c r="H2889" s="4" t="n">
        <v>96</v>
      </c>
      <c r="I2889" s="5" t="n">
        <v>885.4</v>
      </c>
      <c r="J2889" s="4" t="n">
        <v>366.9</v>
      </c>
      <c r="K2889" s="3" t="inlineStr">
        <is>
          <t>양지초,양지유치원 가깝고 brt 도로 가까운 위치좋은 말발굽택지</t>
        </is>
      </c>
      <c r="L2889" s="6">
        <f>HYPERLINK("https://fin.land.naver.com/articles/2648273972", "매물Link")</f>
        <v/>
      </c>
      <c r="M2889" s="6">
        <f>HYPERLINK("https://map.naver.com/p/search/세종특별자치시 도담동 566", "지도Link")</f>
        <v/>
      </c>
      <c r="N2889" s="6">
        <f>HYPERLINK("http://www.eum.go.kr/web/ar/lu/luLandDet.jsp?pnu=3611011400105660000&amp;isNoScr=script&amp;mode=search", "토지이음")</f>
        <v/>
      </c>
      <c r="O2889" s="3" t="inlineStr">
        <is>
          <t>마마</t>
        </is>
      </c>
      <c r="P2889" s="3" t="n">
        <v>1</v>
      </c>
      <c r="Q2889" s="3" t="n">
        <v>316</v>
      </c>
      <c r="R2889" s="3" t="inlineStr">
        <is>
          <t>지정되지않음</t>
        </is>
      </c>
      <c r="S2889" s="3" t="inlineStr">
        <is>
          <t>주거나지</t>
        </is>
      </c>
      <c r="T2889" s="3" t="inlineStr">
        <is>
          <t>평지</t>
        </is>
      </c>
      <c r="U2889" s="3" t="inlineStr">
        <is>
          <t>세로장방</t>
        </is>
      </c>
      <c r="V2889" s="3" t="inlineStr">
        <is>
          <t>소로한면</t>
        </is>
      </c>
    </row>
    <row r="2890">
      <c r="A2890" s="3" t="inlineStr">
        <is>
          <t>세종특별자치시 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nan</t>
        </is>
      </c>
      <c r="L2890" s="6">
        <f>HYPERLINK("https://fin.land.naver.com/articles/2647645491", "매물Link")</f>
        <v/>
      </c>
      <c r="M2890" s="6">
        <f>HYPERLINK("https://map.naver.com/p/search/세종특별자치시 도담동 580", "지도Link")</f>
        <v/>
      </c>
      <c r="N2890" s="6">
        <f>HYPERLINK("http://www.eum.go.kr/web/ar/lu/luLandDet.jsp?pnu=3611011400105800000&amp;isNoScr=script&amp;mode=search", "토지이음")</f>
        <v/>
      </c>
      <c r="O2890" s="3" t="inlineStr">
        <is>
          <t>해밀세종신도시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세종특별자치시 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HYPERLINK("https://map.naver.com/p/search/세종특별자치시 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세종특별자치시 도담동 580</t>
        </is>
      </c>
      <c r="B2892" s="3" t="inlineStr">
        <is>
          <t>제1종전용주거지역</t>
        </is>
      </c>
      <c r="C2892" s="3" t="inlineStr">
        <is>
          <t>대</t>
        </is>
      </c>
      <c r="D2892" s="3" t="inlineStr">
        <is>
          <t>대</t>
        </is>
      </c>
      <c r="E2892" s="3" t="inlineStr">
        <is>
          <t>매매</t>
        </is>
      </c>
      <c r="F2892" s="4" t="n">
        <v>263000</v>
      </c>
      <c r="G2892" s="4" t="n">
        <v>500</v>
      </c>
      <c r="H2892" s="4" t="n">
        <v>151</v>
      </c>
      <c r="I2892" s="5" t="n">
        <v>1741.7</v>
      </c>
      <c r="J2892" s="4" t="n">
        <v>735.9</v>
      </c>
      <c r="K2892" s="3" t="inlineStr">
        <is>
          <t>도담동 근린생활용지 토지매매, 사거리 코너입지</t>
        </is>
      </c>
      <c r="L2892" s="6">
        <f>HYPERLINK("https://fin.land.naver.com/articles/2649607332", "매물Link")</f>
        <v/>
      </c>
      <c r="M2892" s="6">
        <f>HYPERLINK("https://map.naver.com/p/search/세종특별자치시 도담동 580", "지도Link")</f>
        <v/>
      </c>
      <c r="N2892" s="6">
        <f>HYPERLINK("http://www.eum.go.kr/web/ar/lu/luLandDet.jsp?pnu=3611011400105800000&amp;isNoScr=script&amp;mode=search", "토지이음")</f>
        <v/>
      </c>
      <c r="O2892" s="3" t="inlineStr">
        <is>
          <t>세종무지개</t>
        </is>
      </c>
      <c r="P2892" s="3" t="n">
        <v>1</v>
      </c>
      <c r="Q2892" s="3" t="n">
        <v>500.6</v>
      </c>
      <c r="R2892" s="3" t="inlineStr">
        <is>
          <t>지정되지않음</t>
        </is>
      </c>
      <c r="S2892" s="3" t="inlineStr">
        <is>
          <t>상업용</t>
        </is>
      </c>
      <c r="T2892" s="3" t="inlineStr">
        <is>
          <t>평지</t>
        </is>
      </c>
      <c r="U2892" s="3" t="inlineStr">
        <is>
          <t>정방형</t>
        </is>
      </c>
      <c r="V2892" s="3" t="inlineStr">
        <is>
          <t>중로각지</t>
        </is>
      </c>
    </row>
    <row r="2893">
      <c r="A2893" s="3" t="inlineStr">
        <is>
          <t>세종특별자치시 도담동 588</t>
        </is>
      </c>
      <c r="B2893" s="3" t="inlineStr">
        <is>
          <t>제1종전용주거지역</t>
        </is>
      </c>
      <c r="C2893" s="3" t="inlineStr">
        <is>
          <t>대</t>
        </is>
      </c>
      <c r="D2893" s="3" t="inlineStr">
        <is>
          <t>대</t>
        </is>
      </c>
      <c r="E2893" s="3" t="inlineStr">
        <is>
          <t>매매</t>
        </is>
      </c>
      <c r="F2893" s="4" t="n">
        <v>85000</v>
      </c>
      <c r="G2893" s="4" t="n">
        <v>348</v>
      </c>
      <c r="H2893" s="4" t="n">
        <v>105</v>
      </c>
      <c r="I2893" s="5" t="n">
        <v>809.5</v>
      </c>
      <c r="J2893" s="4" t="n">
        <v>433.7</v>
      </c>
      <c r="K2893" s="3" t="inlineStr">
        <is>
          <t>도로에 접해 있으며, 위치좋은 단독주택자리, 충남대병원인근</t>
        </is>
      </c>
      <c r="L2893" s="6">
        <f>HYPERLINK("https://fin.land.naver.com/articles/2647116681", "매물Link")</f>
        <v/>
      </c>
      <c r="M2893" s="6">
        <f>HYPERLINK("https://map.naver.com/p/search/세종특별자치시 도담동 588", "지도Link")</f>
        <v/>
      </c>
      <c r="N2893" s="6">
        <f>HYPERLINK("http://www.eum.go.kr/web/ar/lu/luLandDet.jsp?pnu=3611011400105880000&amp;isNoScr=script&amp;mode=search", "토지이음")</f>
        <v/>
      </c>
      <c r="O2893" s="3" t="inlineStr">
        <is>
          <t>사이다</t>
        </is>
      </c>
      <c r="P2893" s="3" t="n">
        <v>1</v>
      </c>
      <c r="Q2893" s="3" t="n">
        <v>348</v>
      </c>
      <c r="R2893" s="3" t="inlineStr">
        <is>
          <t>지정되지않음</t>
        </is>
      </c>
      <c r="S2893" s="3" t="inlineStr">
        <is>
          <t>주거나지</t>
        </is>
      </c>
      <c r="T2893" s="3" t="inlineStr">
        <is>
          <t>평지</t>
        </is>
      </c>
      <c r="U2893" s="3" t="inlineStr">
        <is>
          <t>정방형</t>
        </is>
      </c>
      <c r="V2893" s="3" t="inlineStr">
        <is>
          <t>소로한면</t>
        </is>
      </c>
    </row>
    <row r="2894">
      <c r="A2894" s="3" t="inlineStr">
        <is>
          <t>세종특별자치시 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급매, 도담동 위치좋은 주택지, 충대병원 , BRT정류장 인접, 가격조율</t>
        </is>
      </c>
      <c r="L2894" s="6">
        <f>HYPERLINK("https://fin.land.naver.com/articles/2647176392", "매물Link")</f>
        <v/>
      </c>
      <c r="M2894" s="6">
        <f>HYPERLINK("https://map.naver.com/p/search/세종특별자치시 도담동 620", "지도Link")</f>
        <v/>
      </c>
      <c r="N2894" s="6">
        <f>HYPERLINK("http://www.eum.go.kr/web/ar/lu/luLandDet.jsp?pnu=3611011400106200000&amp;isNoScr=script&amp;mode=search", "토지이음")</f>
        <v/>
      </c>
      <c r="O2894" s="3" t="inlineStr">
        <is>
          <t>OK세종</t>
        </is>
      </c>
      <c r="P2894" s="3" t="n">
        <v>2</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세종특별자치시 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아파트 단지 옆, 삼거리 코너</t>
        </is>
      </c>
      <c r="L2895" s="6">
        <f>HYPERLINK("https://fin.land.naver.com/articles/2646696077", "매물Link")</f>
        <v/>
      </c>
      <c r="M2895" s="6">
        <f>HYPERLINK("https://map.naver.com/p/search/세종특별자치시 도담동 620", "지도Link")</f>
        <v/>
      </c>
      <c r="N2895" s="6">
        <f>HYPERLINK("http://www.eum.go.kr/web/ar/lu/luLandDet.jsp?pnu=3611011400106200000&amp;isNoScr=script&amp;mode=search", "토지이음")</f>
        <v/>
      </c>
      <c r="O2895" s="3" t="inlineStr">
        <is>
          <t>세종무지개</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세종특별자치시 도담동 620</t>
        </is>
      </c>
      <c r="B2896" s="3" t="inlineStr">
        <is>
          <t>제1종전용주거지역</t>
        </is>
      </c>
      <c r="C2896" s="3" t="inlineStr">
        <is>
          <t>대</t>
        </is>
      </c>
      <c r="D2896" s="3" t="inlineStr">
        <is>
          <t>대</t>
        </is>
      </c>
      <c r="E2896" s="3" t="inlineStr">
        <is>
          <t>매매</t>
        </is>
      </c>
      <c r="F2896" s="4" t="n">
        <v>85000</v>
      </c>
      <c r="G2896" s="4" t="n">
        <v>326</v>
      </c>
      <c r="H2896" s="4" t="n">
        <v>99</v>
      </c>
      <c r="I2896" s="5" t="n">
        <v>858.6</v>
      </c>
      <c r="J2896" s="4" t="n">
        <v>453.2</v>
      </c>
      <c r="K2896" s="3" t="inlineStr">
        <is>
          <t>총 98.9p, 도담동 위치좋은 코너자리 토지</t>
        </is>
      </c>
      <c r="L2896" s="6">
        <f>HYPERLINK("https://fin.land.naver.com/articles/2649012828", "매물Link")</f>
        <v/>
      </c>
      <c r="M2896" s="6">
        <f>HYPERLINK("https://map.naver.com/p/search/세종특별자치시 도담동 620", "지도Link")</f>
        <v/>
      </c>
      <c r="N2896" s="6">
        <f>HYPERLINK("http://www.eum.go.kr/web/ar/lu/luLandDet.jsp?pnu=3611011400106200000&amp;isNoScr=script&amp;mode=search", "토지이음")</f>
        <v/>
      </c>
      <c r="O2896" s="3" t="inlineStr">
        <is>
          <t>명진</t>
        </is>
      </c>
      <c r="P2896" s="3" t="n">
        <v>1</v>
      </c>
      <c r="Q2896" s="3" t="n">
        <v>326.5</v>
      </c>
      <c r="R2896" s="3" t="inlineStr">
        <is>
          <t>지정되지않음</t>
        </is>
      </c>
      <c r="S2896" s="3" t="inlineStr">
        <is>
          <t>주거나지</t>
        </is>
      </c>
      <c r="T2896" s="3" t="inlineStr">
        <is>
          <t>평지</t>
        </is>
      </c>
      <c r="U2896" s="3" t="inlineStr">
        <is>
          <t>정방형</t>
        </is>
      </c>
      <c r="V2896" s="3" t="inlineStr">
        <is>
          <t>소로각지</t>
        </is>
      </c>
    </row>
    <row r="2897">
      <c r="A2897" s="3" t="inlineStr">
        <is>
          <t>세종특별자치시 도담동 693</t>
        </is>
      </c>
      <c r="B2897" s="3" t="inlineStr">
        <is>
          <t>제1종전용주거지역</t>
        </is>
      </c>
      <c r="C2897" s="3" t="inlineStr">
        <is>
          <t>대</t>
        </is>
      </c>
      <c r="D2897" s="3" t="inlineStr">
        <is>
          <t>대</t>
        </is>
      </c>
      <c r="E2897" s="3" t="inlineStr">
        <is>
          <t>매매</t>
        </is>
      </c>
      <c r="F2897" s="4" t="n">
        <v>90000</v>
      </c>
      <c r="G2897" s="4" t="n">
        <v>319</v>
      </c>
      <c r="H2897" s="4" t="n">
        <v>96</v>
      </c>
      <c r="I2897" s="5" t="n">
        <v>937.5</v>
      </c>
      <c r="J2897" s="4" t="n">
        <v>382.1</v>
      </c>
      <c r="K2897" s="3" t="inlineStr">
        <is>
          <t>위치최상 정남향 늘봄초앞 남북트인곳</t>
        </is>
      </c>
      <c r="L2897" s="6">
        <f>HYPERLINK("https://fin.land.naver.com/articles/2648041586", "매물Link")</f>
        <v/>
      </c>
      <c r="M2897" s="6">
        <f>HYPERLINK("https://map.naver.com/p/search/세종특별자치시 도담동 693", "지도Link")</f>
        <v/>
      </c>
      <c r="N2897" s="6">
        <f>HYPERLINK("http://www.eum.go.kr/web/ar/lu/luLandDet.jsp?pnu=3611011400106930000&amp;isNoScr=script&amp;mode=search", "토지이음")</f>
        <v/>
      </c>
      <c r="O2897" s="3" t="inlineStr">
        <is>
          <t>세종스타</t>
        </is>
      </c>
      <c r="P2897" s="3" t="n">
        <v>1</v>
      </c>
      <c r="Q2897" s="3" t="n">
        <v>319.6</v>
      </c>
      <c r="R2897" s="3" t="inlineStr">
        <is>
          <t>지정되지않음</t>
        </is>
      </c>
      <c r="S2897" s="3" t="inlineStr">
        <is>
          <t>주거나지</t>
        </is>
      </c>
      <c r="T2897" s="3" t="inlineStr">
        <is>
          <t>평지</t>
        </is>
      </c>
      <c r="U2897" s="3" t="inlineStr">
        <is>
          <t>정방형</t>
        </is>
      </c>
      <c r="V2897" s="3" t="inlineStr">
        <is>
          <t>소로한면</t>
        </is>
      </c>
    </row>
    <row r="2898">
      <c r="A2898" s="3" t="inlineStr">
        <is>
          <t>세종특별자치시 도담동 705</t>
        </is>
      </c>
      <c r="B2898" s="3" t="inlineStr">
        <is>
          <t>제1종전용주거지역</t>
        </is>
      </c>
      <c r="C2898" s="3" t="inlineStr">
        <is>
          <t>대</t>
        </is>
      </c>
      <c r="D2898" s="3" t="inlineStr">
        <is>
          <t>대</t>
        </is>
      </c>
      <c r="E2898" s="3" t="inlineStr">
        <is>
          <t>매매</t>
        </is>
      </c>
      <c r="F2898" s="4" t="n">
        <v>84000</v>
      </c>
      <c r="G2898" s="4" t="n">
        <v>276</v>
      </c>
      <c r="H2898" s="4" t="n">
        <v>83</v>
      </c>
      <c r="I2898" s="5" t="n">
        <v>1012</v>
      </c>
      <c r="J2898" s="4" t="n">
        <v>382.1</v>
      </c>
      <c r="K2898" s="3" t="inlineStr">
        <is>
          <t>조율가능 남향 늘봄초앞 BRT도보가능</t>
        </is>
      </c>
      <c r="L2898" s="6">
        <f>HYPERLINK("https://fin.land.naver.com/articles/2646994031", "매물Link")</f>
        <v/>
      </c>
      <c r="M2898" s="6">
        <f>HYPERLINK("https://map.naver.com/p/search/세종특별자치시 도담동 705", "지도Link")</f>
        <v/>
      </c>
      <c r="N2898" s="6">
        <f>HYPERLINK("http://www.eum.go.kr/web/ar/lu/luLandDet.jsp?pnu=3611011400107050000&amp;isNoScr=script&amp;mode=search", "토지이음")</f>
        <v/>
      </c>
      <c r="O2898" s="3" t="inlineStr">
        <is>
          <t>세종스타</t>
        </is>
      </c>
      <c r="P2898" s="3" t="n">
        <v>1</v>
      </c>
      <c r="Q2898" s="3" t="n">
        <v>276.9</v>
      </c>
      <c r="R2898" s="3" t="inlineStr">
        <is>
          <t>지정되지않음</t>
        </is>
      </c>
      <c r="S2898" s="3" t="inlineStr">
        <is>
          <t>주거나지</t>
        </is>
      </c>
      <c r="T2898" s="3" t="inlineStr">
        <is>
          <t>평지</t>
        </is>
      </c>
      <c r="U2898" s="3" t="inlineStr">
        <is>
          <t>정방형</t>
        </is>
      </c>
      <c r="V2898" s="3" t="inlineStr">
        <is>
          <t>소로한면</t>
        </is>
      </c>
    </row>
    <row r="2899">
      <c r="A2899" s="3" t="inlineStr">
        <is>
          <t>세종특별자치시 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산조망 코너각지 정남향 입지최상</t>
        </is>
      </c>
      <c r="L2899" s="6">
        <f>HYPERLINK("https://fin.land.naver.com/articles/2649479678", "매물Link")</f>
        <v/>
      </c>
      <c r="M2899" s="6">
        <f>HYPERLINK("https://map.naver.com/p/search/세종특별자치시 도담동 712", "지도Link")</f>
        <v/>
      </c>
      <c r="N2899" s="6">
        <f>HYPERLINK("http://www.eum.go.kr/web/ar/lu/luLandDet.jsp?pnu=3611011400107120000&amp;isNoScr=script&amp;mode=search", "토지이음")</f>
        <v/>
      </c>
      <c r="O2899" s="3" t="inlineStr">
        <is>
          <t>세종스타</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세종특별자치시 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HYPERLINK("https://map.naver.com/p/search/세종특별자치시 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세종특별자치시 도담동 712</t>
        </is>
      </c>
      <c r="B2901" s="3" t="inlineStr">
        <is>
          <t>제1종전용주거지역</t>
        </is>
      </c>
      <c r="C2901" s="3" t="inlineStr">
        <is>
          <t>대</t>
        </is>
      </c>
      <c r="D2901" s="3" t="inlineStr">
        <is>
          <t>대</t>
        </is>
      </c>
      <c r="E2901" s="3" t="inlineStr">
        <is>
          <t>매매</t>
        </is>
      </c>
      <c r="F2901" s="4" t="n">
        <v>87000</v>
      </c>
      <c r="G2901" s="4" t="n">
        <v>276</v>
      </c>
      <c r="H2901" s="4" t="n">
        <v>83</v>
      </c>
      <c r="I2901" s="5" t="n">
        <v>1048.2</v>
      </c>
      <c r="J2901" s="4" t="n">
        <v>394</v>
      </c>
      <c r="K2901" s="3" t="inlineStr">
        <is>
          <t>도담동 입지 좋은 단독주택지 토지매매</t>
        </is>
      </c>
      <c r="L2901" s="6">
        <f>HYPERLINK("https://fin.land.naver.com/articles/2648297361", "매물Link")</f>
        <v/>
      </c>
      <c r="M2901" s="6">
        <f>HYPERLINK("https://map.naver.com/p/search/세종특별자치시 도담동 712", "지도Link")</f>
        <v/>
      </c>
      <c r="N2901" s="6">
        <f>HYPERLINK("http://www.eum.go.kr/web/ar/lu/luLandDet.jsp?pnu=3611011400107120000&amp;isNoScr=script&amp;mode=search", "토지이음")</f>
        <v/>
      </c>
      <c r="O2901" s="3" t="inlineStr">
        <is>
          <t>세종무지개</t>
        </is>
      </c>
      <c r="P2901" s="3" t="n">
        <v>1</v>
      </c>
      <c r="Q2901" s="3" t="n">
        <v>276.5</v>
      </c>
      <c r="R2901" s="3" t="inlineStr">
        <is>
          <t>지정되지않음</t>
        </is>
      </c>
      <c r="S2901" s="3" t="inlineStr">
        <is>
          <t>주거나지</t>
        </is>
      </c>
      <c r="T2901" s="3" t="inlineStr">
        <is>
          <t>평지</t>
        </is>
      </c>
      <c r="U2901" s="3" t="inlineStr">
        <is>
          <t>사다리형</t>
        </is>
      </c>
      <c r="V2901" s="3" t="inlineStr">
        <is>
          <t>소로각지</t>
        </is>
      </c>
    </row>
    <row r="2902">
      <c r="A2902" s="3" t="inlineStr">
        <is>
          <t>세종특별자치시 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 입지우수한 근생 용지 부지, 매매의사 확실,가격조율가능</t>
        </is>
      </c>
      <c r="L2902" s="6">
        <f>HYPERLINK("https://fin.land.naver.com/articles/2647797836", "매물Link")</f>
        <v/>
      </c>
      <c r="M2902" s="6">
        <f>HYPERLINK("https://map.naver.com/p/search/세종특별자치시 도담동 716", "지도Link")</f>
        <v/>
      </c>
      <c r="N2902" s="6">
        <f>HYPERLINK("http://www.eum.go.kr/web/ar/lu/luLandDet.jsp?pnu=3611011400107160000&amp;isNoScr=script&amp;mode=search", "토지이음")</f>
        <v/>
      </c>
      <c r="O2902" s="3" t="inlineStr">
        <is>
          <t>짱</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세종특별자치시 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입지 좋은 도담동 근린생활용지 토지 매매, 대로변</t>
        </is>
      </c>
      <c r="L2903" s="6">
        <f>HYPERLINK("https://fin.land.naver.com/articles/2649607976", "매물Link")</f>
        <v/>
      </c>
      <c r="M2903" s="6">
        <f>HYPERLINK("https://map.naver.com/p/search/세종특별자치시 도담동 716", "지도Link")</f>
        <v/>
      </c>
      <c r="N2903" s="6">
        <f>HYPERLINK("http://www.eum.go.kr/web/ar/lu/luLandDet.jsp?pnu=3611011400107160000&amp;isNoScr=script&amp;mode=search", "토지이음")</f>
        <v/>
      </c>
      <c r="O2903" s="3" t="inlineStr">
        <is>
          <t>세종무지개</t>
        </is>
      </c>
      <c r="P2903" s="3" t="n">
        <v>1</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세종특별자치시 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도담동 2단지 단독주택지 앞 상가용 토지.가격 최대조율,연락 주세요.</t>
        </is>
      </c>
      <c r="L2904" s="6">
        <f>HYPERLINK("https://fin.land.naver.com/articles/2646521378", "매물Link")</f>
        <v/>
      </c>
      <c r="M2904" s="6">
        <f>HYPERLINK("https://map.naver.com/p/search/세종특별자치시 도담동 716", "지도Link")</f>
        <v/>
      </c>
      <c r="N2904" s="6">
        <f>HYPERLINK("http://www.eum.go.kr/web/ar/lu/luLandDet.jsp?pnu=3611011400107160000&amp;isNoScr=script&amp;mode=search", "토지이음")</f>
        <v/>
      </c>
      <c r="O2904" s="3" t="inlineStr">
        <is>
          <t>다정현대</t>
        </is>
      </c>
      <c r="P2904" s="3" t="n">
        <v>2</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세종특별자치시 도담동 716</t>
        </is>
      </c>
      <c r="B2905" s="3" t="inlineStr">
        <is>
          <t>제1종전용주거지역</t>
        </is>
      </c>
      <c r="C2905" s="3" t="inlineStr">
        <is>
          <t>대</t>
        </is>
      </c>
      <c r="D2905" s="3" t="inlineStr">
        <is>
          <t>대</t>
        </is>
      </c>
      <c r="E2905" s="3" t="inlineStr">
        <is>
          <t>매매</t>
        </is>
      </c>
      <c r="F2905" s="4" t="n">
        <v>175000</v>
      </c>
      <c r="G2905" s="4" t="n">
        <v>420</v>
      </c>
      <c r="H2905" s="4" t="n">
        <v>127</v>
      </c>
      <c r="I2905" s="5" t="n">
        <v>1378</v>
      </c>
      <c r="J2905" s="4" t="n">
        <v>796</v>
      </c>
      <c r="K2905" s="3" t="inlineStr">
        <is>
          <t>도담동근생용지 주변입지좋아요. 가격조정가능</t>
        </is>
      </c>
      <c r="L2905" s="6">
        <f>HYPERLINK("https://fin.land.naver.com/articles/2644107996", "매물Link")</f>
        <v/>
      </c>
      <c r="M2905" s="6">
        <f>HYPERLINK("https://map.naver.com/p/search/세종특별자치시 도담동 716", "지도Link")</f>
        <v/>
      </c>
      <c r="N2905" s="6">
        <f>HYPERLINK("http://www.eum.go.kr/web/ar/lu/luLandDet.jsp?pnu=3611011400107160000&amp;isNoScr=script&amp;mode=search", "토지이음")</f>
        <v/>
      </c>
      <c r="O2905" s="3" t="inlineStr">
        <is>
          <t>고운동리치세종</t>
        </is>
      </c>
      <c r="P2905" s="3" t="n">
        <v>1</v>
      </c>
      <c r="Q2905" s="3" t="n">
        <v>420.4</v>
      </c>
      <c r="R2905" s="3" t="inlineStr">
        <is>
          <t>지정되지않음</t>
        </is>
      </c>
      <c r="S2905" s="3" t="inlineStr">
        <is>
          <t>상업용</t>
        </is>
      </c>
      <c r="T2905" s="3" t="inlineStr">
        <is>
          <t>평지</t>
        </is>
      </c>
      <c r="U2905" s="3" t="inlineStr">
        <is>
          <t>사다리형</t>
        </is>
      </c>
      <c r="V2905" s="3" t="inlineStr">
        <is>
          <t>소로각지</t>
        </is>
      </c>
    </row>
    <row r="2906">
      <c r="A2906" s="3" t="inlineStr">
        <is>
          <t>세종특별자치시 도담동 730</t>
        </is>
      </c>
      <c r="B2906" s="3" t="inlineStr">
        <is>
          <t>제1종전용주거지역</t>
        </is>
      </c>
      <c r="C2906" s="3" t="inlineStr">
        <is>
          <t>대</t>
        </is>
      </c>
      <c r="D2906" s="3" t="inlineStr">
        <is>
          <t>대</t>
        </is>
      </c>
      <c r="E2906" s="3" t="inlineStr">
        <is>
          <t>매매</t>
        </is>
      </c>
      <c r="F2906" s="4" t="n">
        <v>77000</v>
      </c>
      <c r="G2906" s="4" t="n">
        <v>319</v>
      </c>
      <c r="H2906" s="4" t="n">
        <v>96</v>
      </c>
      <c r="I2906" s="5" t="n">
        <v>802.1</v>
      </c>
      <c r="J2906" s="4" t="n">
        <v>382.1</v>
      </c>
      <c r="K2906" s="3" t="inlineStr">
        <is>
          <t>급매 도담동 최고입지 프라이버스 완벽하고 지대높은 위치최상</t>
        </is>
      </c>
      <c r="L2906" s="6">
        <f>HYPERLINK("https://fin.land.naver.com/articles/2644908928", "매물Link")</f>
        <v/>
      </c>
      <c r="M2906" s="6">
        <f>HYPERLINK("https://map.naver.com/p/search/세종특별자치시 도담동 730", "지도Link")</f>
        <v/>
      </c>
      <c r="N2906" s="6">
        <f>HYPERLINK("http://www.eum.go.kr/web/ar/lu/luLandDet.jsp?pnu=3611011400107300000&amp;isNoScr=script&amp;mode=search", "토지이음")</f>
        <v/>
      </c>
      <c r="O2906" s="3" t="inlineStr">
        <is>
          <t>세종스타</t>
        </is>
      </c>
      <c r="P2906" s="3" t="n">
        <v>1</v>
      </c>
      <c r="Q2906" s="3" t="n">
        <v>319.5</v>
      </c>
      <c r="R2906" s="3" t="inlineStr">
        <is>
          <t>지정되지않음</t>
        </is>
      </c>
      <c r="S2906" s="3" t="inlineStr">
        <is>
          <t>주거나지</t>
        </is>
      </c>
      <c r="T2906" s="3" t="inlineStr">
        <is>
          <t>평지</t>
        </is>
      </c>
      <c r="U2906" s="3" t="inlineStr">
        <is>
          <t>정방형</t>
        </is>
      </c>
      <c r="V2906" s="3" t="inlineStr">
        <is>
          <t>소로한면</t>
        </is>
      </c>
    </row>
    <row r="2907">
      <c r="A2907" s="3" t="inlineStr">
        <is>
          <t>세종특별자치시 도담동 757</t>
        </is>
      </c>
      <c r="B2907" s="3" t="inlineStr">
        <is>
          <t>제1종전용주거지역</t>
        </is>
      </c>
      <c r="C2907" s="3" t="inlineStr">
        <is>
          <t>대</t>
        </is>
      </c>
      <c r="D2907" s="3" t="inlineStr">
        <is>
          <t>대</t>
        </is>
      </c>
      <c r="E2907" s="3" t="inlineStr">
        <is>
          <t>매매</t>
        </is>
      </c>
      <c r="F2907" s="4" t="n">
        <v>92000</v>
      </c>
      <c r="G2907" s="4" t="n">
        <v>324</v>
      </c>
      <c r="H2907" s="4" t="n">
        <v>98</v>
      </c>
      <c r="I2907" s="5" t="n">
        <v>938.8</v>
      </c>
      <c r="J2907" s="4" t="n">
        <v>410.6</v>
      </c>
      <c r="K2907" s="3" t="inlineStr">
        <is>
          <t>홈플러스와 충대병원사이에 위치함 3면코너각지 청사및체육시설근거리이용</t>
        </is>
      </c>
      <c r="L2907" s="6">
        <f>HYPERLINK("https://fin.land.naver.com/articles/2647502682", "매물Link")</f>
        <v/>
      </c>
      <c r="M2907" s="6">
        <f>HYPERLINK("https://map.naver.com/p/search/세종특별자치시 도담동 757", "지도Link")</f>
        <v/>
      </c>
      <c r="N2907" s="6">
        <f>HYPERLINK("http://www.eum.go.kr/web/ar/lu/luLandDet.jsp?pnu=3611011400107570000&amp;isNoScr=script&amp;mode=search", "토지이음")</f>
        <v/>
      </c>
      <c r="O2907" s="3" t="inlineStr">
        <is>
          <t>세종마당</t>
        </is>
      </c>
      <c r="P2907" s="3" t="n">
        <v>1</v>
      </c>
      <c r="Q2907" s="3" t="n">
        <v>324.6</v>
      </c>
      <c r="R2907" s="3" t="inlineStr">
        <is>
          <t>지정되지않음</t>
        </is>
      </c>
      <c r="S2907" s="3" t="inlineStr">
        <is>
          <t>주거나지</t>
        </is>
      </c>
      <c r="T2907" s="3" t="inlineStr">
        <is>
          <t>평지</t>
        </is>
      </c>
      <c r="U2907" s="3" t="inlineStr">
        <is>
          <t>정방형</t>
        </is>
      </c>
      <c r="V2907" s="3" t="inlineStr">
        <is>
          <t>소로각지</t>
        </is>
      </c>
    </row>
    <row r="2908">
      <c r="A2908" s="3" t="inlineStr">
        <is>
          <t>세종특별자치시 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HYPERLINK("https://map.naver.com/p/search/세종특별자치시 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세종특별자치시 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입지 좋은 도담동 단독주택 토지매매</t>
        </is>
      </c>
      <c r="L2909" s="6">
        <f>HYPERLINK("https://fin.land.naver.com/articles/2644187455", "매물Link")</f>
        <v/>
      </c>
      <c r="M2909" s="6">
        <f>HYPERLINK("https://map.naver.com/p/search/세종특별자치시 도담동 763", "지도Link")</f>
        <v/>
      </c>
      <c r="N2909" s="6">
        <f>HYPERLINK("http://www.eum.go.kr/web/ar/lu/luLandDet.jsp?pnu=3611011400107630000&amp;isNoScr=script&amp;mode=search", "토지이음")</f>
        <v/>
      </c>
      <c r="O2909" s="3" t="inlineStr">
        <is>
          <t>세종무지개</t>
        </is>
      </c>
      <c r="P2909" s="3" t="n">
        <v>1</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세종특별자치시 도담동 763</t>
        </is>
      </c>
      <c r="B2910" s="3" t="inlineStr">
        <is>
          <t>제1종전용주거지역</t>
        </is>
      </c>
      <c r="C2910" s="3" t="inlineStr">
        <is>
          <t>대</t>
        </is>
      </c>
      <c r="D2910" s="3" t="inlineStr">
        <is>
          <t>대</t>
        </is>
      </c>
      <c r="E2910" s="3" t="inlineStr">
        <is>
          <t>매매</t>
        </is>
      </c>
      <c r="F2910" s="4" t="n">
        <v>80000</v>
      </c>
      <c r="G2910" s="4" t="n">
        <v>295</v>
      </c>
      <c r="H2910" s="4" t="n">
        <v>89</v>
      </c>
      <c r="I2910" s="5" t="n">
        <v>898.9</v>
      </c>
      <c r="J2910" s="4" t="n">
        <v>410.6</v>
      </c>
      <c r="K2910" s="3" t="inlineStr">
        <is>
          <t>전원주택지로 최고의 입지와 3면이 좋은 택지입니다.</t>
        </is>
      </c>
      <c r="L2910" s="6">
        <f>HYPERLINK("https://fin.land.naver.com/articles/2647269438", "매물Link")</f>
        <v/>
      </c>
      <c r="M2910" s="6">
        <f>HYPERLINK("https://map.naver.com/p/search/세종특별자치시 도담동 763", "지도Link")</f>
        <v/>
      </c>
      <c r="N2910" s="6">
        <f>HYPERLINK("http://www.eum.go.kr/web/ar/lu/luLandDet.jsp?pnu=3611011400107630000&amp;isNoScr=script&amp;mode=search", "토지이음")</f>
        <v/>
      </c>
      <c r="O2910" s="3" t="inlineStr">
        <is>
          <t>사계절</t>
        </is>
      </c>
      <c r="P2910" s="3" t="n">
        <v>3</v>
      </c>
      <c r="Q2910" s="3" t="n">
        <v>295.5</v>
      </c>
      <c r="R2910" s="3" t="inlineStr">
        <is>
          <t>지정되지않음</t>
        </is>
      </c>
      <c r="S2910" s="3" t="inlineStr">
        <is>
          <t>주거나지</t>
        </is>
      </c>
      <c r="T2910" s="3" t="inlineStr">
        <is>
          <t>평지</t>
        </is>
      </c>
      <c r="U2910" s="3" t="inlineStr">
        <is>
          <t>정방형</t>
        </is>
      </c>
      <c r="V2910" s="3" t="inlineStr">
        <is>
          <t>소로각지</t>
        </is>
      </c>
    </row>
    <row r="2911">
      <c r="A2911" s="3" t="inlineStr">
        <is>
          <t>세종특별자치시 도담동 776</t>
        </is>
      </c>
      <c r="B2911" s="3" t="inlineStr">
        <is>
          <t>제1종전용주거지역</t>
        </is>
      </c>
      <c r="C2911" s="3" t="inlineStr">
        <is>
          <t>대</t>
        </is>
      </c>
      <c r="D2911" s="3" t="inlineStr">
        <is>
          <t>대</t>
        </is>
      </c>
      <c r="E2911" s="3" t="inlineStr">
        <is>
          <t>매매</t>
        </is>
      </c>
      <c r="F2911" s="4" t="n">
        <v>97000</v>
      </c>
      <c r="G2911" s="4" t="n">
        <v>321</v>
      </c>
      <c r="H2911" s="4" t="n">
        <v>97</v>
      </c>
      <c r="I2911" s="5" t="n">
        <v>1000</v>
      </c>
      <c r="J2911" s="4" t="n">
        <v>406.6</v>
      </c>
      <c r="K2911" s="3" t="inlineStr">
        <is>
          <t>생명나무,도담동 홈플러스 근접거리  귀한 단독주택자리</t>
        </is>
      </c>
      <c r="L2911" s="6">
        <f>HYPERLINK("https://fin.land.naver.com/articles/2644319752", "매물Link")</f>
        <v/>
      </c>
      <c r="M2911" s="6">
        <f>HYPERLINK("https://map.naver.com/p/search/세종특별자치시 도담동 776", "지도Link")</f>
        <v/>
      </c>
      <c r="N2911" s="6">
        <f>HYPERLINK("http://www.eum.go.kr/web/ar/lu/luLandDet.jsp?pnu=3611011400107760000&amp;isNoScr=script&amp;mode=search", "토지이음")</f>
        <v/>
      </c>
      <c r="O2911" s="3" t="inlineStr">
        <is>
          <t>생명나무</t>
        </is>
      </c>
      <c r="P2911" s="3" t="n">
        <v>1</v>
      </c>
      <c r="Q2911" s="3" t="n">
        <v>321.7</v>
      </c>
      <c r="R2911" s="3" t="inlineStr">
        <is>
          <t>지정되지않음</t>
        </is>
      </c>
      <c r="S2911" s="3" t="inlineStr">
        <is>
          <t>주거나지</t>
        </is>
      </c>
      <c r="T2911" s="3" t="inlineStr">
        <is>
          <t>평지</t>
        </is>
      </c>
      <c r="U2911" s="3" t="inlineStr">
        <is>
          <t>사다리형</t>
        </is>
      </c>
      <c r="V2911" s="3" t="inlineStr">
        <is>
          <t>소로각지</t>
        </is>
      </c>
    </row>
    <row r="2912">
      <c r="A2912" s="3" t="inlineStr">
        <is>
          <t>세종특별자치시 도담동 779</t>
        </is>
      </c>
      <c r="B2912" s="3" t="inlineStr">
        <is>
          <t>제1종전용주거지역</t>
        </is>
      </c>
      <c r="C2912" s="3" t="inlineStr">
        <is>
          <t>대</t>
        </is>
      </c>
      <c r="D2912" s="3" t="inlineStr">
        <is>
          <t>대</t>
        </is>
      </c>
      <c r="E2912" s="3" t="inlineStr">
        <is>
          <t>매매</t>
        </is>
      </c>
      <c r="F2912" s="4" t="n">
        <v>90000</v>
      </c>
      <c r="G2912" s="4" t="n">
        <v>320</v>
      </c>
      <c r="H2912" s="4" t="n">
        <v>97</v>
      </c>
      <c r="I2912" s="5" t="n">
        <v>927.8</v>
      </c>
      <c r="J2912" s="4" t="n">
        <v>410.6</v>
      </c>
      <c r="K2912" s="3" t="inlineStr">
        <is>
          <t>BRT라인 상권,방축천 라인,청사,홈플러스,충대병원과 근접한 생활권 위치</t>
        </is>
      </c>
      <c r="L2912" s="6">
        <f>HYPERLINK("https://fin.land.naver.com/articles/2645446523", "매물Link")</f>
        <v/>
      </c>
      <c r="M2912" s="6">
        <f>HYPERLINK("https://map.naver.com/p/search/세종특별자치시 도담동 779", "지도Link")</f>
        <v/>
      </c>
      <c r="N2912" s="6">
        <f>HYPERLINK("http://www.eum.go.kr/web/ar/lu/luLandDet.jsp?pnu=3611011400107790000&amp;isNoScr=script&amp;mode=search", "토지이음")</f>
        <v/>
      </c>
      <c r="O2912" s="3" t="inlineStr">
        <is>
          <t>세종웅진</t>
        </is>
      </c>
      <c r="P2912" s="3" t="n">
        <v>1</v>
      </c>
      <c r="Q2912" s="3" t="n">
        <v>320.6</v>
      </c>
      <c r="R2912" s="3" t="inlineStr">
        <is>
          <t>지정되지않음</t>
        </is>
      </c>
      <c r="S2912" s="3" t="inlineStr">
        <is>
          <t>주거나지</t>
        </is>
      </c>
      <c r="T2912" s="3" t="inlineStr">
        <is>
          <t>평지</t>
        </is>
      </c>
      <c r="U2912" s="3" t="inlineStr">
        <is>
          <t>정방형</t>
        </is>
      </c>
      <c r="V2912" s="3" t="inlineStr">
        <is>
          <t>소로각지</t>
        </is>
      </c>
    </row>
    <row r="2913">
      <c r="A2913" s="3" t="inlineStr">
        <is>
          <t>세종특별자치시 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HYPERLINK("https://map.naver.com/p/search/세종특별자치시 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세종특별자치시 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HYPERLINK("https://map.naver.com/p/search/세종특별자치시 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세종특별자치시 도담동 784</t>
        </is>
      </c>
      <c r="B2915" s="3" t="inlineStr">
        <is>
          <t>제1종전용주거지역</t>
        </is>
      </c>
      <c r="C2915" s="3" t="inlineStr">
        <is>
          <t>대</t>
        </is>
      </c>
      <c r="D2915" s="3" t="inlineStr">
        <is>
          <t>대</t>
        </is>
      </c>
      <c r="E2915" s="3" t="inlineStr">
        <is>
          <t>매매</t>
        </is>
      </c>
      <c r="F2915" s="4" t="n">
        <v>77000</v>
      </c>
      <c r="G2915" s="4" t="n">
        <v>341</v>
      </c>
      <c r="H2915" s="4" t="n">
        <v>103</v>
      </c>
      <c r="I2915" s="5" t="n">
        <v>747.6</v>
      </c>
      <c r="J2915" s="4" t="n">
        <v>410.6</v>
      </c>
      <c r="K2915" s="3" t="inlineStr">
        <is>
          <t>코너 유치원 홈플러스 늘봄초인근 조율가능</t>
        </is>
      </c>
      <c r="L2915" s="6">
        <f>HYPERLINK("https://fin.land.naver.com/articles/2649812078", "매물Link")</f>
        <v/>
      </c>
      <c r="M2915" s="6">
        <f>HYPERLINK("https://map.naver.com/p/search/세종특별자치시 도담동 784", "지도Link")</f>
        <v/>
      </c>
      <c r="N2915" s="6">
        <f>HYPERLINK("http://www.eum.go.kr/web/ar/lu/luLandDet.jsp?pnu=3611011400107840000&amp;isNoScr=script&amp;mode=search", "토지이음")</f>
        <v/>
      </c>
      <c r="O2915" s="3" t="inlineStr">
        <is>
          <t>세종스타</t>
        </is>
      </c>
      <c r="P2915" s="3" t="n">
        <v>1</v>
      </c>
      <c r="Q2915" s="3" t="n">
        <v>341.5</v>
      </c>
      <c r="R2915" s="3" t="inlineStr">
        <is>
          <t>지정되지않음</t>
        </is>
      </c>
      <c r="S2915" s="3" t="inlineStr">
        <is>
          <t>주거나지</t>
        </is>
      </c>
      <c r="T2915" s="3" t="inlineStr">
        <is>
          <t>평지</t>
        </is>
      </c>
      <c r="U2915" s="3" t="inlineStr">
        <is>
          <t>가로장방</t>
        </is>
      </c>
      <c r="V2915" s="3" t="inlineStr">
        <is>
          <t>소로각지</t>
        </is>
      </c>
    </row>
    <row r="2916">
      <c r="A2916" s="3" t="inlineStr">
        <is>
          <t>세종특별자치시 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HYPERLINK("https://map.naver.com/p/search/세종특별자치시 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세종특별자치시 도담동 790</t>
        </is>
      </c>
      <c r="B2917" s="3" t="inlineStr">
        <is>
          <t>제1종전용주거지역</t>
        </is>
      </c>
      <c r="C2917" s="3" t="inlineStr">
        <is>
          <t>대</t>
        </is>
      </c>
      <c r="D2917" s="3" t="inlineStr">
        <is>
          <t>대</t>
        </is>
      </c>
      <c r="E2917" s="3" t="inlineStr">
        <is>
          <t>매매</t>
        </is>
      </c>
      <c r="F2917" s="4" t="n">
        <v>104000</v>
      </c>
      <c r="G2917" s="4" t="n">
        <v>342</v>
      </c>
      <c r="H2917" s="4" t="n">
        <v>103</v>
      </c>
      <c r="I2917" s="5" t="n">
        <v>1009.7</v>
      </c>
      <c r="J2917" s="4" t="n">
        <v>410.6</v>
      </c>
      <c r="K2917" s="3" t="inlineStr">
        <is>
          <t>103.7p, 단지 맞은편, 유치원 인근</t>
        </is>
      </c>
      <c r="L2917" s="6">
        <f>HYPERLINK("https://fin.land.naver.com/articles/2648833697", "매물Link")</f>
        <v/>
      </c>
      <c r="M2917" s="6">
        <f>HYPERLINK("https://map.naver.com/p/search/세종특별자치시 도담동 790", "지도Link")</f>
        <v/>
      </c>
      <c r="N2917" s="6">
        <f>HYPERLINK("http://www.eum.go.kr/web/ar/lu/luLandDet.jsp?pnu=3611011400107900000&amp;isNoScr=script&amp;mode=search", "토지이음")</f>
        <v/>
      </c>
      <c r="O2917" s="3" t="inlineStr">
        <is>
          <t>세종무지개</t>
        </is>
      </c>
      <c r="P2917" s="3" t="n">
        <v>1</v>
      </c>
      <c r="Q2917" s="3" t="n">
        <v>342.1</v>
      </c>
      <c r="R2917" s="3" t="inlineStr">
        <is>
          <t>지정되지않음</t>
        </is>
      </c>
      <c r="S2917" s="3" t="inlineStr">
        <is>
          <t>주거나지</t>
        </is>
      </c>
      <c r="T2917" s="3" t="inlineStr">
        <is>
          <t>평지</t>
        </is>
      </c>
      <c r="U2917" s="3" t="inlineStr">
        <is>
          <t>정방형</t>
        </is>
      </c>
      <c r="V2917" s="3" t="inlineStr">
        <is>
          <t>소로각지</t>
        </is>
      </c>
    </row>
    <row r="2918">
      <c r="A2918" s="3" t="inlineStr">
        <is>
          <t>세종특별자치시 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HYPERLINK("https://map.naver.com/p/search/세종특별자치시 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세종특별자치시 도담동 807</t>
        </is>
      </c>
      <c r="B2919" s="3" t="inlineStr">
        <is>
          <t>제1종전용주거지역</t>
        </is>
      </c>
      <c r="C2919" s="3" t="inlineStr">
        <is>
          <t>대</t>
        </is>
      </c>
      <c r="D2919" s="3" t="inlineStr">
        <is>
          <t>대</t>
        </is>
      </c>
      <c r="E2919" s="3" t="inlineStr">
        <is>
          <t>매매</t>
        </is>
      </c>
      <c r="F2919" s="4" t="n">
        <v>85000</v>
      </c>
      <c r="G2919" s="4" t="n">
        <v>318</v>
      </c>
      <c r="H2919" s="4" t="n">
        <v>96</v>
      </c>
      <c r="I2919" s="5" t="n">
        <v>885.4</v>
      </c>
      <c r="J2919" s="4" t="n">
        <v>391.1</v>
      </c>
      <c r="K2919" s="3" t="inlineStr">
        <is>
          <t>96.6P, 도담동 아파트단지 인근 단독주택지</t>
        </is>
      </c>
      <c r="L2919" s="6">
        <f>HYPERLINK("https://fin.land.naver.com/articles/2648909375", "매물Link")</f>
        <v/>
      </c>
      <c r="M2919" s="6">
        <f>HYPERLINK("https://map.naver.com/p/search/세종특별자치시 도담동 807", "지도Link")</f>
        <v/>
      </c>
      <c r="N2919" s="6">
        <f>HYPERLINK("http://www.eum.go.kr/web/ar/lu/luLandDet.jsp?pnu=3611011400108070000&amp;isNoScr=script&amp;mode=search", "토지이음")</f>
        <v/>
      </c>
      <c r="O2919" s="3" t="inlineStr">
        <is>
          <t>명진</t>
        </is>
      </c>
      <c r="P2919" s="3" t="n">
        <v>1</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세종특별자치시 도담동 808</t>
        </is>
      </c>
      <c r="B2920" s="3" t="inlineStr">
        <is>
          <t>제1종전용주거지역</t>
        </is>
      </c>
      <c r="C2920" s="3" t="inlineStr">
        <is>
          <t>대</t>
        </is>
      </c>
      <c r="D2920" s="3" t="inlineStr">
        <is>
          <t>대</t>
        </is>
      </c>
      <c r="E2920" s="3" t="inlineStr">
        <is>
          <t>매매</t>
        </is>
      </c>
      <c r="F2920" s="4" t="n">
        <v>62500</v>
      </c>
      <c r="G2920" s="4" t="n">
        <v>319</v>
      </c>
      <c r="H2920" s="4" t="n">
        <v>96</v>
      </c>
      <c r="I2920" s="5" t="n">
        <v>651</v>
      </c>
      <c r="J2920" s="4" t="n">
        <v>391.1</v>
      </c>
      <c r="K2920" s="3" t="inlineStr">
        <is>
          <t>주변가격대비 현격한 급매가 매매</t>
        </is>
      </c>
      <c r="L2920" s="6">
        <f>HYPERLINK("https://fin.land.naver.com/articles/2649574325", "매물Link")</f>
        <v/>
      </c>
      <c r="M2920" s="6">
        <f>HYPERLINK("https://map.naver.com/p/search/세종특별자치시 도담동 808", "지도Link")</f>
        <v/>
      </c>
      <c r="N2920" s="6">
        <f>HYPERLINK("http://www.eum.go.kr/web/ar/lu/luLandDet.jsp?pnu=3611011400108080000&amp;isNoScr=script&amp;mode=search", "토지이음")</f>
        <v/>
      </c>
      <c r="O2920" s="3" t="inlineStr">
        <is>
          <t>킹세종</t>
        </is>
      </c>
      <c r="P2920" s="3" t="n">
        <v>2</v>
      </c>
      <c r="Q2920" s="3" t="n">
        <v>318.7</v>
      </c>
      <c r="R2920" s="3" t="inlineStr">
        <is>
          <t>지정되지않음</t>
        </is>
      </c>
      <c r="S2920" s="3" t="inlineStr">
        <is>
          <t>주거나지</t>
        </is>
      </c>
      <c r="T2920" s="3" t="inlineStr">
        <is>
          <t>평지</t>
        </is>
      </c>
      <c r="U2920" s="3" t="inlineStr">
        <is>
          <t>정방형</t>
        </is>
      </c>
      <c r="V2920" s="3" t="inlineStr">
        <is>
          <t>소로한면</t>
        </is>
      </c>
    </row>
    <row r="2921">
      <c r="A2921" s="3" t="inlineStr">
        <is>
          <t>세종특별자치시 도담동 824</t>
        </is>
      </c>
      <c r="B2921" s="3" t="inlineStr">
        <is>
          <t>제1종전용주거지역</t>
        </is>
      </c>
      <c r="C2921" s="3" t="inlineStr">
        <is>
          <t>대</t>
        </is>
      </c>
      <c r="D2921" s="3" t="inlineStr">
        <is>
          <t>대</t>
        </is>
      </c>
      <c r="E2921" s="3" t="inlineStr">
        <is>
          <t>매매</t>
        </is>
      </c>
      <c r="F2921" s="4" t="n">
        <v>100000</v>
      </c>
      <c r="G2921" s="4" t="n">
        <v>313</v>
      </c>
      <c r="H2921" s="4" t="n">
        <v>95</v>
      </c>
      <c r="I2921" s="5" t="n">
        <v>1052.6</v>
      </c>
      <c r="J2921" s="4" t="n">
        <v>391.1</v>
      </c>
      <c r="K2921" s="3" t="inlineStr">
        <is>
          <t>남향필지 최선호지역 BRT도보가능 홈플러스인근</t>
        </is>
      </c>
      <c r="L2921" s="6">
        <f>HYPERLINK("https://fin.land.naver.com/articles/2648615509", "매물Link")</f>
        <v/>
      </c>
      <c r="M2921" s="6">
        <f>HYPERLINK("https://map.naver.com/p/search/세종특별자치시 도담동 824", "지도Link")</f>
        <v/>
      </c>
      <c r="N2921" s="6">
        <f>HYPERLINK("http://www.eum.go.kr/web/ar/lu/luLandDet.jsp?pnu=3611011400108240000&amp;isNoScr=script&amp;mode=search", "토지이음")</f>
        <v/>
      </c>
      <c r="O2921" s="3" t="inlineStr">
        <is>
          <t>세종스타</t>
        </is>
      </c>
      <c r="P2921" s="3" t="n">
        <v>1</v>
      </c>
      <c r="Q2921" s="3" t="n">
        <v>313.1</v>
      </c>
      <c r="R2921" s="3" t="inlineStr">
        <is>
          <t>지정되지않음</t>
        </is>
      </c>
      <c r="S2921" s="3" t="inlineStr">
        <is>
          <t>주거나지</t>
        </is>
      </c>
      <c r="T2921" s="3" t="inlineStr">
        <is>
          <t>평지</t>
        </is>
      </c>
      <c r="U2921" s="3" t="inlineStr">
        <is>
          <t>정방형</t>
        </is>
      </c>
      <c r="V2921" s="3" t="inlineStr">
        <is>
          <t>소로한면</t>
        </is>
      </c>
    </row>
    <row r="2922">
      <c r="A2922" s="3" t="inlineStr">
        <is>
          <t>세종특별자치시 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95.7p, 도담동 홈플러스인근, 단독주택 토지매매</t>
        </is>
      </c>
      <c r="L2922" s="6">
        <f>HYPERLINK("https://fin.land.naver.com/articles/2648899707", "매물Link")</f>
        <v/>
      </c>
      <c r="M2922" s="6">
        <f>HYPERLINK("https://map.naver.com/p/search/세종특별자치시 도담동 837", "지도Link")</f>
        <v/>
      </c>
      <c r="N2922" s="6">
        <f>HYPERLINK("http://www.eum.go.kr/web/ar/lu/luLandDet.jsp?pnu=3611011400108370000&amp;isNoScr=script&amp;mode=search", "토지이음")</f>
        <v/>
      </c>
      <c r="O2922" s="3" t="inlineStr">
        <is>
          <t>명진</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세종특별자치시 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도담동 위치 좋은 단독주택, 홈플러스 인근</t>
        </is>
      </c>
      <c r="L2923" s="6">
        <f>HYPERLINK("https://fin.land.naver.com/articles/2644495119", "매물Link")</f>
        <v/>
      </c>
      <c r="M2923" s="6">
        <f>HYPERLINK("https://map.naver.com/p/search/세종특별자치시 도담동 837", "지도Link")</f>
        <v/>
      </c>
      <c r="N2923" s="6">
        <f>HYPERLINK("http://www.eum.go.kr/web/ar/lu/luLandDet.jsp?pnu=3611011400108370000&amp;isNoScr=script&amp;mode=search", "토지이음")</f>
        <v/>
      </c>
      <c r="O2923" s="3" t="inlineStr">
        <is>
          <t>세종무지개</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세종특별자치시 도담동 837</t>
        </is>
      </c>
      <c r="B2924" s="3" t="inlineStr">
        <is>
          <t>제1종전용주거지역</t>
        </is>
      </c>
      <c r="C2924" s="3" t="inlineStr">
        <is>
          <t>대</t>
        </is>
      </c>
      <c r="D2924" s="3" t="inlineStr">
        <is>
          <t>대</t>
        </is>
      </c>
      <c r="E2924" s="3" t="inlineStr">
        <is>
          <t>매매</t>
        </is>
      </c>
      <c r="F2924" s="4" t="n">
        <v>70000</v>
      </c>
      <c r="G2924" s="4" t="n">
        <v>315</v>
      </c>
      <c r="H2924" s="4" t="n">
        <v>95</v>
      </c>
      <c r="I2924" s="5" t="n">
        <v>736.8</v>
      </c>
      <c r="J2924" s="4" t="n">
        <v>391.1</v>
      </c>
      <c r="K2924" s="3" t="inlineStr">
        <is>
          <t>강추매물, 가격좋은 토지, 홈플인접</t>
        </is>
      </c>
      <c r="L2924" s="6">
        <f>HYPERLINK("https://fin.land.naver.com/articles/2643975473", "매물Link")</f>
        <v/>
      </c>
      <c r="M2924" s="6">
        <f>HYPERLINK("https://map.naver.com/p/search/세종특별자치시 도담동 837", "지도Link")</f>
        <v/>
      </c>
      <c r="N2924" s="6">
        <f>HYPERLINK("http://www.eum.go.kr/web/ar/lu/luLandDet.jsp?pnu=3611011400108370000&amp;isNoScr=script&amp;mode=search", "토지이음")</f>
        <v/>
      </c>
      <c r="O2924" s="3" t="inlineStr">
        <is>
          <t>사이다</t>
        </is>
      </c>
      <c r="P2924" s="3" t="n">
        <v>1</v>
      </c>
      <c r="Q2924" s="3" t="n">
        <v>315.9</v>
      </c>
      <c r="R2924" s="3" t="inlineStr">
        <is>
          <t>지정되지않음</t>
        </is>
      </c>
      <c r="S2924" s="3" t="inlineStr">
        <is>
          <t>주거나지</t>
        </is>
      </c>
      <c r="T2924" s="3" t="inlineStr">
        <is>
          <t>평지</t>
        </is>
      </c>
      <c r="U2924" s="3" t="inlineStr">
        <is>
          <t>정방형</t>
        </is>
      </c>
      <c r="V2924" s="3" t="inlineStr">
        <is>
          <t>소로한면</t>
        </is>
      </c>
    </row>
    <row r="2925">
      <c r="A2925" s="3" t="inlineStr">
        <is>
          <t>세종특별자치시 도담동 897-1</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353.1</v>
      </c>
      <c r="K2925" s="3" t="inlineStr">
        <is>
          <t>트로아힐스 건축 가능한 토지 매매</t>
        </is>
      </c>
      <c r="L2925" s="6">
        <f>HYPERLINK("https://fin.land.naver.com/articles/2646878624", "매물Link")</f>
        <v/>
      </c>
      <c r="M2925" s="6">
        <f>HYPERLINK("https://map.naver.com/p/search/세종특별자치시 도담동 897-1", "지도Link")</f>
        <v/>
      </c>
      <c r="N2925" s="6">
        <f>HYPERLINK("http://www.eum.go.kr/web/ar/lu/luLandDet.jsp?pnu=3611011400108970001&amp;isNoScr=script&amp;mode=search",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사다리형</t>
        </is>
      </c>
      <c r="V2925" s="3" t="inlineStr">
        <is>
          <t>소로한면</t>
        </is>
      </c>
    </row>
    <row r="2926">
      <c r="A2926" s="3" t="inlineStr">
        <is>
          <t>세종특별자치시 도담동 897-18</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고급 타운하우스 선호 필지 매매</t>
        </is>
      </c>
      <c r="L2926" s="6">
        <f>HYPERLINK("https://fin.land.naver.com/articles/2646878471", "매물Link")</f>
        <v/>
      </c>
      <c r="M2926" s="6">
        <f>HYPERLINK("https://map.naver.com/p/search/세종특별자치시 도담동 897-18", "지도Link")</f>
        <v/>
      </c>
      <c r="N2926" s="6">
        <f>HYPERLINK("http://www.eum.go.kr/web/ar/lu/luLandDet.jsp?pnu=3611011400108970018&amp;isNoScr=script&amp;mode=search", "토지이음")</f>
        <v/>
      </c>
      <c r="O2926" s="3" t="inlineStr">
        <is>
          <t>세종시티</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세종특별자치시 도담동 897-20</t>
        </is>
      </c>
      <c r="B2927" s="3" t="inlineStr">
        <is>
          <t>제1종전용주거지역</t>
        </is>
      </c>
      <c r="C2927" s="3" t="inlineStr">
        <is>
          <t>대</t>
        </is>
      </c>
      <c r="D2927" s="3" t="inlineStr">
        <is>
          <t>대</t>
        </is>
      </c>
      <c r="E2927" s="3" t="inlineStr">
        <is>
          <t>매매</t>
        </is>
      </c>
      <c r="F2927" s="4" t="n">
        <v>140000</v>
      </c>
      <c r="G2927" s="4" t="n">
        <v>400</v>
      </c>
      <c r="H2927" s="4" t="n">
        <v>121</v>
      </c>
      <c r="I2927" s="5" t="n">
        <v>1157</v>
      </c>
      <c r="J2927" s="4" t="n">
        <v>356.7</v>
      </c>
      <c r="K2927" s="3" t="inlineStr">
        <is>
          <t>세종 도담동 고급 전원주택 단지 앞이 트여 있어 좋아요.</t>
        </is>
      </c>
      <c r="L2927" s="6">
        <f>HYPERLINK("https://fin.land.naver.com/articles/2649482553", "매물Link")</f>
        <v/>
      </c>
      <c r="M2927" s="6">
        <f>HYPERLINK("https://map.naver.com/p/search/세종특별자치시 도담동 897-20", "지도Link")</f>
        <v/>
      </c>
      <c r="N2927" s="6">
        <f>HYPERLINK("http://www.eum.go.kr/web/ar/lu/luLandDet.jsp?pnu=3611011400108970020&amp;isNoScr=script&amp;mode=search", "토지이음")</f>
        <v/>
      </c>
      <c r="O2927" s="3" t="inlineStr">
        <is>
          <t>세종조이</t>
        </is>
      </c>
      <c r="P2927" s="3" t="n">
        <v>1</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세종특별자치시 도담동 897-24</t>
        </is>
      </c>
      <c r="B2928" s="3" t="inlineStr">
        <is>
          <t>제1종전용주거지역</t>
        </is>
      </c>
      <c r="C2928" s="3" t="inlineStr">
        <is>
          <t>대</t>
        </is>
      </c>
      <c r="D2928" s="3" t="inlineStr">
        <is>
          <t>대</t>
        </is>
      </c>
      <c r="E2928" s="3" t="inlineStr">
        <is>
          <t>매매</t>
        </is>
      </c>
      <c r="F2928" s="4" t="n">
        <v>150000</v>
      </c>
      <c r="G2928" s="4" t="n">
        <v>400</v>
      </c>
      <c r="H2928" s="4" t="n">
        <v>121</v>
      </c>
      <c r="I2928" s="5" t="n">
        <v>1239.7</v>
      </c>
      <c r="J2928" s="4" t="n">
        <v>356.7</v>
      </c>
      <c r="K2928" s="3" t="inlineStr">
        <is>
          <t>nan</t>
        </is>
      </c>
      <c r="L2928" s="6">
        <f>HYPERLINK("https://fin.land.naver.com/articles/2647125724", "매물Link")</f>
        <v/>
      </c>
      <c r="M2928" s="6">
        <f>HYPERLINK("https://map.naver.com/p/search/세종특별자치시 도담동 897-24", "지도Link")</f>
        <v/>
      </c>
      <c r="N2928" s="6">
        <f>HYPERLINK("http://www.eum.go.kr/web/ar/lu/luLandDet.jsp?pnu=3611011400108970024&amp;isNoScr=script&amp;mode=search", "토지이음")</f>
        <v/>
      </c>
      <c r="O2928" s="3" t="inlineStr">
        <is>
          <t>세종스타</t>
        </is>
      </c>
      <c r="P2928" s="3" t="n">
        <v>2</v>
      </c>
      <c r="Q2928" s="3" t="n">
        <v>400</v>
      </c>
      <c r="R2928" s="3" t="inlineStr">
        <is>
          <t>지정되지않음</t>
        </is>
      </c>
      <c r="S2928" s="3" t="inlineStr">
        <is>
          <t>주거나지</t>
        </is>
      </c>
      <c r="T2928" s="3" t="inlineStr">
        <is>
          <t>평지</t>
        </is>
      </c>
      <c r="U2928" s="3" t="inlineStr">
        <is>
          <t>세로장방</t>
        </is>
      </c>
      <c r="V2928" s="3" t="inlineStr">
        <is>
          <t>소로한면</t>
        </is>
      </c>
    </row>
    <row r="2929">
      <c r="A2929" s="3" t="inlineStr">
        <is>
          <t>세종특별자치시 반곡동 1003</t>
        </is>
      </c>
      <c r="B2929" s="3" t="inlineStr">
        <is>
          <t>제1종전용주거지역</t>
        </is>
      </c>
      <c r="C2929" s="3" t="inlineStr">
        <is>
          <t>대</t>
        </is>
      </c>
      <c r="D2929" s="3" t="inlineStr">
        <is>
          <t>대</t>
        </is>
      </c>
      <c r="E2929" s="3" t="inlineStr">
        <is>
          <t>매매</t>
        </is>
      </c>
      <c r="F2929" s="4" t="n">
        <v>45000</v>
      </c>
      <c r="G2929" s="4" t="n">
        <v>190</v>
      </c>
      <c r="H2929" s="4" t="n">
        <v>57</v>
      </c>
      <c r="I2929" s="5" t="n">
        <v>789.5</v>
      </c>
      <c r="J2929" s="4" t="n">
        <v>262.3</v>
      </c>
      <c r="K2929" s="3" t="inlineStr">
        <is>
          <t>반곡동D3 소형 건폐율50 가격조율 협의가능</t>
        </is>
      </c>
      <c r="L2929" s="6">
        <f>HYPERLINK("https://fin.land.naver.com/articles/2645721284", "매물Link")</f>
        <v/>
      </c>
      <c r="M2929" s="6">
        <f>HYPERLINK("https://map.naver.com/p/search/세종특별자치시 반곡동 1003", "지도Link")</f>
        <v/>
      </c>
      <c r="N2929" s="6">
        <f>HYPERLINK("http://www.eum.go.kr/web/ar/lu/luLandDet.jsp?pnu=3611010100110030000&amp;isNoScr=script&amp;mode=search", "토지이음")</f>
        <v/>
      </c>
      <c r="O2929" s="3" t="inlineStr">
        <is>
          <t>세종스타</t>
        </is>
      </c>
      <c r="P2929" s="3" t="n">
        <v>2</v>
      </c>
      <c r="Q2929" s="3" t="n">
        <v>190</v>
      </c>
      <c r="R2929" s="3" t="inlineStr">
        <is>
          <t>지정되지않음</t>
        </is>
      </c>
      <c r="S2929" s="3" t="inlineStr">
        <is>
          <t>주거나지</t>
        </is>
      </c>
      <c r="T2929" s="3" t="inlineStr">
        <is>
          <t>평지</t>
        </is>
      </c>
      <c r="U2929" s="3" t="inlineStr">
        <is>
          <t>사다리형</t>
        </is>
      </c>
      <c r="V2929" s="3" t="inlineStr">
        <is>
          <t>소로한면</t>
        </is>
      </c>
    </row>
    <row r="2930">
      <c r="A2930" s="3" t="inlineStr">
        <is>
          <t>세종특별자치시 반곡동 1005</t>
        </is>
      </c>
      <c r="B2930" s="3" t="inlineStr">
        <is>
          <t>제1종전용주거지역</t>
        </is>
      </c>
      <c r="C2930" s="3" t="inlineStr">
        <is>
          <t>대</t>
        </is>
      </c>
      <c r="D2930" s="3" t="inlineStr">
        <is>
          <t>대</t>
        </is>
      </c>
      <c r="E2930" s="3" t="inlineStr">
        <is>
          <t>매매</t>
        </is>
      </c>
      <c r="F2930" s="4" t="n">
        <v>35000</v>
      </c>
      <c r="G2930" s="4" t="n">
        <v>154</v>
      </c>
      <c r="H2930" s="4" t="n">
        <v>47</v>
      </c>
      <c r="I2930" s="5" t="n">
        <v>744.7</v>
      </c>
      <c r="J2930" s="4" t="n">
        <v>262.3</v>
      </c>
      <c r="K2930" s="3" t="inlineStr">
        <is>
          <t>조율가능 코너각지 소형 건폐율50프로</t>
        </is>
      </c>
      <c r="L2930" s="6">
        <f>HYPERLINK("https://fin.land.naver.com/articles/2643971878", "매물Link")</f>
        <v/>
      </c>
      <c r="M2930" s="6">
        <f>HYPERLINK("https://map.naver.com/p/search/세종특별자치시 반곡동 1005", "지도Link")</f>
        <v/>
      </c>
      <c r="N2930" s="6">
        <f>HYPERLINK("http://www.eum.go.kr/web/ar/lu/luLandDet.jsp?pnu=3611010100110050000&amp;isNoScr=script&amp;mode=search", "토지이음")</f>
        <v/>
      </c>
      <c r="O2930" s="3" t="inlineStr">
        <is>
          <t>세종스타</t>
        </is>
      </c>
      <c r="P2930" s="3" t="n">
        <v>1</v>
      </c>
      <c r="Q2930" s="3" t="n">
        <v>154</v>
      </c>
      <c r="R2930" s="3" t="inlineStr">
        <is>
          <t>지정되지않음</t>
        </is>
      </c>
      <c r="S2930" s="3" t="inlineStr">
        <is>
          <t>주거나지</t>
        </is>
      </c>
      <c r="T2930" s="3" t="inlineStr">
        <is>
          <t>평지</t>
        </is>
      </c>
      <c r="U2930" s="3" t="inlineStr">
        <is>
          <t>사다리형</t>
        </is>
      </c>
      <c r="V2930" s="3" t="inlineStr">
        <is>
          <t>소로한면</t>
        </is>
      </c>
    </row>
    <row r="2931">
      <c r="A2931" s="3" t="inlineStr">
        <is>
          <t>세종특별자치시 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급매 KDI옆 반곡동D2 넓은평수 144.71p</t>
        </is>
      </c>
      <c r="L2931" s="6">
        <f>HYPERLINK("https://fin.land.naver.com/articles/2649626883", "매물Link")</f>
        <v/>
      </c>
      <c r="M2931" s="6">
        <f>HYPERLINK("https://map.naver.com/p/search/세종특별자치시 반곡동 1061", "지도Link")</f>
        <v/>
      </c>
      <c r="N2931" s="6">
        <f>HYPERLINK("http://www.eum.go.kr/web/ar/lu/luLandDet.jsp?pnu=3611010100110610000&amp;isNoScr=script&amp;mode=search", "토지이음")</f>
        <v/>
      </c>
      <c r="O2931" s="3" t="inlineStr">
        <is>
          <t>세종스타</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세종특별자치시 반곡동 1061</t>
        </is>
      </c>
      <c r="B2932" s="3" t="inlineStr">
        <is>
          <t>제1종전용주거지역</t>
        </is>
      </c>
      <c r="C2932" s="3" t="inlineStr">
        <is>
          <t>대</t>
        </is>
      </c>
      <c r="D2932" s="3" t="inlineStr">
        <is>
          <t>대</t>
        </is>
      </c>
      <c r="E2932" s="3" t="inlineStr">
        <is>
          <t>매매</t>
        </is>
      </c>
      <c r="F2932" s="4" t="n">
        <v>70000</v>
      </c>
      <c r="G2932" s="4" t="n">
        <v>478</v>
      </c>
      <c r="H2932" s="4" t="n">
        <v>145</v>
      </c>
      <c r="I2932" s="5" t="n">
        <v>482.8</v>
      </c>
      <c r="J2932" s="4" t="n">
        <v>302.2</v>
      </c>
      <c r="K2932" s="3" t="inlineStr">
        <is>
          <t>반곡동 토지매매, 대형평형</t>
        </is>
      </c>
      <c r="L2932" s="6">
        <f>HYPERLINK("https://fin.land.naver.com/articles/2649001111", "매물Link")</f>
        <v/>
      </c>
      <c r="M2932" s="6">
        <f>HYPERLINK("https://map.naver.com/p/search/세종특별자치시 반곡동 1061", "지도Link")</f>
        <v/>
      </c>
      <c r="N2932" s="6">
        <f>HYPERLINK("http://www.eum.go.kr/web/ar/lu/luLandDet.jsp?pnu=3611010100110610000&amp;isNoScr=script&amp;mode=search", "토지이음")</f>
        <v/>
      </c>
      <c r="O2932" s="3" t="inlineStr">
        <is>
          <t>세종무지개</t>
        </is>
      </c>
      <c r="P2932" s="3" t="n">
        <v>1</v>
      </c>
      <c r="Q2932" s="3" t="n">
        <v>478.4</v>
      </c>
      <c r="R2932" s="3" t="inlineStr">
        <is>
          <t>지정되지않음</t>
        </is>
      </c>
      <c r="S2932" s="3" t="inlineStr">
        <is>
          <t>단독</t>
        </is>
      </c>
      <c r="T2932" s="3" t="inlineStr">
        <is>
          <t>평지</t>
        </is>
      </c>
      <c r="U2932" s="3" t="inlineStr">
        <is>
          <t>가로장방</t>
        </is>
      </c>
      <c r="V2932" s="3" t="inlineStr">
        <is>
          <t>소로한면</t>
        </is>
      </c>
    </row>
    <row r="2933">
      <c r="A2933" s="3" t="inlineStr">
        <is>
          <t>세종특별자치시 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HYPERLINK("https://map.naver.com/p/search/세종특별자치시 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세종특별자치시 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적극조율가능 공원앞 코너각지 135p</t>
        </is>
      </c>
      <c r="L2934" s="6">
        <f>HYPERLINK("https://fin.land.naver.com/articles/2648758746", "매물Link")</f>
        <v/>
      </c>
      <c r="M2934" s="6">
        <f>HYPERLINK("https://map.naver.com/p/search/세종특별자치시 반곡동 1077", "지도Link")</f>
        <v/>
      </c>
      <c r="N2934" s="6">
        <f>HYPERLINK("http://www.eum.go.kr/web/ar/lu/luLandDet.jsp?pnu=3611010100110770000&amp;isNoScr=script&amp;mode=search", "토지이음")</f>
        <v/>
      </c>
      <c r="O2934" s="3" t="inlineStr">
        <is>
          <t>세종스타</t>
        </is>
      </c>
      <c r="P2934" s="3" t="n">
        <v>2</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세종특별자치시 반곡동 1077</t>
        </is>
      </c>
      <c r="B2935" s="3" t="inlineStr">
        <is>
          <t>제1종전용주거지역</t>
        </is>
      </c>
      <c r="C2935" s="3" t="inlineStr">
        <is>
          <t>대</t>
        </is>
      </c>
      <c r="D2935" s="3" t="inlineStr">
        <is>
          <t>대</t>
        </is>
      </c>
      <c r="E2935" s="3" t="inlineStr">
        <is>
          <t>매매</t>
        </is>
      </c>
      <c r="F2935" s="4" t="n">
        <v>65000</v>
      </c>
      <c r="G2935" s="4" t="n">
        <v>445</v>
      </c>
      <c r="H2935" s="4" t="n">
        <v>135</v>
      </c>
      <c r="I2935" s="5" t="n">
        <v>481.5</v>
      </c>
      <c r="J2935" s="4" t="n">
        <v>308</v>
      </c>
      <c r="K2935" s="3" t="inlineStr">
        <is>
          <t>공원 앞, 사거리 코너 각지 위치, 입지 좋은 토지</t>
        </is>
      </c>
      <c r="L2935" s="6">
        <f>HYPERLINK("https://fin.land.naver.com/articles/2647427000", "매물Link")</f>
        <v/>
      </c>
      <c r="M2935" s="6">
        <f>HYPERLINK("https://map.naver.com/p/search/세종특별자치시 반곡동 1077", "지도Link")</f>
        <v/>
      </c>
      <c r="N2935" s="6">
        <f>HYPERLINK("http://www.eum.go.kr/web/ar/lu/luLandDet.jsp?pnu=3611010100110770000&amp;isNoScr=script&amp;mode=search", "토지이음")</f>
        <v/>
      </c>
      <c r="O2935" s="3" t="inlineStr">
        <is>
          <t>세종무지개</t>
        </is>
      </c>
      <c r="P2935" s="3" t="n">
        <v>1</v>
      </c>
      <c r="Q2935" s="3" t="n">
        <v>445.5</v>
      </c>
      <c r="R2935" s="3" t="inlineStr">
        <is>
          <t>지정되지않음</t>
        </is>
      </c>
      <c r="S2935" s="3" t="inlineStr">
        <is>
          <t>단독</t>
        </is>
      </c>
      <c r="T2935" s="3" t="inlineStr">
        <is>
          <t>평지</t>
        </is>
      </c>
      <c r="U2935" s="3" t="inlineStr">
        <is>
          <t>사다리형</t>
        </is>
      </c>
      <c r="V2935" s="3" t="inlineStr">
        <is>
          <t>소로각지</t>
        </is>
      </c>
    </row>
    <row r="2936">
      <c r="A2936" s="3" t="inlineStr">
        <is>
          <t>세종특별자치시 반곡동 1090</t>
        </is>
      </c>
      <c r="B2936" s="3" t="inlineStr">
        <is>
          <t>제1종전용주거지역</t>
        </is>
      </c>
      <c r="C2936" s="3" t="inlineStr">
        <is>
          <t>대</t>
        </is>
      </c>
      <c r="D2936" s="3" t="inlineStr">
        <is>
          <t>대</t>
        </is>
      </c>
      <c r="E2936" s="3" t="inlineStr">
        <is>
          <t>매매</t>
        </is>
      </c>
      <c r="F2936" s="4" t="n">
        <v>75000</v>
      </c>
      <c r="G2936" s="4" t="n">
        <v>442</v>
      </c>
      <c r="H2936" s="4" t="n">
        <v>134</v>
      </c>
      <c r="I2936" s="5" t="n">
        <v>559.7</v>
      </c>
      <c r="J2936" s="4" t="n">
        <v>308</v>
      </c>
      <c r="K2936" s="3" t="inlineStr">
        <is>
          <t>nan</t>
        </is>
      </c>
      <c r="L2936" s="6">
        <f>HYPERLINK("https://fin.land.naver.com/articles/2647198872", "매물Link")</f>
        <v/>
      </c>
      <c r="M2936" s="6">
        <f>HYPERLINK("https://map.naver.com/p/search/세종특별자치시 반곡동 1090", "지도Link")</f>
        <v/>
      </c>
      <c r="N2936" s="6">
        <f>HYPERLINK("http://www.eum.go.kr/web/ar/lu/luLandDet.jsp?pnu=3611010100110900000&amp;isNoScr=script&amp;mode=search", "토지이음")</f>
        <v/>
      </c>
      <c r="O2936" s="3" t="inlineStr">
        <is>
          <t>디아트성심</t>
        </is>
      </c>
      <c r="P2936" s="3" t="n">
        <v>1</v>
      </c>
      <c r="Q2936" s="3" t="n">
        <v>440</v>
      </c>
      <c r="R2936" s="3" t="inlineStr">
        <is>
          <t>지정되지않음</t>
        </is>
      </c>
      <c r="S2936" s="3" t="inlineStr">
        <is>
          <t>단독</t>
        </is>
      </c>
      <c r="T2936" s="3" t="inlineStr">
        <is>
          <t>평지</t>
        </is>
      </c>
      <c r="U2936" s="3" t="inlineStr">
        <is>
          <t>사다리형</t>
        </is>
      </c>
      <c r="V2936" s="3" t="inlineStr">
        <is>
          <t>소로각지</t>
        </is>
      </c>
    </row>
    <row r="2937">
      <c r="A2937" s="3" t="inlineStr">
        <is>
          <t>세종특별자치시 반곡동 1096</t>
        </is>
      </c>
      <c r="B2937" s="3" t="inlineStr">
        <is>
          <t>제1종전용주거지역</t>
        </is>
      </c>
      <c r="C2937" s="3" t="inlineStr">
        <is>
          <t>대</t>
        </is>
      </c>
      <c r="D2937" s="3" t="inlineStr">
        <is>
          <t>대</t>
        </is>
      </c>
      <c r="E2937" s="3" t="inlineStr">
        <is>
          <t>매매</t>
        </is>
      </c>
      <c r="F2937" s="4" t="n">
        <v>74700</v>
      </c>
      <c r="G2937" s="4" t="n">
        <v>466</v>
      </c>
      <c r="H2937" s="4" t="n">
        <v>141</v>
      </c>
      <c r="I2937" s="5" t="n">
        <v>529.8</v>
      </c>
      <c r="J2937" s="4" t="n">
        <v>302.2</v>
      </c>
      <c r="K2937" s="3" t="inlineStr">
        <is>
          <t>nan</t>
        </is>
      </c>
      <c r="L2937" s="6">
        <f>HYPERLINK("https://fin.land.naver.com/articles/2647198918", "매물Link")</f>
        <v/>
      </c>
      <c r="M2937" s="6">
        <f>HYPERLINK("https://map.naver.com/p/search/세종특별자치시 반곡동 1096", "지도Link")</f>
        <v/>
      </c>
      <c r="N2937" s="6">
        <f>HYPERLINK("http://www.eum.go.kr/web/ar/lu/luLandDet.jsp?pnu=3611010100110960000&amp;isNoScr=script&amp;mode=search", "토지이음")</f>
        <v/>
      </c>
      <c r="O2937" s="3" t="inlineStr">
        <is>
          <t>디아트성심</t>
        </is>
      </c>
      <c r="P2937" s="3" t="n">
        <v>1</v>
      </c>
      <c r="Q2937" s="3" t="n">
        <v>466</v>
      </c>
      <c r="R2937" s="3" t="inlineStr">
        <is>
          <t>지정되지않음</t>
        </is>
      </c>
      <c r="S2937" s="3" t="inlineStr">
        <is>
          <t>단독</t>
        </is>
      </c>
      <c r="T2937" s="3" t="inlineStr">
        <is>
          <t>평지</t>
        </is>
      </c>
      <c r="U2937" s="3" t="inlineStr">
        <is>
          <t>가로장방</t>
        </is>
      </c>
      <c r="V2937" s="3" t="inlineStr">
        <is>
          <t>소로한면</t>
        </is>
      </c>
    </row>
    <row r="2938">
      <c r="A2938" s="3" t="inlineStr">
        <is>
          <t>세종특별자치시 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HYPERLINK("https://map.naver.com/p/search/세종특별자치시 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세종특별자치시 반곡동 1107</t>
        </is>
      </c>
      <c r="B2939" s="3" t="inlineStr">
        <is>
          <t>제1종전용주거지역</t>
        </is>
      </c>
      <c r="C2939" s="3" t="inlineStr">
        <is>
          <t>대</t>
        </is>
      </c>
      <c r="D2939" s="3" t="inlineStr">
        <is>
          <t>대</t>
        </is>
      </c>
      <c r="E2939" s="3" t="inlineStr">
        <is>
          <t>매매</t>
        </is>
      </c>
      <c r="F2939" s="4" t="n">
        <v>67000</v>
      </c>
      <c r="G2939" s="4" t="n">
        <v>436</v>
      </c>
      <c r="H2939" s="4" t="n">
        <v>132</v>
      </c>
      <c r="I2939" s="5" t="n">
        <v>507.6</v>
      </c>
      <c r="J2939" s="4" t="n">
        <v>311.3</v>
      </c>
      <c r="K2939" s="3" t="inlineStr">
        <is>
          <t>삼거리 코너, 위치 좋은 반곡동 토지매매</t>
        </is>
      </c>
      <c r="L2939" s="6">
        <f>HYPERLINK("https://fin.land.naver.com/articles/2648999169", "매물Link")</f>
        <v/>
      </c>
      <c r="M2939" s="6">
        <f>HYPERLINK("https://map.naver.com/p/search/세종특별자치시 반곡동 1107", "지도Link")</f>
        <v/>
      </c>
      <c r="N2939" s="6">
        <f>HYPERLINK("http://www.eum.go.kr/web/ar/lu/luLandDet.jsp?pnu=3611010100111070000&amp;isNoScr=script&amp;mode=search", "토지이음")</f>
        <v/>
      </c>
      <c r="O2939" s="3" t="inlineStr">
        <is>
          <t>세종무지개</t>
        </is>
      </c>
      <c r="P2939" s="3" t="n">
        <v>1</v>
      </c>
      <c r="Q2939" s="3" t="n">
        <v>436</v>
      </c>
      <c r="R2939" s="3" t="inlineStr">
        <is>
          <t>지정되지않음</t>
        </is>
      </c>
      <c r="S2939" s="3" t="inlineStr">
        <is>
          <t>단독</t>
        </is>
      </c>
      <c r="T2939" s="3" t="inlineStr">
        <is>
          <t>평지</t>
        </is>
      </c>
      <c r="U2939" s="3" t="inlineStr">
        <is>
          <t>가로장방</t>
        </is>
      </c>
      <c r="V2939" s="3" t="inlineStr">
        <is>
          <t>소로각지</t>
        </is>
      </c>
    </row>
    <row r="2940">
      <c r="A2940" s="3" t="inlineStr">
        <is>
          <t>세종특별자치시 반곡동 1129</t>
        </is>
      </c>
      <c r="B2940" s="3" t="inlineStr">
        <is>
          <t>제1종일반주거지역</t>
        </is>
      </c>
      <c r="C2940" s="3" t="inlineStr">
        <is>
          <t>대</t>
        </is>
      </c>
      <c r="D2940" s="3" t="inlineStr">
        <is>
          <t>대</t>
        </is>
      </c>
      <c r="E2940" s="3" t="inlineStr">
        <is>
          <t>매매</t>
        </is>
      </c>
      <c r="F2940" s="4" t="n">
        <v>74400</v>
      </c>
      <c r="G2940" s="4" t="n">
        <v>184</v>
      </c>
      <c r="H2940" s="4" t="n">
        <v>56</v>
      </c>
      <c r="I2940" s="5" t="n">
        <v>1328.6</v>
      </c>
      <c r="J2940" s="4" t="n">
        <v>406.3</v>
      </c>
      <c r="K2940" s="3" t="inlineStr">
        <is>
          <t>상가주택용 토지,설계도면무료제공</t>
        </is>
      </c>
      <c r="L2940" s="6">
        <f>HYPERLINK("https://fin.land.naver.com/articles/2646878203", "매물Link")</f>
        <v/>
      </c>
      <c r="M2940" s="6">
        <f>HYPERLINK("https://map.naver.com/p/search/세종특별자치시 반곡동 1129", "지도Link")</f>
        <v/>
      </c>
      <c r="N2940" s="6">
        <f>HYPERLINK("http://www.eum.go.kr/web/ar/lu/luLandDet.jsp?pnu=3611010100111290000&amp;isNoScr=script&amp;mode=search", "토지이음")</f>
        <v/>
      </c>
      <c r="O2940" s="3" t="inlineStr">
        <is>
          <t>세종시티</t>
        </is>
      </c>
      <c r="P2940" s="3" t="n">
        <v>1</v>
      </c>
      <c r="Q2940" s="3" t="n">
        <v>184.4</v>
      </c>
      <c r="R2940" s="3" t="inlineStr">
        <is>
          <t>지정되지않음</t>
        </is>
      </c>
      <c r="S2940" s="3" t="inlineStr">
        <is>
          <t>주상나지</t>
        </is>
      </c>
      <c r="T2940" s="3" t="inlineStr">
        <is>
          <t>평지</t>
        </is>
      </c>
      <c r="U2940" s="3" t="inlineStr">
        <is>
          <t>사다리형</t>
        </is>
      </c>
      <c r="V2940" s="3" t="inlineStr">
        <is>
          <t>소로한면</t>
        </is>
      </c>
    </row>
    <row r="2941">
      <c r="A2941" s="3" t="inlineStr">
        <is>
          <t>세종특별자치시 반곡동 1130</t>
        </is>
      </c>
      <c r="B2941" s="3" t="inlineStr">
        <is>
          <t>제1종일반주거지역</t>
        </is>
      </c>
      <c r="C2941" s="3" t="inlineStr">
        <is>
          <t>대</t>
        </is>
      </c>
      <c r="D2941" s="3" t="inlineStr">
        <is>
          <t>대</t>
        </is>
      </c>
      <c r="E2941" s="3" t="inlineStr">
        <is>
          <t>매매</t>
        </is>
      </c>
      <c r="F2941" s="4" t="n">
        <v>76000</v>
      </c>
      <c r="G2941" s="4" t="n">
        <v>186</v>
      </c>
      <c r="H2941" s="4" t="n">
        <v>56</v>
      </c>
      <c r="I2941" s="5" t="n">
        <v>1357.1</v>
      </c>
      <c r="J2941" s="4" t="n">
        <v>406.3</v>
      </c>
      <c r="K2941" s="3" t="inlineStr">
        <is>
          <t>상가주택지매매, 협의가능, 설계도면제공원할시.
자세한건 사무실로 연락~</t>
        </is>
      </c>
      <c r="L2941" s="6">
        <f>HYPERLINK("https://fin.land.naver.com/articles/2646878289", "매물Link")</f>
        <v/>
      </c>
      <c r="M2941" s="6">
        <f>HYPERLINK("https://map.naver.com/p/search/세종특별자치시 반곡동 1130", "지도Link")</f>
        <v/>
      </c>
      <c r="N2941" s="6">
        <f>HYPERLINK("http://www.eum.go.kr/web/ar/lu/luLandDet.jsp?pnu=3611010100111300000&amp;isNoScr=script&amp;mode=search", "토지이음")</f>
        <v/>
      </c>
      <c r="O2941" s="3" t="inlineStr">
        <is>
          <t>세종시티</t>
        </is>
      </c>
      <c r="P2941" s="3" t="n">
        <v>1</v>
      </c>
      <c r="Q2941" s="3" t="n">
        <v>186.4</v>
      </c>
      <c r="R2941" s="3" t="inlineStr">
        <is>
          <t>지정되지않음</t>
        </is>
      </c>
      <c r="S2941" s="3" t="inlineStr">
        <is>
          <t>주상나지</t>
        </is>
      </c>
      <c r="T2941" s="3" t="inlineStr">
        <is>
          <t>평지</t>
        </is>
      </c>
      <c r="U2941" s="3" t="inlineStr">
        <is>
          <t>사다리형</t>
        </is>
      </c>
      <c r="V2941" s="3" t="inlineStr">
        <is>
          <t>소로한면</t>
        </is>
      </c>
    </row>
    <row r="2942">
      <c r="A2942" s="3" t="inlineStr">
        <is>
          <t>세종특별자치시 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명성공인, 전용186.64, 근생용지 추천 매물</t>
        </is>
      </c>
      <c r="L2942" s="6">
        <f>HYPERLINK("https://fin.land.naver.com/articles/2646317246", "매물Link")</f>
        <v/>
      </c>
      <c r="M2942" s="6">
        <f>HYPERLINK("https://map.naver.com/p/search/세종특별자치시 반곡동 1156", "지도Link")</f>
        <v/>
      </c>
      <c r="N2942" s="6">
        <f>HYPERLINK("http://www.eum.go.kr/web/ar/lu/luLandDet.jsp?pnu=3611010100111560000&amp;isNoScr=script&amp;mode=search", "토지이음")</f>
        <v/>
      </c>
      <c r="O2942" s="3" t="inlineStr">
        <is>
          <t>명성</t>
        </is>
      </c>
      <c r="P2942" s="3" t="n">
        <v>1</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세종특별자치시 반곡동 1156</t>
        </is>
      </c>
      <c r="B2943" s="3" t="inlineStr">
        <is>
          <t>제1종전용주거지역</t>
        </is>
      </c>
      <c r="C2943" s="3" t="inlineStr">
        <is>
          <t>대</t>
        </is>
      </c>
      <c r="D2943" s="3" t="inlineStr">
        <is>
          <t>대</t>
        </is>
      </c>
      <c r="E2943" s="3" t="inlineStr">
        <is>
          <t>매매</t>
        </is>
      </c>
      <c r="F2943" s="4" t="n">
        <v>210000</v>
      </c>
      <c r="G2943" s="4" t="n">
        <v>617</v>
      </c>
      <c r="H2943" s="4" t="n">
        <v>187</v>
      </c>
      <c r="I2943" s="5" t="n">
        <v>1123</v>
      </c>
      <c r="J2943" s="4" t="n">
        <v>581.2</v>
      </c>
      <c r="K2943" s="3" t="inlineStr">
        <is>
          <t>nan</t>
        </is>
      </c>
      <c r="L2943" s="6">
        <f>HYPERLINK("https://fin.land.naver.com/articles/2644433409", "매물Link")</f>
        <v/>
      </c>
      <c r="M2943" s="6">
        <f>HYPERLINK("https://map.naver.com/p/search/세종특별자치시 반곡동 1156", "지도Link")</f>
        <v/>
      </c>
      <c r="N2943" s="6">
        <f>HYPERLINK("http://www.eum.go.kr/web/ar/lu/luLandDet.jsp?pnu=3611010100111560000&amp;isNoScr=script&amp;mode=search", "토지이음")</f>
        <v/>
      </c>
      <c r="O2943" s="3" t="inlineStr">
        <is>
          <t>국제</t>
        </is>
      </c>
      <c r="P2943" s="3" t="n">
        <v>2</v>
      </c>
      <c r="Q2943" s="3" t="n">
        <v>617</v>
      </c>
      <c r="R2943" s="3" t="inlineStr">
        <is>
          <t>지정되지않음</t>
        </is>
      </c>
      <c r="S2943" s="3" t="inlineStr">
        <is>
          <t>상업나지</t>
        </is>
      </c>
      <c r="T2943" s="3" t="inlineStr">
        <is>
          <t>평지</t>
        </is>
      </c>
      <c r="U2943" s="3" t="inlineStr">
        <is>
          <t>정방형</t>
        </is>
      </c>
      <c r="V2943" s="3" t="inlineStr">
        <is>
          <t>중로각지</t>
        </is>
      </c>
    </row>
    <row r="2944">
      <c r="A2944" s="3" t="inlineStr">
        <is>
          <t>세종특별자치시 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초등학교 인접, 반곡동 토지매매, 지대 높음</t>
        </is>
      </c>
      <c r="L2944" s="6">
        <f>HYPERLINK("https://fin.land.naver.com/articles/2648994826", "매물Link")</f>
        <v/>
      </c>
      <c r="M2944" s="6">
        <f>HYPERLINK("https://map.naver.com/p/search/세종특별자치시 반곡동 901", "지도Link")</f>
        <v/>
      </c>
      <c r="N2944" s="6">
        <f>HYPERLINK("http://www.eum.go.kr/web/ar/lu/luLandDet.jsp?pnu=3611010100109010000&amp;isNoScr=script&amp;mode=search", "토지이음")</f>
        <v/>
      </c>
      <c r="O2944" s="3" t="inlineStr">
        <is>
          <t>세종무지개</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세종특별자치시 반곡동 901</t>
        </is>
      </c>
      <c r="B2945" s="3" t="inlineStr">
        <is>
          <t>제1종전용주거지역</t>
        </is>
      </c>
      <c r="C2945" s="3" t="inlineStr">
        <is>
          <t>대</t>
        </is>
      </c>
      <c r="D2945" s="3" t="inlineStr">
        <is>
          <t>대</t>
        </is>
      </c>
      <c r="E2945" s="3" t="inlineStr">
        <is>
          <t>매매</t>
        </is>
      </c>
      <c r="F2945" s="4" t="n">
        <v>88000</v>
      </c>
      <c r="G2945" s="4" t="n">
        <v>289</v>
      </c>
      <c r="H2945" s="4" t="n">
        <v>87</v>
      </c>
      <c r="I2945" s="5" t="n">
        <v>1011.5</v>
      </c>
      <c r="J2945" s="4" t="n">
        <v>262.6</v>
      </c>
      <c r="K2945" s="3" t="inlineStr">
        <is>
          <t>지대높고 옆조망 뒷조망 잘나오는곳 초등학교 인접 BRT 인접</t>
        </is>
      </c>
      <c r="L2945" s="6">
        <f>HYPERLINK("https://fin.land.naver.com/articles/2648716234", "매물Link")</f>
        <v/>
      </c>
      <c r="M2945" s="6">
        <f>HYPERLINK("https://map.naver.com/p/search/세종특별자치시 반곡동 901", "지도Link")</f>
        <v/>
      </c>
      <c r="N2945" s="6">
        <f>HYPERLINK("http://www.eum.go.kr/web/ar/lu/luLandDet.jsp?pnu=3611010100109010000&amp;isNoScr=script&amp;mode=search", "토지이음")</f>
        <v/>
      </c>
      <c r="O2945" s="3" t="inlineStr">
        <is>
          <t>세종스타</t>
        </is>
      </c>
      <c r="P2945" s="3" t="n">
        <v>1</v>
      </c>
      <c r="Q2945" s="3" t="n">
        <v>289</v>
      </c>
      <c r="R2945" s="3" t="inlineStr">
        <is>
          <t>지정되지않음</t>
        </is>
      </c>
      <c r="S2945" s="3" t="inlineStr">
        <is>
          <t>주거나지</t>
        </is>
      </c>
      <c r="T2945" s="3" t="inlineStr">
        <is>
          <t>평지</t>
        </is>
      </c>
      <c r="U2945" s="3" t="inlineStr">
        <is>
          <t>사다리형</t>
        </is>
      </c>
      <c r="V2945" s="3" t="inlineStr">
        <is>
          <t>소로한면</t>
        </is>
      </c>
    </row>
    <row r="2946">
      <c r="A2946" s="3" t="inlineStr">
        <is>
          <t>세종특별자치시 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HYPERLINK("https://map.naver.com/p/search/세종특별자치시 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세종특별자치시 반곡동 908</t>
        </is>
      </c>
      <c r="B2947" s="3" t="inlineStr">
        <is>
          <t>제1종전용주거지역</t>
        </is>
      </c>
      <c r="C2947" s="3" t="inlineStr">
        <is>
          <t>대</t>
        </is>
      </c>
      <c r="D2947" s="3" t="inlineStr">
        <is>
          <t>대</t>
        </is>
      </c>
      <c r="E2947" s="3" t="inlineStr">
        <is>
          <t>매매</t>
        </is>
      </c>
      <c r="F2947" s="4" t="n">
        <v>80000</v>
      </c>
      <c r="G2947" s="4" t="n">
        <v>321</v>
      </c>
      <c r="H2947" s="4" t="n">
        <v>97</v>
      </c>
      <c r="I2947" s="5" t="n">
        <v>824.7</v>
      </c>
      <c r="J2947" s="4" t="n">
        <v>270.5</v>
      </c>
      <c r="K2947" s="3" t="inlineStr">
        <is>
          <t>3면코너 시유지접함 위치최상</t>
        </is>
      </c>
      <c r="L2947" s="6">
        <f>HYPERLINK("https://fin.land.naver.com/articles/2649625832", "매물Link")</f>
        <v/>
      </c>
      <c r="M2947" s="6">
        <f>HYPERLINK("https://map.naver.com/p/search/세종특별자치시 반곡동 908", "지도Link")</f>
        <v/>
      </c>
      <c r="N2947" s="6">
        <f>HYPERLINK("http://www.eum.go.kr/web/ar/lu/luLandDet.jsp?pnu=3611010100109080000&amp;isNoScr=script&amp;mode=search", "토지이음")</f>
        <v/>
      </c>
      <c r="O2947" s="3" t="inlineStr">
        <is>
          <t>세종스타</t>
        </is>
      </c>
      <c r="P2947" s="3" t="n">
        <v>1</v>
      </c>
      <c r="Q2947" s="3" t="n">
        <v>321</v>
      </c>
      <c r="R2947" s="3" t="inlineStr">
        <is>
          <t>지정되지않음</t>
        </is>
      </c>
      <c r="S2947" s="3" t="inlineStr">
        <is>
          <t>주거나지</t>
        </is>
      </c>
      <c r="T2947" s="3" t="inlineStr">
        <is>
          <t>평지</t>
        </is>
      </c>
      <c r="U2947" s="3" t="inlineStr">
        <is>
          <t>사다리형</t>
        </is>
      </c>
      <c r="V2947" s="3" t="inlineStr">
        <is>
          <t>소로각지</t>
        </is>
      </c>
    </row>
    <row r="2948">
      <c r="A2948" s="3" t="inlineStr">
        <is>
          <t>세종특별자치시 반곡동 913</t>
        </is>
      </c>
      <c r="B2948" s="3" t="inlineStr">
        <is>
          <t>제1종전용주거지역</t>
        </is>
      </c>
      <c r="C2948" s="3" t="inlineStr">
        <is>
          <t>대</t>
        </is>
      </c>
      <c r="D2948" s="3" t="inlineStr">
        <is>
          <t>대</t>
        </is>
      </c>
      <c r="E2948" s="3" t="inlineStr">
        <is>
          <t>매매</t>
        </is>
      </c>
      <c r="F2948" s="4" t="n">
        <v>64000</v>
      </c>
      <c r="G2948" s="4" t="n">
        <v>294</v>
      </c>
      <c r="H2948" s="4" t="n">
        <v>89</v>
      </c>
      <c r="I2948" s="5" t="n">
        <v>719.1</v>
      </c>
      <c r="J2948" s="4" t="n">
        <v>262.6</v>
      </c>
      <c r="K2948" s="3" t="inlineStr">
        <is>
          <t>괴화산과 공지 품은 힐링되는 귀한 반곡동 단독주택 필지</t>
        </is>
      </c>
      <c r="L2948" s="6">
        <f>HYPERLINK("https://fin.land.naver.com/articles/2644754204", "매물Link")</f>
        <v/>
      </c>
      <c r="M2948" s="6">
        <f>HYPERLINK("https://map.naver.com/p/search/세종특별자치시 반곡동 913", "지도Link")</f>
        <v/>
      </c>
      <c r="N2948" s="6">
        <f>HYPERLINK("http://www.eum.go.kr/web/ar/lu/luLandDet.jsp?pnu=3611010100109130000&amp;isNoScr=script&amp;mode=search", "토지이음")</f>
        <v/>
      </c>
      <c r="O2948" s="3" t="inlineStr">
        <is>
          <t>세종신한</t>
        </is>
      </c>
      <c r="P2948" s="3" t="n">
        <v>1</v>
      </c>
      <c r="Q2948" s="3" t="n">
        <v>294</v>
      </c>
      <c r="R2948" s="3" t="inlineStr">
        <is>
          <t>지정되지않음</t>
        </is>
      </c>
      <c r="S2948" s="3" t="inlineStr">
        <is>
          <t>주거나지</t>
        </is>
      </c>
      <c r="T2948" s="3" t="inlineStr">
        <is>
          <t>평지</t>
        </is>
      </c>
      <c r="U2948" s="3" t="inlineStr">
        <is>
          <t>사다리형</t>
        </is>
      </c>
      <c r="V2948" s="3" t="inlineStr">
        <is>
          <t>소로한면</t>
        </is>
      </c>
    </row>
    <row r="2949">
      <c r="A2949" s="3" t="inlineStr">
        <is>
          <t>세종특별자치시 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산접한곳 숲유치원 초등학교 인근</t>
        </is>
      </c>
      <c r="L2949" s="6">
        <f>HYPERLINK("https://fin.land.naver.com/articles/2649626129", "매물Link")</f>
        <v/>
      </c>
      <c r="M2949" s="6">
        <f>HYPERLINK("https://map.naver.com/p/search/세종특별자치시 반곡동 915", "지도Link")</f>
        <v/>
      </c>
      <c r="N2949" s="6">
        <f>HYPERLINK("http://www.eum.go.kr/web/ar/lu/luLandDet.jsp?pnu=3611010100109150000&amp;isNoScr=script&amp;mode=search", "토지이음")</f>
        <v/>
      </c>
      <c r="O2949" s="3" t="inlineStr">
        <is>
          <t>세종스타</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세종특별자치시 반곡동 915</t>
        </is>
      </c>
      <c r="B2950" s="3" t="inlineStr">
        <is>
          <t>제1종전용주거지역</t>
        </is>
      </c>
      <c r="C2950" s="3" t="inlineStr">
        <is>
          <t>대</t>
        </is>
      </c>
      <c r="D2950" s="3" t="inlineStr">
        <is>
          <t>대</t>
        </is>
      </c>
      <c r="E2950" s="3" t="inlineStr">
        <is>
          <t>매매</t>
        </is>
      </c>
      <c r="F2950" s="4" t="n">
        <v>65000</v>
      </c>
      <c r="G2950" s="4" t="n">
        <v>295</v>
      </c>
      <c r="H2950" s="4" t="n">
        <v>89</v>
      </c>
      <c r="I2950" s="5" t="n">
        <v>730.3</v>
      </c>
      <c r="J2950" s="4" t="n">
        <v>262.6</v>
      </c>
      <c r="K2950" s="3" t="inlineStr">
        <is>
          <t>유치원. 초등학교 인근, 조용한 입지 토지</t>
        </is>
      </c>
      <c r="L2950" s="6">
        <f>HYPERLINK("https://fin.land.naver.com/articles/2649002989", "매물Link")</f>
        <v/>
      </c>
      <c r="M2950" s="6">
        <f>HYPERLINK("https://map.naver.com/p/search/세종특별자치시 반곡동 915", "지도Link")</f>
        <v/>
      </c>
      <c r="N2950" s="6">
        <f>HYPERLINK("http://www.eum.go.kr/web/ar/lu/luLandDet.jsp?pnu=3611010100109150000&amp;isNoScr=script&amp;mode=search", "토지이음")</f>
        <v/>
      </c>
      <c r="O2950" s="3" t="inlineStr">
        <is>
          <t>세종무지개</t>
        </is>
      </c>
      <c r="P2950" s="3" t="n">
        <v>1</v>
      </c>
      <c r="Q2950" s="3" t="n">
        <v>295</v>
      </c>
      <c r="R2950" s="3" t="inlineStr">
        <is>
          <t>지정되지않음</t>
        </is>
      </c>
      <c r="S2950" s="3" t="inlineStr">
        <is>
          <t>주거나지</t>
        </is>
      </c>
      <c r="T2950" s="3" t="inlineStr">
        <is>
          <t>평지</t>
        </is>
      </c>
      <c r="U2950" s="3" t="inlineStr">
        <is>
          <t>사다리형</t>
        </is>
      </c>
      <c r="V2950" s="3" t="inlineStr">
        <is>
          <t>소로한면</t>
        </is>
      </c>
    </row>
    <row r="2951">
      <c r="A2951" s="3" t="inlineStr">
        <is>
          <t>세종특별자치시 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위치좋은 지대높은 토지, 97.2p, 시유지 40p 사용가능</t>
        </is>
      </c>
      <c r="L2951" s="6">
        <f>HYPERLINK("https://fin.land.naver.com/articles/2645253146", "매물Link")</f>
        <v/>
      </c>
      <c r="M2951" s="6">
        <f>HYPERLINK("https://map.naver.com/p/search/세종특별자치시 반곡동 932", "지도Link")</f>
        <v/>
      </c>
      <c r="N2951" s="6">
        <f>HYPERLINK("http://www.eum.go.kr/web/ar/lu/luLandDet.jsp?pnu=3611010100109320000&amp;isNoScr=script&amp;mode=search", "토지이음")</f>
        <v/>
      </c>
      <c r="O2951" s="3" t="inlineStr">
        <is>
          <t>세종무지개</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세종특별자치시 반곡동 932</t>
        </is>
      </c>
      <c r="B2952" s="3" t="inlineStr">
        <is>
          <t>제1종전용주거지역</t>
        </is>
      </c>
      <c r="C2952" s="3" t="inlineStr">
        <is>
          <t>대</t>
        </is>
      </c>
      <c r="D2952" s="3" t="inlineStr">
        <is>
          <t>대</t>
        </is>
      </c>
      <c r="E2952" s="3" t="inlineStr">
        <is>
          <t>매매</t>
        </is>
      </c>
      <c r="F2952" s="4" t="n">
        <v>97000</v>
      </c>
      <c r="G2952" s="4" t="n">
        <v>321</v>
      </c>
      <c r="H2952" s="4" t="n">
        <v>97</v>
      </c>
      <c r="I2952" s="5" t="n">
        <v>1000</v>
      </c>
      <c r="J2952" s="4" t="n">
        <v>262.3</v>
      </c>
      <c r="K2952" s="3" t="inlineStr">
        <is>
          <t>시유지접한 코너각지 조용한위치 조율가능</t>
        </is>
      </c>
      <c r="L2952" s="6">
        <f>HYPERLINK("https://fin.land.naver.com/articles/2644917557", "매물Link")</f>
        <v/>
      </c>
      <c r="M2952" s="6">
        <f>HYPERLINK("https://map.naver.com/p/search/세종특별자치시 반곡동 932", "지도Link")</f>
        <v/>
      </c>
      <c r="N2952" s="6">
        <f>HYPERLINK("http://www.eum.go.kr/web/ar/lu/luLandDet.jsp?pnu=3611010100109320000&amp;isNoScr=script&amp;mode=search", "토지이음")</f>
        <v/>
      </c>
      <c r="O2952" s="3" t="inlineStr">
        <is>
          <t>세종스타</t>
        </is>
      </c>
      <c r="P2952" s="3" t="n">
        <v>1</v>
      </c>
      <c r="Q2952" s="3" t="n">
        <v>321</v>
      </c>
      <c r="R2952" s="3" t="inlineStr">
        <is>
          <t>지정되지않음</t>
        </is>
      </c>
      <c r="S2952" s="3" t="inlineStr">
        <is>
          <t>주거나지</t>
        </is>
      </c>
      <c r="T2952" s="3" t="inlineStr">
        <is>
          <t>평지</t>
        </is>
      </c>
      <c r="U2952" s="3" t="inlineStr">
        <is>
          <t>사다리형</t>
        </is>
      </c>
      <c r="V2952" s="3" t="inlineStr">
        <is>
          <t>소로한면</t>
        </is>
      </c>
    </row>
    <row r="2953">
      <c r="A2953" s="3" t="inlineStr">
        <is>
          <t>세종특별자치시 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실개천옆 벙커주차장 설계가능 적극조율 협의가능</t>
        </is>
      </c>
      <c r="L2953" s="6">
        <f>HYPERLINK("https://fin.land.naver.com/articles/2649625471", "매물Link")</f>
        <v/>
      </c>
      <c r="M2953" s="6">
        <f>HYPERLINK("https://map.naver.com/p/search/세종특별자치시 반곡동 943", "지도Link")</f>
        <v/>
      </c>
      <c r="N2953" s="6">
        <f>HYPERLINK("http://www.eum.go.kr/web/ar/lu/luLandDet.jsp?pnu=3611010100109430000&amp;isNoScr=script&amp;mode=search", "토지이음")</f>
        <v/>
      </c>
      <c r="O2953" s="3" t="inlineStr">
        <is>
          <t>세종스타</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세종특별자치시 반곡동 943</t>
        </is>
      </c>
      <c r="B2954" s="3" t="inlineStr">
        <is>
          <t>제1종전용주거지역</t>
        </is>
      </c>
      <c r="C2954" s="3" t="inlineStr">
        <is>
          <t>대</t>
        </is>
      </c>
      <c r="D2954" s="3" t="inlineStr">
        <is>
          <t>대</t>
        </is>
      </c>
      <c r="E2954" s="3" t="inlineStr">
        <is>
          <t>매매</t>
        </is>
      </c>
      <c r="F2954" s="4" t="n">
        <v>73000</v>
      </c>
      <c r="G2954" s="4" t="n">
        <v>350</v>
      </c>
      <c r="H2954" s="4" t="n">
        <v>106</v>
      </c>
      <c r="I2954" s="5" t="n">
        <v>688.7</v>
      </c>
      <c r="J2954" s="4" t="n">
        <v>262.3</v>
      </c>
      <c r="K2954" s="3" t="inlineStr">
        <is>
          <t>조율가능, 벙커주차장가능, 반곡동 토지매매</t>
        </is>
      </c>
      <c r="L2954" s="6">
        <f>HYPERLINK("https://fin.land.naver.com/articles/2648987702", "매물Link")</f>
        <v/>
      </c>
      <c r="M2954" s="6">
        <f>HYPERLINK("https://map.naver.com/p/search/세종특별자치시 반곡동 943", "지도Link")</f>
        <v/>
      </c>
      <c r="N2954" s="6">
        <f>HYPERLINK("http://www.eum.go.kr/web/ar/lu/luLandDet.jsp?pnu=3611010100109430000&amp;isNoScr=script&amp;mode=search", "토지이음")</f>
        <v/>
      </c>
      <c r="O2954" s="3" t="inlineStr">
        <is>
          <t>세종무지개</t>
        </is>
      </c>
      <c r="P2954" s="3" t="n">
        <v>1</v>
      </c>
      <c r="Q2954" s="3" t="n">
        <v>350</v>
      </c>
      <c r="R2954" s="3" t="inlineStr">
        <is>
          <t>지정되지않음</t>
        </is>
      </c>
      <c r="S2954" s="3" t="inlineStr">
        <is>
          <t>주거나지</t>
        </is>
      </c>
      <c r="T2954" s="3" t="inlineStr">
        <is>
          <t>평지</t>
        </is>
      </c>
      <c r="U2954" s="3" t="inlineStr">
        <is>
          <t>사다리형</t>
        </is>
      </c>
      <c r="V2954" s="3" t="inlineStr">
        <is>
          <t>소로한면</t>
        </is>
      </c>
    </row>
    <row r="2955">
      <c r="A2955" s="3" t="inlineStr">
        <is>
          <t>세종특별자치시 반곡동 947</t>
        </is>
      </c>
      <c r="B2955" s="3" t="inlineStr">
        <is>
          <t>제1종전용주거지역</t>
        </is>
      </c>
      <c r="C2955" s="3" t="inlineStr">
        <is>
          <t>대</t>
        </is>
      </c>
      <c r="D2955" s="3" t="inlineStr">
        <is>
          <t>대</t>
        </is>
      </c>
      <c r="E2955" s="3" t="inlineStr">
        <is>
          <t>매매</t>
        </is>
      </c>
      <c r="F2955" s="4" t="n">
        <v>83000</v>
      </c>
      <c r="G2955" s="4" t="n">
        <v>343</v>
      </c>
      <c r="H2955" s="4" t="n">
        <v>104</v>
      </c>
      <c r="I2955" s="5" t="n">
        <v>798.1</v>
      </c>
      <c r="J2955" s="4" t="n">
        <v>262.3</v>
      </c>
      <c r="K2955" s="3" t="inlineStr">
        <is>
          <t>조율가능 산조망 조용한곳 땅모양 네모반듯</t>
        </is>
      </c>
      <c r="L2955" s="6">
        <f>HYPERLINK("https://fin.land.naver.com/articles/2643971813", "매물Link")</f>
        <v/>
      </c>
      <c r="M2955" s="6">
        <f>HYPERLINK("https://map.naver.com/p/search/세종특별자치시 반곡동 947", "지도Link")</f>
        <v/>
      </c>
      <c r="N2955" s="6">
        <f>HYPERLINK("http://www.eum.go.kr/web/ar/lu/luLandDet.jsp?pnu=3611010100109470000&amp;isNoScr=script&amp;mode=search", "토지이음")</f>
        <v/>
      </c>
      <c r="O2955" s="3" t="inlineStr">
        <is>
          <t>세종스타</t>
        </is>
      </c>
      <c r="P2955" s="3" t="n">
        <v>1</v>
      </c>
      <c r="Q2955" s="3" t="n">
        <v>343</v>
      </c>
      <c r="R2955" s="3" t="inlineStr">
        <is>
          <t>지정되지않음</t>
        </is>
      </c>
      <c r="S2955" s="3" t="inlineStr">
        <is>
          <t>주거나지</t>
        </is>
      </c>
      <c r="T2955" s="3" t="inlineStr">
        <is>
          <t>평지</t>
        </is>
      </c>
      <c r="U2955" s="3" t="inlineStr">
        <is>
          <t>사다리형</t>
        </is>
      </c>
      <c r="V2955" s="3" t="inlineStr">
        <is>
          <t>소로한면</t>
        </is>
      </c>
    </row>
    <row r="2956">
      <c r="A2956" s="3" t="inlineStr">
        <is>
          <t>세종특별자치시 반곡동 959</t>
        </is>
      </c>
      <c r="B2956" s="3" t="inlineStr">
        <is>
          <t>제1종전용주거지역</t>
        </is>
      </c>
      <c r="C2956" s="3" t="inlineStr">
        <is>
          <t>대</t>
        </is>
      </c>
      <c r="D2956" s="3" t="inlineStr">
        <is>
          <t>대</t>
        </is>
      </c>
      <c r="E2956" s="3" t="inlineStr">
        <is>
          <t>매매</t>
        </is>
      </c>
      <c r="F2956" s="4" t="n">
        <v>88000</v>
      </c>
      <c r="G2956" s="4" t="n">
        <v>361</v>
      </c>
      <c r="H2956" s="4" t="n">
        <v>109</v>
      </c>
      <c r="I2956" s="5" t="n">
        <v>807.3</v>
      </c>
      <c r="J2956" s="4" t="n">
        <v>262.3</v>
      </c>
      <c r="K2956" s="3" t="inlineStr">
        <is>
          <t>추가조율가능 벙커주차장가능 지대높고 개인사생활최상</t>
        </is>
      </c>
      <c r="L2956" s="6">
        <f>HYPERLINK("https://fin.land.naver.com/articles/2644482988", "매물Link")</f>
        <v/>
      </c>
      <c r="M2956" s="6">
        <f>HYPERLINK("https://map.naver.com/p/search/세종특별자치시 반곡동 959", "지도Link")</f>
        <v/>
      </c>
      <c r="N2956" s="6">
        <f>HYPERLINK("http://www.eum.go.kr/web/ar/lu/luLandDet.jsp?pnu=3611010100109590000&amp;isNoScr=script&amp;mode=search", "토지이음")</f>
        <v/>
      </c>
      <c r="O2956" s="3" t="inlineStr">
        <is>
          <t>세종스타</t>
        </is>
      </c>
      <c r="P2956" s="3" t="n">
        <v>1</v>
      </c>
      <c r="Q2956" s="3" t="n">
        <v>361</v>
      </c>
      <c r="R2956" s="3" t="inlineStr">
        <is>
          <t>지정되지않음</t>
        </is>
      </c>
      <c r="S2956" s="3" t="inlineStr">
        <is>
          <t>주거나지</t>
        </is>
      </c>
      <c r="T2956" s="3" t="inlineStr">
        <is>
          <t>평지</t>
        </is>
      </c>
      <c r="U2956" s="3" t="inlineStr">
        <is>
          <t>사다리형</t>
        </is>
      </c>
      <c r="V2956" s="3" t="inlineStr">
        <is>
          <t>소로한면</t>
        </is>
      </c>
    </row>
    <row r="2957">
      <c r="A2957" s="3" t="inlineStr">
        <is>
          <t>세종특별자치시 반곡동 962</t>
        </is>
      </c>
      <c r="B2957" s="3" t="inlineStr">
        <is>
          <t>제1종전용주거지역</t>
        </is>
      </c>
      <c r="C2957" s="3" t="inlineStr">
        <is>
          <t>대</t>
        </is>
      </c>
      <c r="D2957" s="3" t="inlineStr">
        <is>
          <t>대</t>
        </is>
      </c>
      <c r="E2957" s="3" t="inlineStr">
        <is>
          <t>매매</t>
        </is>
      </c>
      <c r="F2957" s="4" t="n">
        <v>65000</v>
      </c>
      <c r="G2957" s="4" t="n">
        <v>308</v>
      </c>
      <c r="H2957" s="4" t="n">
        <v>93</v>
      </c>
      <c r="I2957" s="5" t="n">
        <v>698.9</v>
      </c>
      <c r="J2957" s="4" t="n">
        <v>262.3</v>
      </c>
      <c r="K2957" s="3" t="inlineStr">
        <is>
          <t>산접한곳 벙커주차장가능 남향보행로접 조율가능</t>
        </is>
      </c>
      <c r="L2957" s="6">
        <f>HYPERLINK("https://fin.land.naver.com/articles/2648979040", "매물Link")</f>
        <v/>
      </c>
      <c r="M2957" s="6">
        <f>HYPERLINK("https://map.naver.com/p/search/세종특별자치시 반곡동 962", "지도Link")</f>
        <v/>
      </c>
      <c r="N2957" s="6">
        <f>HYPERLINK("http://www.eum.go.kr/web/ar/lu/luLandDet.jsp?pnu=3611010100109620000&amp;isNoScr=script&amp;mode=search", "토지이음")</f>
        <v/>
      </c>
      <c r="O2957" s="3" t="inlineStr">
        <is>
          <t>세종스타</t>
        </is>
      </c>
      <c r="P2957" s="3" t="n">
        <v>2</v>
      </c>
      <c r="Q2957" s="3" t="n">
        <v>308</v>
      </c>
      <c r="R2957" s="3" t="inlineStr">
        <is>
          <t>지정되지않음</t>
        </is>
      </c>
      <c r="S2957" s="3" t="inlineStr">
        <is>
          <t>주거나지</t>
        </is>
      </c>
      <c r="T2957" s="3" t="inlineStr">
        <is>
          <t>평지</t>
        </is>
      </c>
      <c r="U2957" s="3" t="inlineStr">
        <is>
          <t>사다리형</t>
        </is>
      </c>
      <c r="V2957" s="3" t="inlineStr">
        <is>
          <t>소로한면</t>
        </is>
      </c>
    </row>
    <row r="2958">
      <c r="A2958" s="3" t="inlineStr">
        <is>
          <t>세종특별자치시 반곡동 963</t>
        </is>
      </c>
      <c r="B2958" s="3" t="inlineStr">
        <is>
          <t>제1종전용주거지역</t>
        </is>
      </c>
      <c r="C2958" s="3" t="inlineStr">
        <is>
          <t>대</t>
        </is>
      </c>
      <c r="D2958" s="3" t="inlineStr">
        <is>
          <t>대</t>
        </is>
      </c>
      <c r="E2958" s="3" t="inlineStr">
        <is>
          <t>매매</t>
        </is>
      </c>
      <c r="F2958" s="4" t="n">
        <v>90000</v>
      </c>
      <c r="G2958" s="4" t="n">
        <v>423</v>
      </c>
      <c r="H2958" s="4" t="n">
        <v>128</v>
      </c>
      <c r="I2958" s="5" t="n">
        <v>703.1</v>
      </c>
      <c r="J2958" s="4" t="n">
        <v>262.3</v>
      </c>
      <c r="K2958" s="3" t="inlineStr">
        <is>
          <t>넓은평수,넓은지하주차장가능,고급 단독주택지,조율가</t>
        </is>
      </c>
      <c r="L2958" s="6">
        <f>HYPERLINK("https://fin.land.naver.com/articles/2646878072", "매물Link")</f>
        <v/>
      </c>
      <c r="M2958" s="6">
        <f>HYPERLINK("https://map.naver.com/p/search/세종특별자치시 반곡동 963", "지도Link")</f>
        <v/>
      </c>
      <c r="N2958" s="6">
        <f>HYPERLINK("http://www.eum.go.kr/web/ar/lu/luLandDet.jsp?pnu=3611010100109630000&amp;isNoScr=script&amp;mode=search", "토지이음")</f>
        <v/>
      </c>
      <c r="O2958" s="3" t="inlineStr">
        <is>
          <t>세종시티</t>
        </is>
      </c>
      <c r="P2958" s="3" t="n">
        <v>1</v>
      </c>
      <c r="Q2958" s="3" t="n">
        <v>423</v>
      </c>
      <c r="R2958" s="3" t="inlineStr">
        <is>
          <t>지정되지않음</t>
        </is>
      </c>
      <c r="S2958" s="3" t="inlineStr">
        <is>
          <t>주거나지</t>
        </is>
      </c>
      <c r="T2958" s="3" t="inlineStr">
        <is>
          <t>평지</t>
        </is>
      </c>
      <c r="U2958" s="3" t="inlineStr">
        <is>
          <t>사다리형</t>
        </is>
      </c>
      <c r="V2958" s="3" t="inlineStr">
        <is>
          <t>소로한면</t>
        </is>
      </c>
    </row>
    <row r="2959">
      <c r="A2959" s="3" t="inlineStr">
        <is>
          <t>세종특별자치시 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HYPERLINK("https://map.naver.com/p/search/세종특별자치시 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세종특별자치시 반곡동 979</t>
        </is>
      </c>
      <c r="B2960" s="3" t="inlineStr">
        <is>
          <t>제1종전용주거지역</t>
        </is>
      </c>
      <c r="C2960" s="3" t="inlineStr">
        <is>
          <t>대</t>
        </is>
      </c>
      <c r="D2960" s="3" t="inlineStr">
        <is>
          <t>대</t>
        </is>
      </c>
      <c r="E2960" s="3" t="inlineStr">
        <is>
          <t>매매</t>
        </is>
      </c>
      <c r="F2960" s="4" t="n">
        <v>68000</v>
      </c>
      <c r="G2960" s="4" t="n">
        <v>324</v>
      </c>
      <c r="H2960" s="4" t="n">
        <v>98</v>
      </c>
      <c r="I2960" s="5" t="n">
        <v>693.9</v>
      </c>
      <c r="J2960" s="4" t="n">
        <v>262.3</v>
      </c>
      <c r="K2960" s="3" t="inlineStr">
        <is>
          <t>반곡동 위치 좋은 단독주택, 코너입지</t>
        </is>
      </c>
      <c r="L2960" s="6">
        <f>HYPERLINK("https://fin.land.naver.com/articles/2648962092", "매물Link")</f>
        <v/>
      </c>
      <c r="M2960" s="6">
        <f>HYPERLINK("https://map.naver.com/p/search/세종특별자치시 반곡동 979", "지도Link")</f>
        <v/>
      </c>
      <c r="N2960" s="6">
        <f>HYPERLINK("http://www.eum.go.kr/web/ar/lu/luLandDet.jsp?pnu=3611010100109790000&amp;isNoScr=script&amp;mode=search", "토지이음")</f>
        <v/>
      </c>
      <c r="O2960" s="3" t="inlineStr">
        <is>
          <t>세종무지개</t>
        </is>
      </c>
      <c r="P2960" s="3" t="n">
        <v>1</v>
      </c>
      <c r="Q2960" s="3" t="n">
        <v>324.4</v>
      </c>
      <c r="R2960" s="3" t="inlineStr">
        <is>
          <t>지정되지않음</t>
        </is>
      </c>
      <c r="S2960" s="3" t="inlineStr">
        <is>
          <t>주거나지</t>
        </is>
      </c>
      <c r="T2960" s="3" t="inlineStr">
        <is>
          <t>평지</t>
        </is>
      </c>
      <c r="U2960" s="3" t="inlineStr">
        <is>
          <t>사다리형</t>
        </is>
      </c>
      <c r="V2960" s="3" t="inlineStr">
        <is>
          <t>소로한면</t>
        </is>
      </c>
    </row>
    <row r="2961">
      <c r="A2961" s="3" t="inlineStr">
        <is>
          <t>세종특별자치시 부강면 갈산리 162-2</t>
        </is>
      </c>
      <c r="B2961" s="3" t="inlineStr">
        <is>
          <t>계획관리지역</t>
        </is>
      </c>
      <c r="C2961" s="3" t="inlineStr">
        <is>
          <t>전</t>
        </is>
      </c>
      <c r="D2961" s="3" t="inlineStr">
        <is>
          <t>전</t>
        </is>
      </c>
      <c r="E2961" s="3" t="inlineStr">
        <is>
          <t>매매</t>
        </is>
      </c>
      <c r="F2961" s="4" t="n">
        <v>208600</v>
      </c>
      <c r="G2961" s="4" t="n">
        <v>1724</v>
      </c>
      <c r="H2961" s="4" t="n">
        <v>522</v>
      </c>
      <c r="I2961" s="5" t="n">
        <v>399.6</v>
      </c>
      <c r="J2961" s="4" t="n">
        <v>56.7</v>
      </c>
      <c r="K2961" s="3" t="inlineStr">
        <is>
          <t>갈산리 대도로접한 토지 매매, 세차장,타이어판매점,음식점 추천</t>
        </is>
      </c>
      <c r="L2961" s="6">
        <f>HYPERLINK("https://fin.land.naver.com/articles/2644607328", "매물Link")</f>
        <v/>
      </c>
      <c r="M2961" s="6">
        <f>HYPERLINK("https://map.naver.com/p/search/세종특별자치시 부강면 갈산리 162-2", "지도Link")</f>
        <v/>
      </c>
      <c r="N2961" s="6">
        <f>HYPERLINK("http://www.eum.go.kr/web/ar/lu/luLandDet.jsp?pnu=3611033024101620002&amp;isNoScr=script&amp;mode=search", "토지이음")</f>
        <v/>
      </c>
      <c r="O2961" s="3" t="inlineStr">
        <is>
          <t>국제</t>
        </is>
      </c>
      <c r="P2961" s="3" t="n">
        <v>1</v>
      </c>
      <c r="Q2961" s="3" t="n">
        <v>1724</v>
      </c>
      <c r="R2961" s="3" t="inlineStr">
        <is>
          <t>지정되지않음</t>
        </is>
      </c>
      <c r="S2961" s="3" t="inlineStr">
        <is>
          <t>답기타</t>
        </is>
      </c>
      <c r="T2961" s="3" t="inlineStr">
        <is>
          <t>평지</t>
        </is>
      </c>
      <c r="U2961" s="3" t="inlineStr">
        <is>
          <t>사다리형</t>
        </is>
      </c>
      <c r="V2961" s="3" t="inlineStr">
        <is>
          <t>소로한면</t>
        </is>
      </c>
    </row>
    <row r="2962">
      <c r="A2962" s="3" t="inlineStr">
        <is>
          <t>세종특별자치시 부강면 갈산리 163-2</t>
        </is>
      </c>
      <c r="B2962" s="3" t="inlineStr">
        <is>
          <t>계획관리지역</t>
        </is>
      </c>
      <c r="C2962" s="3" t="inlineStr">
        <is>
          <t>전</t>
        </is>
      </c>
      <c r="D2962" s="3" t="inlineStr">
        <is>
          <t>전</t>
        </is>
      </c>
      <c r="E2962" s="3" t="inlineStr">
        <is>
          <t>매매</t>
        </is>
      </c>
      <c r="F2962" s="4" t="n">
        <v>200000</v>
      </c>
      <c r="G2962" s="4" t="n">
        <v>1660</v>
      </c>
      <c r="H2962" s="4" t="n">
        <v>502</v>
      </c>
      <c r="I2962" s="5" t="n">
        <v>398.4</v>
      </c>
      <c r="J2962" s="4" t="n">
        <v>56.7</v>
      </c>
      <c r="K2962" s="3" t="inlineStr">
        <is>
          <t>대로변 위치좋은 토지</t>
        </is>
      </c>
      <c r="L2962" s="6">
        <f>HYPERLINK("https://fin.land.naver.com/articles/2644586466", "매물Link")</f>
        <v/>
      </c>
      <c r="M2962" s="6">
        <f>HYPERLINK("https://map.naver.com/p/search/세종특별자치시 부강면 갈산리 163-2", "지도Link")</f>
        <v/>
      </c>
      <c r="N2962" s="6">
        <f>HYPERLINK("http://www.eum.go.kr/web/ar/lu/luLandDet.jsp?pnu=3611033024101630002&amp;isNoScr=script&amp;mode=search", "토지이음")</f>
        <v/>
      </c>
      <c r="O2962" s="3" t="inlineStr">
        <is>
          <t>홍길동</t>
        </is>
      </c>
      <c r="P2962" s="3" t="n">
        <v>1</v>
      </c>
      <c r="Q2962" s="3" t="n">
        <v>1660</v>
      </c>
      <c r="R2962" s="3" t="inlineStr">
        <is>
          <t>지정되지않음</t>
        </is>
      </c>
      <c r="S2962" s="3" t="inlineStr">
        <is>
          <t>답기타</t>
        </is>
      </c>
      <c r="T2962" s="3" t="inlineStr">
        <is>
          <t>평지</t>
        </is>
      </c>
      <c r="U2962" s="3" t="inlineStr">
        <is>
          <t>사다리형</t>
        </is>
      </c>
      <c r="V2962" s="3" t="inlineStr">
        <is>
          <t>소로한면</t>
        </is>
      </c>
    </row>
    <row r="2963">
      <c r="A2963" s="3" t="inlineStr">
        <is>
          <t>세종특별자치시 부강면 갈산리 176-3</t>
        </is>
      </c>
      <c r="B2963" s="3" t="inlineStr">
        <is>
          <t>계획관리지역</t>
        </is>
      </c>
      <c r="C2963" s="3" t="inlineStr">
        <is>
          <t>전</t>
        </is>
      </c>
      <c r="D2963" s="3" t="inlineStr">
        <is>
          <t>전</t>
        </is>
      </c>
      <c r="E2963" s="3" t="inlineStr">
        <is>
          <t>매매</t>
        </is>
      </c>
      <c r="F2963" s="4" t="n">
        <v>27000</v>
      </c>
      <c r="G2963" s="4" t="n">
        <v>494</v>
      </c>
      <c r="H2963" s="4" t="n">
        <v>149</v>
      </c>
      <c r="I2963" s="5" t="n">
        <v>181.2</v>
      </c>
      <c r="J2963" s="4" t="n">
        <v>43.4</v>
      </c>
      <c r="K2963" s="3" t="inlineStr">
        <is>
          <t>nan</t>
        </is>
      </c>
      <c r="L2963" s="6">
        <f>HYPERLINK("https://fin.land.naver.com/articles/2644877187", "매물Link")</f>
        <v/>
      </c>
      <c r="M2963" s="6">
        <f>HYPERLINK("https://map.naver.com/p/search/세종특별자치시 부강면 갈산리 176-3", "지도Link")</f>
        <v/>
      </c>
      <c r="N2963" s="6">
        <f>HYPERLINK("http://www.eum.go.kr/web/ar/lu/luLandDet.jsp?pnu=3611033024101760003&amp;isNoScr=script&amp;mode=search", "토지이음")</f>
        <v/>
      </c>
      <c r="O2963" s="3" t="inlineStr">
        <is>
          <t>장원</t>
        </is>
      </c>
      <c r="P2963" s="3" t="n">
        <v>1</v>
      </c>
      <c r="Q2963" s="3" t="n">
        <v>494</v>
      </c>
      <c r="R2963" s="3" t="inlineStr">
        <is>
          <t>지정되지않음</t>
        </is>
      </c>
      <c r="S2963" s="3" t="inlineStr">
        <is>
          <t>답</t>
        </is>
      </c>
      <c r="T2963" s="3" t="inlineStr">
        <is>
          <t>완경사</t>
        </is>
      </c>
      <c r="U2963" s="3" t="inlineStr">
        <is>
          <t>사다리형</t>
        </is>
      </c>
      <c r="V2963" s="3" t="inlineStr">
        <is>
          <t>세로한면(가)</t>
        </is>
      </c>
    </row>
    <row r="2964">
      <c r="A2964" s="3" t="inlineStr">
        <is>
          <t>세종특별자치시 부강면 갈산리 231-5</t>
        </is>
      </c>
      <c r="B2964" s="3" t="inlineStr">
        <is>
          <t>계획관리지역</t>
        </is>
      </c>
      <c r="C2964" s="3" t="inlineStr">
        <is>
          <t>답</t>
        </is>
      </c>
      <c r="D2964" s="3" t="inlineStr">
        <is>
          <t>대</t>
        </is>
      </c>
      <c r="E2964" s="3" t="inlineStr">
        <is>
          <t>매매</t>
        </is>
      </c>
      <c r="F2964" s="4" t="n">
        <v>29000</v>
      </c>
      <c r="G2964" s="4" t="n">
        <v>563</v>
      </c>
      <c r="H2964" s="4" t="n">
        <v>170</v>
      </c>
      <c r="I2964" s="5" t="n">
        <v>170.6</v>
      </c>
      <c r="J2964" s="4" t="n">
        <v>38.9</v>
      </c>
      <c r="K2964" s="3" t="inlineStr">
        <is>
          <t>2필지합, 하우스, 농막 적지, 계획관리지역, 토지매매</t>
        </is>
      </c>
      <c r="L2964" s="6">
        <f>HYPERLINK("https://fin.land.naver.com/articles/2646790714", "매물Link")</f>
        <v/>
      </c>
      <c r="M2964" s="6">
        <f>HYPERLINK("https://map.naver.com/p/search/세종특별자치시 부강면 갈산리 231-5", "지도Link")</f>
        <v/>
      </c>
      <c r="N2964" s="6">
        <f>HYPERLINK("http://www.eum.go.kr/web/ar/lu/luLandDet.jsp?pnu=3611033024102310005&amp;isNoScr=script&amp;mode=search", "토지이음")</f>
        <v/>
      </c>
      <c r="O2964" s="3" t="inlineStr">
        <is>
          <t>성공</t>
        </is>
      </c>
      <c r="P2964" s="3" t="n">
        <v>1</v>
      </c>
      <c r="Q2964" s="3" t="n">
        <v>357</v>
      </c>
      <c r="R2964" s="3" t="inlineStr">
        <is>
          <t>지정되지않음</t>
        </is>
      </c>
      <c r="S2964" s="3" t="inlineStr">
        <is>
          <t>답</t>
        </is>
      </c>
      <c r="T2964" s="3" t="inlineStr">
        <is>
          <t>평지</t>
        </is>
      </c>
      <c r="U2964" s="3" t="inlineStr">
        <is>
          <t>부정형</t>
        </is>
      </c>
      <c r="V2964" s="3" t="inlineStr">
        <is>
          <t>세로한면(가)</t>
        </is>
      </c>
    </row>
    <row r="2965">
      <c r="A2965" s="3" t="inlineStr">
        <is>
          <t>세종특별자치시 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4200 남청주ic 5분 공장용지 물류센터 창고</t>
        </is>
      </c>
      <c r="L2965" s="6">
        <f>HYPERLINK("https://fin.land.naver.com/articles/2645059549", "매물Link")</f>
        <v/>
      </c>
      <c r="M2965" s="6">
        <f>HYPERLINK("https://map.naver.com/p/search/세종특별자치시 부강면 갈산리 395", "지도Link")</f>
        <v/>
      </c>
      <c r="N2965" s="6">
        <f>HYPERLINK("http://www.eum.go.kr/web/ar/lu/luLandDet.jsp?pnu=3611033024103950000&amp;isNoScr=script&amp;mode=search", "토지이음")</f>
        <v/>
      </c>
      <c r="O2965" s="3" t="inlineStr">
        <is>
          <t>반포더드림</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세종특별자치시 부강면 갈산리 395</t>
        </is>
      </c>
      <c r="B2966" s="3" t="inlineStr">
        <is>
          <t>계획관리지역</t>
        </is>
      </c>
      <c r="C2966" s="3" t="inlineStr">
        <is>
          <t>공장용지</t>
        </is>
      </c>
      <c r="D2966" s="3" t="inlineStr">
        <is>
          <t>공장용지</t>
        </is>
      </c>
      <c r="E2966" s="3" t="inlineStr">
        <is>
          <t>매매</t>
        </is>
      </c>
      <c r="F2966" s="4" t="n">
        <v>630000</v>
      </c>
      <c r="G2966" s="4" t="n">
        <v>13872</v>
      </c>
      <c r="H2966" s="4" t="n">
        <v>4196</v>
      </c>
      <c r="I2966" s="5" t="n">
        <v>150.1</v>
      </c>
      <c r="J2966" s="4" t="n">
        <v>79.40000000000001</v>
      </c>
      <c r="K2966" s="3" t="inlineStr">
        <is>
          <t>남청주 ic 5분, 2차선에서 진입가능한 공장부지</t>
        </is>
      </c>
      <c r="L2966" s="6">
        <f>HYPERLINK("https://fin.land.naver.com/articles/2649865459", "매물Link")</f>
        <v/>
      </c>
      <c r="M2966" s="6">
        <f>HYPERLINK("https://map.naver.com/p/search/세종특별자치시 부강면 갈산리 395", "지도Link")</f>
        <v/>
      </c>
      <c r="N2966" s="6">
        <f>HYPERLINK("http://www.eum.go.kr/web/ar/lu/luLandDet.jsp?pnu=3611033024103950000&amp;isNoScr=script&amp;mode=search", "토지이음")</f>
        <v/>
      </c>
      <c r="O2966" s="3" t="inlineStr">
        <is>
          <t>토담</t>
        </is>
      </c>
      <c r="P2966" s="3" t="n">
        <v>1</v>
      </c>
      <c r="Q2966" s="3" t="n">
        <v>1283</v>
      </c>
      <c r="R2966" s="3" t="inlineStr">
        <is>
          <t>지정되지않음</t>
        </is>
      </c>
      <c r="S2966" s="3" t="inlineStr">
        <is>
          <t>공업용</t>
        </is>
      </c>
      <c r="T2966" s="3" t="inlineStr">
        <is>
          <t>완경사</t>
        </is>
      </c>
      <c r="U2966" s="3" t="inlineStr">
        <is>
          <t>부정형</t>
        </is>
      </c>
      <c r="V2966" s="3" t="inlineStr">
        <is>
          <t>소로한면</t>
        </is>
      </c>
    </row>
    <row r="2967">
      <c r="A2967" s="3" t="inlineStr">
        <is>
          <t>세종특별자치시 부강면 갈산리 398-4</t>
        </is>
      </c>
      <c r="B2967" s="3" t="inlineStr">
        <is>
          <t>계획관리지역</t>
        </is>
      </c>
      <c r="C2967" s="3" t="inlineStr">
        <is>
          <t>공장용지</t>
        </is>
      </c>
      <c r="D2967" s="3" t="inlineStr">
        <is>
          <t>공장용지</t>
        </is>
      </c>
      <c r="E2967" s="3" t="inlineStr">
        <is>
          <t>매매</t>
        </is>
      </c>
      <c r="F2967" s="4" t="n">
        <v>630000</v>
      </c>
      <c r="G2967" s="4" t="n">
        <v>13896</v>
      </c>
      <c r="H2967" s="4" t="n">
        <v>4204</v>
      </c>
      <c r="I2967" s="5" t="n">
        <v>149.9</v>
      </c>
      <c r="J2967" s="4" t="n">
        <v>80.3</v>
      </c>
      <c r="K2967" s="3" t="inlineStr">
        <is>
          <t>nan</t>
        </is>
      </c>
      <c r="L2967" s="6">
        <f>HYPERLINK("https://fin.land.naver.com/articles/2646264083", "매물Link")</f>
        <v/>
      </c>
      <c r="M2967" s="6">
        <f>HYPERLINK("https://map.naver.com/p/search/세종특별자치시 부강면 갈산리 398-4", "지도Link")</f>
        <v/>
      </c>
      <c r="N2967" s="6">
        <f>HYPERLINK("http://www.eum.go.kr/web/ar/lu/luLandDet.jsp?pnu=3611033024103980004&amp;isNoScr=script&amp;mode=search", "토지이음")</f>
        <v/>
      </c>
      <c r="O2967" s="3" t="inlineStr">
        <is>
          <t>오너스</t>
        </is>
      </c>
      <c r="P2967" s="3" t="n">
        <v>1</v>
      </c>
      <c r="Q2967" s="3" t="n">
        <v>7677</v>
      </c>
      <c r="R2967" s="3" t="inlineStr">
        <is>
          <t>지정되지않음</t>
        </is>
      </c>
      <c r="S2967" s="3" t="inlineStr">
        <is>
          <t>공업용</t>
        </is>
      </c>
      <c r="T2967" s="3" t="inlineStr">
        <is>
          <t>완경사</t>
        </is>
      </c>
      <c r="U2967" s="3" t="inlineStr">
        <is>
          <t>부정형</t>
        </is>
      </c>
      <c r="V2967" s="3" t="inlineStr">
        <is>
          <t>소로한면</t>
        </is>
      </c>
    </row>
    <row r="2968">
      <c r="A2968" s="3" t="inlineStr">
        <is>
          <t>세종특별자치시 부강면 갈산리 451-2</t>
        </is>
      </c>
      <c r="B2968" s="3" t="inlineStr">
        <is>
          <t>농림지역</t>
        </is>
      </c>
      <c r="C2968" s="3" t="inlineStr">
        <is>
          <t>답</t>
        </is>
      </c>
      <c r="D2968" s="3" t="inlineStr">
        <is>
          <t>답</t>
        </is>
      </c>
      <c r="E2968" s="3" t="inlineStr">
        <is>
          <t>매매</t>
        </is>
      </c>
      <c r="F2968" s="4" t="n">
        <v>98200</v>
      </c>
      <c r="G2968" s="4" t="n">
        <v>3246</v>
      </c>
      <c r="H2968" s="4" t="n">
        <v>982</v>
      </c>
      <c r="I2968" s="5" t="n">
        <v>100</v>
      </c>
      <c r="J2968" s="4" t="n">
        <v>23.1</v>
      </c>
      <c r="K2968" s="3" t="inlineStr">
        <is>
          <t>세종시 부강의 농업보호구역 농지 매매</t>
        </is>
      </c>
      <c r="L2968" s="6">
        <f>HYPERLINK("https://fin.land.naver.com/articles/2648835409", "매물Link")</f>
        <v/>
      </c>
      <c r="M2968" s="6">
        <f>HYPERLINK("https://map.naver.com/p/search/세종특별자치시 부강면 갈산리 451-2", "지도Link")</f>
        <v/>
      </c>
      <c r="N2968" s="6">
        <f>HYPERLINK("http://www.eum.go.kr/web/ar/lu/luLandDet.jsp?pnu=3611033024104510002&amp;isNoScr=script&amp;mode=search", "토지이음")</f>
        <v/>
      </c>
      <c r="O2968" s="3" t="inlineStr">
        <is>
          <t>대하</t>
        </is>
      </c>
      <c r="P2968" s="3" t="n">
        <v>1</v>
      </c>
      <c r="Q2968" s="3" t="n">
        <v>2194</v>
      </c>
      <c r="R2968" s="3" t="inlineStr">
        <is>
          <t>지정되지않음</t>
        </is>
      </c>
      <c r="S2968" s="3" t="inlineStr">
        <is>
          <t>전</t>
        </is>
      </c>
      <c r="T2968" s="3" t="inlineStr">
        <is>
          <t>평지</t>
        </is>
      </c>
      <c r="U2968" s="3" t="inlineStr">
        <is>
          <t>부정형</t>
        </is>
      </c>
      <c r="V2968" s="3" t="inlineStr">
        <is>
          <t>세로한면(가)</t>
        </is>
      </c>
    </row>
    <row r="2969">
      <c r="A2969" s="3" t="inlineStr">
        <is>
          <t>세종특별자치시 부강면 갈산리 85</t>
        </is>
      </c>
      <c r="B2969" s="3" t="inlineStr">
        <is>
          <t>계획관리지역</t>
        </is>
      </c>
      <c r="C2969" s="3" t="inlineStr">
        <is>
          <t>대</t>
        </is>
      </c>
      <c r="D2969" s="3" t="inlineStr">
        <is>
          <t>대</t>
        </is>
      </c>
      <c r="E2969" s="3" t="inlineStr">
        <is>
          <t>매매</t>
        </is>
      </c>
      <c r="F2969" s="4" t="n">
        <v>55000</v>
      </c>
      <c r="G2969" s="4" t="n">
        <v>3384</v>
      </c>
      <c r="H2969" s="4" t="n">
        <v>1024</v>
      </c>
      <c r="I2969" s="5" t="n">
        <v>53.7</v>
      </c>
      <c r="J2969" s="4" t="n">
        <v>59.3</v>
      </c>
      <c r="K2969" s="3" t="inlineStr">
        <is>
          <t>투자전망밝고 시세보다 매우 저렴한 물건</t>
        </is>
      </c>
      <c r="L2969" s="6">
        <f>HYPERLINK("https://fin.land.naver.com/articles/2644040968", "매물Link")</f>
        <v/>
      </c>
      <c r="M2969" s="6">
        <f>HYPERLINK("https://map.naver.com/p/search/세종특별자치시 부강면 갈산리 85", "지도Link")</f>
        <v/>
      </c>
      <c r="N2969" s="6">
        <f>HYPERLINK("http://www.eum.go.kr/web/ar/lu/luLandDet.jsp?pnu=3611033024100850000&amp;isNoScr=script&amp;mode=search", "토지이음")</f>
        <v/>
      </c>
      <c r="O2969" s="3" t="inlineStr">
        <is>
          <t>SK</t>
        </is>
      </c>
      <c r="P2969" s="3" t="n">
        <v>1</v>
      </c>
      <c r="Q2969" s="3" t="n">
        <v>869</v>
      </c>
      <c r="R2969" s="3" t="inlineStr">
        <is>
          <t>지정되지않음</t>
        </is>
      </c>
      <c r="S2969" s="3" t="inlineStr">
        <is>
          <t>주거나지</t>
        </is>
      </c>
      <c r="T2969" s="3" t="inlineStr">
        <is>
          <t>평지</t>
        </is>
      </c>
      <c r="U2969" s="3" t="inlineStr">
        <is>
          <t>사다리형</t>
        </is>
      </c>
      <c r="V2969" s="3" t="inlineStr">
        <is>
          <t>세로한면(가)</t>
        </is>
      </c>
    </row>
    <row r="2970">
      <c r="A2970" s="3" t="inlineStr">
        <is>
          <t>세종특별자치시 부강면 갈산리 산18-1</t>
        </is>
      </c>
      <c r="B2970" s="3" t="inlineStr">
        <is>
          <t>보전관리지역</t>
        </is>
      </c>
      <c r="C2970" s="3" t="inlineStr">
        <is>
          <t>임야</t>
        </is>
      </c>
      <c r="D2970" s="3" t="inlineStr">
        <is>
          <t>임야</t>
        </is>
      </c>
      <c r="E2970" s="3" t="inlineStr">
        <is>
          <t>매매</t>
        </is>
      </c>
      <c r="F2970" s="4" t="n">
        <v>1450000</v>
      </c>
      <c r="G2970" s="4" t="n">
        <v>86930</v>
      </c>
      <c r="H2970" s="4" t="n">
        <v>26296</v>
      </c>
      <c r="I2970" s="5" t="n">
        <v>55.1</v>
      </c>
      <c r="J2970" s="4" t="n">
        <v>7.6</v>
      </c>
      <c r="K2970" s="3" t="inlineStr">
        <is>
          <t>6m도로 확보, 갈산교차로 인접, 도로변 광고효과</t>
        </is>
      </c>
      <c r="L2970" s="6">
        <f>HYPERLINK("https://fin.land.naver.com/articles/2647676820", "매물Link")</f>
        <v/>
      </c>
      <c r="M2970" s="6">
        <f>HYPERLINK("https://map.naver.com/p/search/세종특별자치시 부강면 갈산리 산18-1", "지도Link")</f>
        <v/>
      </c>
      <c r="N2970" s="6">
        <f>HYPERLINK("http://www.eum.go.kr/web/ar/lu/luLandDet.jsp?pnu=3611033024200180001&amp;isNoScr=script&amp;mode=search", "토지이음")</f>
        <v/>
      </c>
      <c r="O2970" s="3" t="inlineStr">
        <is>
          <t>황제</t>
        </is>
      </c>
      <c r="P2970" s="3" t="n">
        <v>1</v>
      </c>
      <c r="Q2970" s="3" t="n">
        <v>40759</v>
      </c>
      <c r="R2970" s="3" t="inlineStr">
        <is>
          <t>계획관리지역</t>
        </is>
      </c>
      <c r="S2970" s="3" t="inlineStr">
        <is>
          <t>자연림</t>
        </is>
      </c>
      <c r="T2970" s="3" t="inlineStr">
        <is>
          <t>완경사</t>
        </is>
      </c>
      <c r="U2970" s="3" t="inlineStr">
        <is>
          <t>부정형</t>
        </is>
      </c>
      <c r="V2970" s="3" t="inlineStr">
        <is>
          <t>세로한면(가)</t>
        </is>
      </c>
    </row>
    <row r="2971">
      <c r="A2971" s="3" t="inlineStr">
        <is>
          <t>세종특별자치시 부강면 갈산리 산18-8</t>
        </is>
      </c>
      <c r="B2971" s="3" t="inlineStr">
        <is>
          <t>계획관리지역</t>
        </is>
      </c>
      <c r="C2971" s="3" t="inlineStr">
        <is>
          <t>임야</t>
        </is>
      </c>
      <c r="D2971" s="3" t="inlineStr">
        <is>
          <t>임야</t>
        </is>
      </c>
      <c r="E2971" s="3" t="inlineStr">
        <is>
          <t>매매</t>
        </is>
      </c>
      <c r="F2971" s="4" t="n">
        <v>400000</v>
      </c>
      <c r="G2971" s="4" t="n">
        <v>13223</v>
      </c>
      <c r="H2971" s="4" t="n">
        <v>4000</v>
      </c>
      <c r="I2971" s="5" t="n">
        <v>100</v>
      </c>
      <c r="J2971" s="4" t="n">
        <v>9.9</v>
      </c>
      <c r="K2971" s="3" t="inlineStr">
        <is>
          <t>계획관리 공장부지  분할매매 가능</t>
        </is>
      </c>
      <c r="L2971" s="6">
        <f>HYPERLINK("https://fin.land.naver.com/articles/2644857538", "매물Link")</f>
        <v/>
      </c>
      <c r="M2971" s="6">
        <f>HYPERLINK("https://map.naver.com/p/search/세종특별자치시 부강면 갈산리 산18-8", "지도Link")</f>
        <v/>
      </c>
      <c r="N2971" s="6">
        <f>HYPERLINK("http://www.eum.go.kr/web/ar/lu/luLandDet.jsp?pnu=3611033024200180008&amp;isNoScr=script&amp;mode=search", "토지이음")</f>
        <v/>
      </c>
      <c r="O2971" s="3" t="inlineStr">
        <is>
          <t>세종로또</t>
        </is>
      </c>
      <c r="P2971" s="3" t="n">
        <v>1</v>
      </c>
      <c r="Q2971" s="3" t="n">
        <v>26695</v>
      </c>
      <c r="R2971" s="3" t="inlineStr">
        <is>
          <t>보전관리지역</t>
        </is>
      </c>
      <c r="S2971" s="3" t="inlineStr">
        <is>
          <t>자연림</t>
        </is>
      </c>
      <c r="T2971" s="3" t="inlineStr">
        <is>
          <t>완경사</t>
        </is>
      </c>
      <c r="U2971" s="3" t="inlineStr">
        <is>
          <t>부정형</t>
        </is>
      </c>
      <c r="V2971" s="3" t="inlineStr">
        <is>
          <t>세로한면(가)</t>
        </is>
      </c>
    </row>
    <row r="2972">
      <c r="A2972" s="3" t="inlineStr">
        <is>
          <t>세종특별자치시 부강면 금호리 100</t>
        </is>
      </c>
      <c r="B2972" s="3" t="inlineStr">
        <is>
          <t>생산관리지역</t>
        </is>
      </c>
      <c r="C2972" s="3" t="inlineStr">
        <is>
          <t>대</t>
        </is>
      </c>
      <c r="D2972" s="3" t="inlineStr">
        <is>
          <t>대</t>
        </is>
      </c>
      <c r="E2972" s="3" t="inlineStr">
        <is>
          <t>매매</t>
        </is>
      </c>
      <c r="F2972" s="4" t="n">
        <v>125000</v>
      </c>
      <c r="G2972" s="4" t="n">
        <v>1390</v>
      </c>
      <c r="H2972" s="4" t="n">
        <v>420</v>
      </c>
      <c r="I2972" s="5" t="n">
        <v>297.6</v>
      </c>
      <c r="J2972" s="4" t="n">
        <v>75.59999999999999</v>
      </c>
      <c r="K2972" s="3" t="inlineStr">
        <is>
          <t>nan</t>
        </is>
      </c>
      <c r="L2972" s="6">
        <f>HYPERLINK("https://fin.land.naver.com/articles/2649462827", "매물Link")</f>
        <v/>
      </c>
      <c r="M2972" s="6">
        <f>HYPERLINK("https://map.naver.com/p/search/세종특별자치시 부강면 금호리 100", "지도Link")</f>
        <v/>
      </c>
      <c r="N2972" s="6">
        <f>HYPERLINK("http://www.eum.go.kr/web/ar/lu/luLandDet.jsp?pnu=3611033028101000000&amp;isNoScr=script&amp;mode=search", "토지이음")</f>
        <v/>
      </c>
      <c r="O2972" s="3" t="inlineStr">
        <is>
          <t>이레</t>
        </is>
      </c>
      <c r="P2972" s="3" t="n">
        <v>1</v>
      </c>
      <c r="Q2972" s="3" t="n">
        <v>791</v>
      </c>
      <c r="R2972" s="3" t="inlineStr">
        <is>
          <t>지정되지않음</t>
        </is>
      </c>
      <c r="S2972" s="3" t="inlineStr">
        <is>
          <t>단독</t>
        </is>
      </c>
      <c r="T2972" s="3" t="inlineStr">
        <is>
          <t>완경사</t>
        </is>
      </c>
      <c r="U2972" s="3" t="inlineStr">
        <is>
          <t>사다리형</t>
        </is>
      </c>
      <c r="V2972" s="3" t="inlineStr">
        <is>
          <t>소로한면</t>
        </is>
      </c>
    </row>
    <row r="2973">
      <c r="A2973" s="3" t="inlineStr">
        <is>
          <t>세종특별자치시 부강면 금호리 108</t>
        </is>
      </c>
      <c r="B2973" s="3" t="inlineStr">
        <is>
          <t>생산관리지역</t>
        </is>
      </c>
      <c r="C2973" s="3" t="inlineStr">
        <is>
          <t>전</t>
        </is>
      </c>
      <c r="D2973" s="3" t="inlineStr">
        <is>
          <t>전</t>
        </is>
      </c>
      <c r="E2973" s="3" t="inlineStr">
        <is>
          <t>매매</t>
        </is>
      </c>
      <c r="F2973" s="4" t="n">
        <v>70000</v>
      </c>
      <c r="G2973" s="4" t="n">
        <v>1772</v>
      </c>
      <c r="H2973" s="4" t="n">
        <v>536</v>
      </c>
      <c r="I2973" s="5" t="n">
        <v>130.6</v>
      </c>
      <c r="J2973" s="4" t="n">
        <v>29.3</v>
      </c>
      <c r="K2973" s="3" t="inlineStr">
        <is>
          <t>금강 뷰 전망 최고 둘레길 주변 전원주택 조성중</t>
        </is>
      </c>
      <c r="L2973" s="6">
        <f>HYPERLINK("https://fin.land.naver.com/articles/2649144441", "매물Link")</f>
        <v/>
      </c>
      <c r="M2973" s="6">
        <f>HYPERLINK("https://map.naver.com/p/search/세종특별자치시 부강면 금호리 108", "지도Link")</f>
        <v/>
      </c>
      <c r="N2973" s="6">
        <f>HYPERLINK("http://www.eum.go.kr/web/ar/lu/luLandDet.jsp?pnu=3611033028101080000&amp;isNoScr=script&amp;mode=search", "토지이음")</f>
        <v/>
      </c>
      <c r="O2973" s="3" t="inlineStr">
        <is>
          <t>광장(프라자)</t>
        </is>
      </c>
      <c r="P2973" s="3" t="n">
        <v>1</v>
      </c>
      <c r="Q2973" s="3" t="n">
        <v>1772</v>
      </c>
      <c r="R2973" s="3" t="inlineStr">
        <is>
          <t>지정되지않음</t>
        </is>
      </c>
      <c r="S2973" s="3" t="inlineStr">
        <is>
          <t>전</t>
        </is>
      </c>
      <c r="T2973" s="3" t="inlineStr">
        <is>
          <t>완경사</t>
        </is>
      </c>
      <c r="U2973" s="3" t="inlineStr">
        <is>
          <t>부정형</t>
        </is>
      </c>
      <c r="V2973" s="3" t="inlineStr">
        <is>
          <t>맹지</t>
        </is>
      </c>
    </row>
    <row r="2974">
      <c r="A2974" s="3" t="inlineStr">
        <is>
          <t>세종특별자치시 부강면 금호리 110</t>
        </is>
      </c>
      <c r="B2974" s="3" t="inlineStr">
        <is>
          <t>생산관리지역</t>
        </is>
      </c>
      <c r="C2974" s="3" t="inlineStr">
        <is>
          <t>전</t>
        </is>
      </c>
      <c r="D2974" s="3" t="inlineStr">
        <is>
          <t>전</t>
        </is>
      </c>
      <c r="E2974" s="3" t="inlineStr">
        <is>
          <t>매매</t>
        </is>
      </c>
      <c r="F2974" s="4" t="n">
        <v>22000</v>
      </c>
      <c r="G2974" s="4" t="n">
        <v>307</v>
      </c>
      <c r="H2974" s="4" t="n">
        <v>93</v>
      </c>
      <c r="I2974" s="5" t="n">
        <v>236.6</v>
      </c>
      <c r="J2974" s="4" t="n">
        <v>29.5</v>
      </c>
      <c r="K2974" s="3" t="inlineStr">
        <is>
          <t>주변토지 전원주택지 조성중 대도로 금강 인접함</t>
        </is>
      </c>
      <c r="L2974" s="6">
        <f>HYPERLINK("https://fin.land.naver.com/articles/2645389837", "매물Link")</f>
        <v/>
      </c>
      <c r="M2974" s="6">
        <f>HYPERLINK("https://map.naver.com/p/search/세종특별자치시 부강면 금호리 110", "지도Link")</f>
        <v/>
      </c>
      <c r="N2974" s="6">
        <f>HYPERLINK("http://www.eum.go.kr/web/ar/lu/luLandDet.jsp?pnu=3611033028101100000&amp;isNoScr=script&amp;mode=search", "토지이음")</f>
        <v/>
      </c>
      <c r="O2974" s="3" t="inlineStr">
        <is>
          <t>광장(프라자)</t>
        </is>
      </c>
      <c r="P2974" s="3" t="n">
        <v>1</v>
      </c>
      <c r="Q2974" s="3" t="n">
        <v>307</v>
      </c>
      <c r="R2974" s="3" t="inlineStr">
        <is>
          <t>지정되지않음</t>
        </is>
      </c>
      <c r="S2974" s="3" t="inlineStr">
        <is>
          <t>전</t>
        </is>
      </c>
      <c r="T2974" s="3" t="inlineStr">
        <is>
          <t>완경사</t>
        </is>
      </c>
      <c r="U2974" s="3" t="inlineStr">
        <is>
          <t>부정형</t>
        </is>
      </c>
      <c r="V2974" s="3" t="inlineStr">
        <is>
          <t>맹지</t>
        </is>
      </c>
    </row>
    <row r="2975">
      <c r="A2975" s="3" t="inlineStr">
        <is>
          <t>세종특별자치시 부강면 금호리 155-5</t>
        </is>
      </c>
      <c r="B2975" s="3" t="inlineStr">
        <is>
          <t>계획관리지역</t>
        </is>
      </c>
      <c r="C2975" s="3" t="inlineStr">
        <is>
          <t>전</t>
        </is>
      </c>
      <c r="D2975" s="3" t="inlineStr">
        <is>
          <t>전</t>
        </is>
      </c>
      <c r="E2975" s="3" t="inlineStr">
        <is>
          <t>매매</t>
        </is>
      </c>
      <c r="F2975" s="4" t="n">
        <v>82000</v>
      </c>
      <c r="G2975" s="4" t="n">
        <v>1000</v>
      </c>
      <c r="H2975" s="4" t="n">
        <v>302</v>
      </c>
      <c r="I2975" s="5" t="n">
        <v>271.5</v>
      </c>
      <c r="J2975" s="4" t="n">
        <v>43.3</v>
      </c>
      <c r="K2975" s="3" t="inlineStr">
        <is>
          <t>추천. 금호리 금강줄기 인접 근생토지</t>
        </is>
      </c>
      <c r="L2975" s="6">
        <f>HYPERLINK("https://fin.land.naver.com/articles/2645465799", "매물Link")</f>
        <v/>
      </c>
      <c r="M2975" s="6">
        <f>HYPERLINK("https://map.naver.com/p/search/세종특별자치시 부강면 금호리 155-5", "지도Link")</f>
        <v/>
      </c>
      <c r="N2975" s="6">
        <f>HYPERLINK("http://www.eum.go.kr/web/ar/lu/luLandDet.jsp?pnu=3611033028101550005&amp;isNoScr=script&amp;mode=search", "토지이음")</f>
        <v/>
      </c>
      <c r="O2975" s="3" t="inlineStr">
        <is>
          <t>강아지풀</t>
        </is>
      </c>
      <c r="P2975" s="3" t="n">
        <v>1</v>
      </c>
      <c r="Q2975" s="3" t="n">
        <v>654</v>
      </c>
      <c r="R2975" s="3" t="inlineStr">
        <is>
          <t>지정되지않음</t>
        </is>
      </c>
      <c r="S2975" s="3" t="inlineStr">
        <is>
          <t>전</t>
        </is>
      </c>
      <c r="T2975" s="3" t="inlineStr">
        <is>
          <t>평지</t>
        </is>
      </c>
      <c r="U2975" s="3" t="inlineStr">
        <is>
          <t>부정형</t>
        </is>
      </c>
      <c r="V2975" s="3" t="inlineStr">
        <is>
          <t>맹지</t>
        </is>
      </c>
    </row>
    <row r="2976">
      <c r="A2976" s="3" t="inlineStr">
        <is>
          <t>세종특별자치시 부강면 금호리 157-1</t>
        </is>
      </c>
      <c r="B2976" s="3" t="inlineStr">
        <is>
          <t>계획관리지역</t>
        </is>
      </c>
      <c r="C2976" s="3" t="inlineStr">
        <is>
          <t>전</t>
        </is>
      </c>
      <c r="D2976" s="3" t="inlineStr">
        <is>
          <t>전</t>
        </is>
      </c>
      <c r="E2976" s="3" t="inlineStr">
        <is>
          <t>매매</t>
        </is>
      </c>
      <c r="F2976" s="4" t="n">
        <v>85000</v>
      </c>
      <c r="G2976" s="4" t="n">
        <v>1100</v>
      </c>
      <c r="H2976" s="4" t="n">
        <v>333</v>
      </c>
      <c r="I2976" s="5" t="n">
        <v>255.3</v>
      </c>
      <c r="J2976" s="4" t="n">
        <v>42.9</v>
      </c>
      <c r="K2976" s="3" t="inlineStr">
        <is>
          <t>nan</t>
        </is>
      </c>
      <c r="L2976" s="6">
        <f>HYPERLINK("https://fin.land.naver.com/articles/2648030293", "매물Link")</f>
        <v/>
      </c>
      <c r="M2976" s="6">
        <f>HYPERLINK("https://map.naver.com/p/search/세종특별자치시 부강면 금호리 157-1", "지도Link")</f>
        <v/>
      </c>
      <c r="N2976" s="6">
        <f>HYPERLINK("http://www.eum.go.kr/web/ar/lu/luLandDet.jsp?pnu=3611033028101570001&amp;isNoScr=script&amp;mode=search", "토지이음")</f>
        <v/>
      </c>
      <c r="O2976" s="3" t="inlineStr">
        <is>
          <t>이레</t>
        </is>
      </c>
      <c r="P2976" s="3" t="n">
        <v>1</v>
      </c>
      <c r="Q2976" s="3" t="n">
        <v>852</v>
      </c>
      <c r="R2976" s="3" t="inlineStr">
        <is>
          <t>지정되지않음</t>
        </is>
      </c>
      <c r="S2976" s="3" t="inlineStr">
        <is>
          <t>전</t>
        </is>
      </c>
      <c r="T2976" s="3" t="inlineStr">
        <is>
          <t>평지</t>
        </is>
      </c>
      <c r="U2976" s="3" t="inlineStr">
        <is>
          <t>부정형</t>
        </is>
      </c>
      <c r="V2976" s="3" t="inlineStr">
        <is>
          <t>맹지</t>
        </is>
      </c>
    </row>
    <row r="2977">
      <c r="A2977" s="3" t="inlineStr">
        <is>
          <t>세종특별자치시 부강면 금호리 165-1</t>
        </is>
      </c>
      <c r="B2977" s="3" t="inlineStr">
        <is>
          <t>계획관리지역</t>
        </is>
      </c>
      <c r="C2977" s="3" t="inlineStr">
        <is>
          <t>대</t>
        </is>
      </c>
      <c r="D2977" s="3" t="inlineStr">
        <is>
          <t>대</t>
        </is>
      </c>
      <c r="E2977" s="3" t="inlineStr">
        <is>
          <t>매매</t>
        </is>
      </c>
      <c r="F2977" s="4" t="n">
        <v>55000</v>
      </c>
      <c r="G2977" s="4" t="n">
        <v>1038</v>
      </c>
      <c r="H2977" s="4" t="n">
        <v>314</v>
      </c>
      <c r="I2977" s="5" t="n">
        <v>175.2</v>
      </c>
      <c r="J2977" s="4" t="n">
        <v>78.7</v>
      </c>
      <c r="K2977" s="3" t="inlineStr">
        <is>
          <t>급매, 단독주택 포함 매매, 총 314p</t>
        </is>
      </c>
      <c r="L2977" s="6">
        <f>HYPERLINK("https://fin.land.naver.com/articles/2645569244", "매물Link")</f>
        <v/>
      </c>
      <c r="M2977" s="6">
        <f>HYPERLINK("https://map.naver.com/p/search/세종특별자치시 부강면 금호리 165-1", "지도Link")</f>
        <v/>
      </c>
      <c r="N2977" s="6">
        <f>HYPERLINK("http://www.eum.go.kr/web/ar/lu/luLandDet.jsp?pnu=3611033028101650001&amp;isNoScr=script&amp;mode=search", "토지이음")</f>
        <v/>
      </c>
      <c r="O2977" s="3" t="inlineStr">
        <is>
          <t>세종무지개</t>
        </is>
      </c>
      <c r="P2977" s="3" t="n">
        <v>1</v>
      </c>
      <c r="Q2977" s="3" t="n">
        <v>359</v>
      </c>
      <c r="R2977" s="3" t="inlineStr">
        <is>
          <t>지정되지않음</t>
        </is>
      </c>
      <c r="S2977" s="3" t="inlineStr">
        <is>
          <t>단독</t>
        </is>
      </c>
      <c r="T2977" s="3" t="inlineStr">
        <is>
          <t>완경사</t>
        </is>
      </c>
      <c r="U2977" s="3" t="inlineStr">
        <is>
          <t>부정형</t>
        </is>
      </c>
      <c r="V2977" s="3" t="inlineStr">
        <is>
          <t>세로한면(가)</t>
        </is>
      </c>
    </row>
    <row r="2978">
      <c r="A2978" s="3" t="inlineStr">
        <is>
          <t>세종특별자치시 부강면 금호리 172</t>
        </is>
      </c>
      <c r="B2978" s="3" t="inlineStr">
        <is>
          <t>계획관리지역</t>
        </is>
      </c>
      <c r="C2978" s="3" t="inlineStr">
        <is>
          <t>대</t>
        </is>
      </c>
      <c r="D2978" s="3" t="inlineStr">
        <is>
          <t>대</t>
        </is>
      </c>
      <c r="E2978" s="3" t="inlineStr">
        <is>
          <t>매매</t>
        </is>
      </c>
      <c r="F2978" s="4" t="n">
        <v>67000</v>
      </c>
      <c r="G2978" s="4" t="n">
        <v>797</v>
      </c>
      <c r="H2978" s="4" t="n">
        <v>241</v>
      </c>
      <c r="I2978" s="5" t="n">
        <v>278</v>
      </c>
      <c r="J2978" s="4" t="n">
        <v>78.7</v>
      </c>
      <c r="K2978" s="3" t="inlineStr">
        <is>
          <t>금강 뷰가 내려 보이는 조망 최고의 전원주택 부지. 신도심 접근성 용이</t>
        </is>
      </c>
      <c r="L2978" s="6">
        <f>HYPERLINK("https://fin.land.naver.com/articles/2647876853", "매물Link")</f>
        <v/>
      </c>
      <c r="M2978" s="6">
        <f>HYPERLINK("https://map.naver.com/p/search/세종특별자치시 부강면 금호리 172", "지도Link")</f>
        <v/>
      </c>
      <c r="N2978" s="6">
        <f>HYPERLINK("http://www.eum.go.kr/web/ar/lu/luLandDet.jsp?pnu=3611033028101720000&amp;isNoScr=script&amp;mode=search", "토지이음")</f>
        <v/>
      </c>
      <c r="O2978" s="3" t="inlineStr">
        <is>
          <t>신영</t>
        </is>
      </c>
      <c r="P2978" s="3" t="n">
        <v>1</v>
      </c>
      <c r="Q2978" s="3" t="n">
        <v>797</v>
      </c>
      <c r="R2978" s="3" t="inlineStr">
        <is>
          <t>지정되지않음</t>
        </is>
      </c>
      <c r="S2978" s="3" t="inlineStr">
        <is>
          <t>주거기타</t>
        </is>
      </c>
      <c r="T2978" s="3" t="inlineStr">
        <is>
          <t>완경사</t>
        </is>
      </c>
      <c r="U2978" s="3" t="inlineStr">
        <is>
          <t>부정형</t>
        </is>
      </c>
      <c r="V2978" s="3" t="inlineStr">
        <is>
          <t>세로한면(가)</t>
        </is>
      </c>
    </row>
    <row r="2979">
      <c r="A2979" s="3" t="inlineStr">
        <is>
          <t>세종특별자치시 부강면 금호리 188-2</t>
        </is>
      </c>
      <c r="B2979" s="3" t="inlineStr">
        <is>
          <t>계획관리지역</t>
        </is>
      </c>
      <c r="C2979" s="3" t="inlineStr">
        <is>
          <t>전</t>
        </is>
      </c>
      <c r="D2979" s="3" t="inlineStr">
        <is>
          <t>전</t>
        </is>
      </c>
      <c r="E2979" s="3" t="inlineStr">
        <is>
          <t>매매</t>
        </is>
      </c>
      <c r="F2979" s="4" t="n">
        <v>150000</v>
      </c>
      <c r="G2979" s="4" t="n">
        <v>3368</v>
      </c>
      <c r="H2979" s="4" t="n">
        <v>1019</v>
      </c>
      <c r="I2979" s="5" t="n">
        <v>147.2</v>
      </c>
      <c r="J2979" s="4" t="n">
        <v>38</v>
      </c>
      <c r="K2979" s="3" t="inlineStr">
        <is>
          <t>nan</t>
        </is>
      </c>
      <c r="L2979" s="6">
        <f>HYPERLINK("https://fin.land.naver.com/articles/2646689407", "매물Link")</f>
        <v/>
      </c>
      <c r="M2979" s="6">
        <f>HYPERLINK("https://map.naver.com/p/search/세종특별자치시 부강면 금호리 188-2", "지도Link")</f>
        <v/>
      </c>
      <c r="N2979" s="6">
        <f>HYPERLINK("http://www.eum.go.kr/web/ar/lu/luLandDet.jsp?pnu=3611033028101880002&amp;isNoScr=script&amp;mode=search", "토지이음")</f>
        <v/>
      </c>
      <c r="O2979" s="3" t="inlineStr">
        <is>
          <t>대박</t>
        </is>
      </c>
      <c r="P2979" s="3" t="n">
        <v>1</v>
      </c>
      <c r="Q2979" s="3" t="n">
        <v>1821</v>
      </c>
      <c r="R2979" s="3" t="inlineStr">
        <is>
          <t>지정되지않음</t>
        </is>
      </c>
      <c r="S2979" s="3" t="inlineStr">
        <is>
          <t>전</t>
        </is>
      </c>
      <c r="T2979" s="3" t="inlineStr">
        <is>
          <t>완경사</t>
        </is>
      </c>
      <c r="U2979" s="3" t="inlineStr">
        <is>
          <t>부정형</t>
        </is>
      </c>
      <c r="V2979" s="3" t="inlineStr">
        <is>
          <t>맹지</t>
        </is>
      </c>
    </row>
    <row r="2980">
      <c r="A2980" s="3" t="inlineStr">
        <is>
          <t>세종특별자치시 부강면 금호리 207-3</t>
        </is>
      </c>
      <c r="B2980" s="3" t="inlineStr">
        <is>
          <t>계획관리지역</t>
        </is>
      </c>
      <c r="C2980" s="3" t="inlineStr">
        <is>
          <t>답</t>
        </is>
      </c>
      <c r="D2980" s="3" t="inlineStr">
        <is>
          <t>답</t>
        </is>
      </c>
      <c r="E2980" s="3" t="inlineStr">
        <is>
          <t>매매</t>
        </is>
      </c>
      <c r="F2980" s="4" t="n">
        <v>82000</v>
      </c>
      <c r="G2980" s="4" t="n">
        <v>2707</v>
      </c>
      <c r="H2980" s="4" t="n">
        <v>819</v>
      </c>
      <c r="I2980" s="5" t="n">
        <v>100.1</v>
      </c>
      <c r="J2980" s="4" t="n">
        <v>42.9</v>
      </c>
      <c r="K2980" s="3" t="inlineStr">
        <is>
          <t>계획관리 답. 4미터 도로 접. 부강일반산단 옆</t>
        </is>
      </c>
      <c r="L2980" s="6">
        <f>HYPERLINK("https://fin.land.naver.com/articles/2648341642", "매물Link")</f>
        <v/>
      </c>
      <c r="M2980" s="6">
        <f>HYPERLINK("https://map.naver.com/p/search/세종특별자치시 부강면 금호리 207-3", "지도Link")</f>
        <v/>
      </c>
      <c r="N2980" s="6">
        <f>HYPERLINK("http://www.eum.go.kr/web/ar/lu/luLandDet.jsp?pnu=3611033028102070003&amp;isNoScr=script&amp;mode=search", "토지이음")</f>
        <v/>
      </c>
      <c r="O2980" s="3" t="inlineStr">
        <is>
          <t>미스터홈즈강남지사</t>
        </is>
      </c>
      <c r="P2980" s="3" t="n">
        <v>2</v>
      </c>
      <c r="Q2980" s="3" t="n">
        <v>2707</v>
      </c>
      <c r="R2980" s="3" t="inlineStr">
        <is>
          <t>지정되지않음</t>
        </is>
      </c>
      <c r="S2980" s="3" t="inlineStr">
        <is>
          <t>답</t>
        </is>
      </c>
      <c r="T2980" s="3" t="inlineStr">
        <is>
          <t>완경사</t>
        </is>
      </c>
      <c r="U2980" s="3" t="inlineStr">
        <is>
          <t>부정형</t>
        </is>
      </c>
      <c r="V2980" s="3" t="inlineStr">
        <is>
          <t>세로한면(가)</t>
        </is>
      </c>
    </row>
    <row r="2981">
      <c r="A2981" s="3" t="inlineStr">
        <is>
          <t>세종특별자치시 부강면 금호리 234-5</t>
        </is>
      </c>
      <c r="B2981" s="3" t="inlineStr">
        <is>
          <t>계획관리지역</t>
        </is>
      </c>
      <c r="C2981" s="3" t="inlineStr">
        <is>
          <t>대</t>
        </is>
      </c>
      <c r="D2981" s="3" t="inlineStr">
        <is>
          <t>대</t>
        </is>
      </c>
      <c r="E2981" s="3" t="inlineStr">
        <is>
          <t>매매</t>
        </is>
      </c>
      <c r="F2981" s="4" t="n">
        <v>109000</v>
      </c>
      <c r="G2981" s="4" t="n">
        <v>939</v>
      </c>
      <c r="H2981" s="4" t="n">
        <v>284</v>
      </c>
      <c r="I2981" s="5" t="n">
        <v>383.8</v>
      </c>
      <c r="J2981" s="4" t="n">
        <v>89.90000000000001</v>
      </c>
      <c r="K2981" s="3" t="inlineStr">
        <is>
          <t>인테리어 걱정 없는 완벽한 카페 건물 및 조경 포함</t>
        </is>
      </c>
      <c r="L2981" s="6">
        <f>HYPERLINK("https://fin.land.naver.com/articles/2644902620", "매물Link")</f>
        <v/>
      </c>
      <c r="M2981" s="6">
        <f>HYPERLINK("https://map.naver.com/p/search/세종특별자치시 부강면 금호리 234-5", "지도Link")</f>
        <v/>
      </c>
      <c r="N2981" s="6">
        <f>HYPERLINK("http://www.eum.go.kr/web/ar/lu/luLandDet.jsp?pnu=3611033028102340005&amp;isNoScr=script&amp;mode=search", "토지이음")</f>
        <v/>
      </c>
      <c r="O2981" s="3" t="inlineStr">
        <is>
          <t>하임</t>
        </is>
      </c>
      <c r="P2981" s="3" t="n">
        <v>1</v>
      </c>
      <c r="Q2981" s="3" t="n">
        <v>939</v>
      </c>
      <c r="R2981" s="3" t="inlineStr">
        <is>
          <t>지정되지않음</t>
        </is>
      </c>
      <c r="S2981" s="3" t="inlineStr">
        <is>
          <t>주거기타</t>
        </is>
      </c>
      <c r="T2981" s="3" t="inlineStr">
        <is>
          <t>평지</t>
        </is>
      </c>
      <c r="U2981" s="3" t="inlineStr">
        <is>
          <t>사다리형</t>
        </is>
      </c>
      <c r="V2981" s="3" t="inlineStr">
        <is>
          <t>세로한면(가)</t>
        </is>
      </c>
    </row>
    <row r="2982">
      <c r="A2982" s="3" t="inlineStr">
        <is>
          <t>세종특별자치시 부강면 금호리 240-10</t>
        </is>
      </c>
      <c r="B2982" s="3" t="inlineStr">
        <is>
          <t>계획관리지역</t>
        </is>
      </c>
      <c r="C2982" s="3" t="inlineStr">
        <is>
          <t>전</t>
        </is>
      </c>
      <c r="D2982" s="3" t="inlineStr">
        <is>
          <t>전</t>
        </is>
      </c>
      <c r="E2982" s="3" t="inlineStr">
        <is>
          <t>매매</t>
        </is>
      </c>
      <c r="F2982" s="4" t="n">
        <v>82500</v>
      </c>
      <c r="G2982" s="4" t="n">
        <v>819</v>
      </c>
      <c r="H2982" s="4" t="n">
        <v>248</v>
      </c>
      <c r="I2982" s="5" t="n">
        <v>332.7</v>
      </c>
      <c r="J2982" s="4" t="n">
        <v>59.7</v>
      </c>
      <c r="K2982" s="3" t="inlineStr">
        <is>
          <t>계획관리지역. 성장관리계획구역. 기존산업단지와 연결되는 인접 토지 매매</t>
        </is>
      </c>
      <c r="L2982" s="6">
        <f>HYPERLINK("https://fin.land.naver.com/articles/2648117869", "매물Link")</f>
        <v/>
      </c>
      <c r="M2982" s="6">
        <f>HYPERLINK("https://map.naver.com/p/search/세종특별자치시 부강면 금호리 240-10", "지도Link")</f>
        <v/>
      </c>
      <c r="N2982" s="6">
        <f>HYPERLINK("http://www.eum.go.kr/web/ar/lu/luLandDet.jsp?pnu=3611033028102400010&amp;isNoScr=script&amp;mode=search", "토지이음")</f>
        <v/>
      </c>
      <c r="O2982" s="3" t="inlineStr">
        <is>
          <t>진행</t>
        </is>
      </c>
      <c r="P2982" s="3" t="n">
        <v>1</v>
      </c>
      <c r="Q2982" s="3" t="n">
        <v>819</v>
      </c>
      <c r="R2982" s="3" t="inlineStr">
        <is>
          <t>지정되지않음</t>
        </is>
      </c>
      <c r="S2982" s="3" t="inlineStr">
        <is>
          <t>전</t>
        </is>
      </c>
      <c r="T2982" s="3" t="inlineStr">
        <is>
          <t>평지</t>
        </is>
      </c>
      <c r="U2982" s="3" t="inlineStr">
        <is>
          <t>부정형</t>
        </is>
      </c>
      <c r="V2982" s="3" t="inlineStr">
        <is>
          <t>세로한면(가)</t>
        </is>
      </c>
    </row>
    <row r="2983">
      <c r="A2983" s="3" t="inlineStr">
        <is>
          <t>세종특별자치시 부강면 금호리 30-2</t>
        </is>
      </c>
      <c r="B2983" s="3" t="inlineStr">
        <is>
          <t>계획관리지역</t>
        </is>
      </c>
      <c r="C2983" s="3" t="inlineStr">
        <is>
          <t>공장용지</t>
        </is>
      </c>
      <c r="D2983" s="3" t="inlineStr">
        <is>
          <t>공장용지</t>
        </is>
      </c>
      <c r="E2983" s="3" t="inlineStr">
        <is>
          <t>매매</t>
        </is>
      </c>
      <c r="F2983" s="4" t="n">
        <v>210000</v>
      </c>
      <c r="G2983" s="4" t="n">
        <v>4328</v>
      </c>
      <c r="H2983" s="4" t="n">
        <v>1309</v>
      </c>
      <c r="I2983" s="5" t="n">
        <v>160.4</v>
      </c>
      <c r="J2983" s="4" t="n">
        <v>80.7</v>
      </c>
      <c r="K2983" s="3" t="inlineStr">
        <is>
          <t>공장용지로 지리적위치 접근성이좋고 산업폐기물 인.허가 득하여 투자성이좋음</t>
        </is>
      </c>
      <c r="L2983" s="6">
        <f>HYPERLINK("https://fin.land.naver.com/articles/2644184018", "매물Link")</f>
        <v/>
      </c>
      <c r="M2983" s="6">
        <f>HYPERLINK("https://map.naver.com/p/search/세종특별자치시 부강면 금호리 30-2", "지도Link")</f>
        <v/>
      </c>
      <c r="N2983" s="6">
        <f>HYPERLINK("http://www.eum.go.kr/web/ar/lu/luLandDet.jsp?pnu=3611033028100300002&amp;isNoScr=script&amp;mode=search", "토지이음")</f>
        <v/>
      </c>
      <c r="O2983" s="3" t="inlineStr">
        <is>
          <t>오투그린1</t>
        </is>
      </c>
      <c r="P2983" s="3" t="n">
        <v>1</v>
      </c>
      <c r="Q2983" s="3" t="n">
        <v>4328</v>
      </c>
      <c r="R2983" s="3" t="inlineStr">
        <is>
          <t>지정되지않음</t>
        </is>
      </c>
      <c r="S2983" s="3" t="inlineStr">
        <is>
          <t>공업기타</t>
        </is>
      </c>
      <c r="T2983" s="3" t="inlineStr">
        <is>
          <t>완경사</t>
        </is>
      </c>
      <c r="U2983" s="3" t="inlineStr">
        <is>
          <t>부정형</t>
        </is>
      </c>
      <c r="V2983" s="3" t="inlineStr">
        <is>
          <t>세로한면(가)</t>
        </is>
      </c>
    </row>
    <row r="2984">
      <c r="A2984" s="3" t="inlineStr">
        <is>
          <t>세종특별자치시 부강면 금호리 358-4</t>
        </is>
      </c>
      <c r="B2984" s="3" t="inlineStr">
        <is>
          <t>보전관리지역</t>
        </is>
      </c>
      <c r="C2984" s="3" t="inlineStr">
        <is>
          <t>임야</t>
        </is>
      </c>
      <c r="D2984" s="3" t="inlineStr">
        <is>
          <t>임야</t>
        </is>
      </c>
      <c r="E2984" s="3" t="inlineStr">
        <is>
          <t>매매</t>
        </is>
      </c>
      <c r="F2984" s="4" t="n">
        <v>60000</v>
      </c>
      <c r="G2984" s="4" t="n">
        <v>995</v>
      </c>
      <c r="H2984" s="4" t="n">
        <v>301</v>
      </c>
      <c r="I2984" s="5" t="n">
        <v>199.3</v>
      </c>
      <c r="J2984" s="4" t="n">
        <v>5.2</v>
      </c>
      <c r="K2984" s="3" t="inlineStr">
        <is>
          <t>건축허가 되어 있고 수도 오수 시설도 완비됨 전원주택지로 적합</t>
        </is>
      </c>
      <c r="L2984" s="6">
        <f>HYPERLINK("https://fin.land.naver.com/articles/2648927634", "매물Link")</f>
        <v/>
      </c>
      <c r="M2984" s="6">
        <f>HYPERLINK("https://map.naver.com/p/search/세종특별자치시 부강면 금호리 358-4", "지도Link")</f>
        <v/>
      </c>
      <c r="N2984" s="6">
        <f>HYPERLINK("http://www.eum.go.kr/web/ar/lu/luLandDet.jsp?pnu=3611033028103580004&amp;isNoScr=script&amp;mode=search", "토지이음")</f>
        <v/>
      </c>
      <c r="O2984" s="3" t="inlineStr">
        <is>
          <t>도램마을</t>
        </is>
      </c>
      <c r="P2984" s="3" t="n">
        <v>2</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세종특별자치시 부강면 금호리 358-4</t>
        </is>
      </c>
      <c r="B2985" s="3" t="inlineStr">
        <is>
          <t>보전관리지역</t>
        </is>
      </c>
      <c r="C2985" s="3" t="inlineStr">
        <is>
          <t>임야</t>
        </is>
      </c>
      <c r="D2985" s="3" t="inlineStr">
        <is>
          <t>임야</t>
        </is>
      </c>
      <c r="E2985" s="3" t="inlineStr">
        <is>
          <t>매매</t>
        </is>
      </c>
      <c r="F2985" s="4" t="n">
        <v>25000</v>
      </c>
      <c r="G2985" s="4" t="n">
        <v>1263</v>
      </c>
      <c r="H2985" s="4" t="n">
        <v>382</v>
      </c>
      <c r="I2985" s="5" t="n">
        <v>65.40000000000001</v>
      </c>
      <c r="J2985" s="4" t="n">
        <v>5.2</v>
      </c>
      <c r="K2985" s="3" t="inlineStr">
        <is>
          <t>즉시 신축 가능 매매 급매물 상.하수도 전기 기반공사 완료돼있고 건축허가</t>
        </is>
      </c>
      <c r="L2985" s="6">
        <f>HYPERLINK("https://fin.land.naver.com/articles/2648082259", "매물Link")</f>
        <v/>
      </c>
      <c r="M2985" s="6">
        <f>HYPERLINK("https://map.naver.com/p/search/세종특별자치시 부강면 금호리 358-4", "지도Link")</f>
        <v/>
      </c>
      <c r="N2985" s="6">
        <f>HYPERLINK("http://www.eum.go.kr/web/ar/lu/luLandDet.jsp?pnu=3611033028103580004&amp;isNoScr=script&amp;mode=search", "토지이음")</f>
        <v/>
      </c>
      <c r="O2985" s="3" t="inlineStr">
        <is>
          <t>세종시삼성래미안</t>
        </is>
      </c>
      <c r="P2985" s="3" t="n">
        <v>1</v>
      </c>
      <c r="Q2985" s="3" t="n">
        <v>995</v>
      </c>
      <c r="R2985" s="3" t="inlineStr">
        <is>
          <t>지정되지않음</t>
        </is>
      </c>
      <c r="S2985" s="3" t="inlineStr">
        <is>
          <t>자연림</t>
        </is>
      </c>
      <c r="T2985" s="3" t="inlineStr">
        <is>
          <t>완경사</t>
        </is>
      </c>
      <c r="U2985" s="3" t="inlineStr">
        <is>
          <t>정방형</t>
        </is>
      </c>
      <c r="V2985" s="3" t="inlineStr">
        <is>
          <t>맹지</t>
        </is>
      </c>
    </row>
    <row r="2986">
      <c r="A2986" s="3" t="inlineStr">
        <is>
          <t>세종특별자치시 부강면 금호리 377-8</t>
        </is>
      </c>
      <c r="B2986" s="3" t="inlineStr">
        <is>
          <t>계획관리지역</t>
        </is>
      </c>
      <c r="C2986" s="3" t="inlineStr">
        <is>
          <t>대</t>
        </is>
      </c>
      <c r="D2986" s="3" t="inlineStr">
        <is>
          <t>대</t>
        </is>
      </c>
      <c r="E2986" s="3" t="inlineStr">
        <is>
          <t>매매</t>
        </is>
      </c>
      <c r="F2986" s="4" t="n">
        <v>49000</v>
      </c>
      <c r="G2986" s="4" t="n">
        <v>648</v>
      </c>
      <c r="H2986" s="4" t="n">
        <v>196</v>
      </c>
      <c r="I2986" s="5" t="n">
        <v>250</v>
      </c>
      <c r="J2986" s="4" t="n">
        <v>79.90000000000001</v>
      </c>
      <c r="K2986" s="3" t="inlineStr">
        <is>
          <t>계획관리지역 나대지로 투자가치 양호함.</t>
        </is>
      </c>
      <c r="L2986" s="6">
        <f>HYPERLINK("https://fin.land.naver.com/articles/2646929386", "매물Link")</f>
        <v/>
      </c>
      <c r="M2986" s="6">
        <f>HYPERLINK("https://map.naver.com/p/search/세종특별자치시 부강면 금호리 377-8", "지도Link")</f>
        <v/>
      </c>
      <c r="N2986" s="6">
        <f>HYPERLINK("http://www.eum.go.kr/web/ar/lu/luLandDet.jsp?pnu=3611033028103770008&amp;isNoScr=script&amp;mode=search", "토지이음")</f>
        <v/>
      </c>
      <c r="O2986" s="3" t="inlineStr">
        <is>
          <t>다정현대</t>
        </is>
      </c>
      <c r="P2986" s="3" t="n">
        <v>1</v>
      </c>
      <c r="Q2986" s="3" t="n">
        <v>390</v>
      </c>
      <c r="R2986" s="3" t="inlineStr">
        <is>
          <t>지정되지않음</t>
        </is>
      </c>
      <c r="S2986" s="3" t="inlineStr">
        <is>
          <t>단독</t>
        </is>
      </c>
      <c r="T2986" s="3" t="inlineStr">
        <is>
          <t>평지</t>
        </is>
      </c>
      <c r="U2986" s="3" t="inlineStr">
        <is>
          <t>정방형</t>
        </is>
      </c>
      <c r="V2986" s="3" t="inlineStr">
        <is>
          <t>세로한면(가)</t>
        </is>
      </c>
    </row>
    <row r="2987">
      <c r="A2987" s="3" t="inlineStr">
        <is>
          <t>세종특별자치시 부강면 금호리 389-1</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79.90000000000001</v>
      </c>
      <c r="K2987" s="3" t="inlineStr">
        <is>
          <t>도로접한 모양좋은 토지, 카페나, 식당, 주택지로도 좋음</t>
        </is>
      </c>
      <c r="L2987" s="6">
        <f>HYPERLINK("https://fin.land.naver.com/articles/2645606478", "매물Link")</f>
        <v/>
      </c>
      <c r="M2987" s="6">
        <f>HYPERLINK("https://map.naver.com/p/search/세종특별자치시 부강면 금호리 389-1", "지도Link")</f>
        <v/>
      </c>
      <c r="N2987" s="6">
        <f>HYPERLINK("http://www.eum.go.kr/web/ar/lu/luLandDet.jsp?pnu=3611033028103890001&amp;isNoScr=script&amp;mode=search", "토지이음")</f>
        <v/>
      </c>
      <c r="O2987" s="3" t="inlineStr">
        <is>
          <t>미스터홈즈강남지사</t>
        </is>
      </c>
      <c r="P2987" s="3" t="n">
        <v>1</v>
      </c>
      <c r="Q2987" s="3" t="n">
        <v>662</v>
      </c>
      <c r="R2987" s="3" t="inlineStr">
        <is>
          <t>지정되지않음</t>
        </is>
      </c>
      <c r="S2987" s="3" t="inlineStr">
        <is>
          <t>주거기타</t>
        </is>
      </c>
      <c r="T2987" s="3" t="inlineStr">
        <is>
          <t>평지</t>
        </is>
      </c>
      <c r="U2987" s="3" t="inlineStr">
        <is>
          <t>사다리형</t>
        </is>
      </c>
      <c r="V2987" s="3" t="inlineStr">
        <is>
          <t>세로한면(가)</t>
        </is>
      </c>
    </row>
    <row r="2988">
      <c r="A2988" s="3" t="inlineStr">
        <is>
          <t>세종특별자치시 부강면 금호리 389-10</t>
        </is>
      </c>
      <c r="B2988" s="3" t="inlineStr">
        <is>
          <t>계획관리지역</t>
        </is>
      </c>
      <c r="C2988" s="3" t="inlineStr">
        <is>
          <t>대</t>
        </is>
      </c>
      <c r="D2988" s="3" t="inlineStr">
        <is>
          <t>대</t>
        </is>
      </c>
      <c r="E2988" s="3" t="inlineStr">
        <is>
          <t>매매</t>
        </is>
      </c>
      <c r="F2988" s="4" t="n">
        <v>194000</v>
      </c>
      <c r="G2988" s="4" t="n">
        <v>1941</v>
      </c>
      <c r="H2988" s="4" t="n">
        <v>587</v>
      </c>
      <c r="I2988" s="5" t="n">
        <v>330.5</v>
      </c>
      <c r="J2988" s="4" t="n">
        <v>79.09999999999999</v>
      </c>
      <c r="K2988" s="3" t="inlineStr">
        <is>
          <t>도로접하고 부강일반사업단지근교, 남i주10분이내,사옥,공장물류창고 적합.</t>
        </is>
      </c>
      <c r="L2988" s="6">
        <f>HYPERLINK("https://fin.land.naver.com/articles/2644587028", "매물Link")</f>
        <v/>
      </c>
      <c r="M2988" s="6">
        <f>HYPERLINK("https://map.naver.com/p/search/세종특별자치시 부강면 금호리 389-10", "지도Link")</f>
        <v/>
      </c>
      <c r="N2988" s="6">
        <f>HYPERLINK("http://www.eum.go.kr/web/ar/lu/luLandDet.jsp?pnu=3611033028103890010&amp;isNoScr=script&amp;mode=search", "토지이음")</f>
        <v/>
      </c>
      <c r="O2988" s="3" t="inlineStr">
        <is>
          <t>원내</t>
        </is>
      </c>
      <c r="P2988" s="3" t="n">
        <v>1</v>
      </c>
      <c r="Q2988" s="3" t="n">
        <v>656</v>
      </c>
      <c r="R2988" s="3" t="inlineStr">
        <is>
          <t>지정되지않음</t>
        </is>
      </c>
      <c r="S2988" s="3" t="inlineStr">
        <is>
          <t>주거기타</t>
        </is>
      </c>
      <c r="T2988" s="3" t="inlineStr">
        <is>
          <t>평지</t>
        </is>
      </c>
      <c r="U2988" s="3" t="inlineStr">
        <is>
          <t>사다리형</t>
        </is>
      </c>
      <c r="V2988" s="3" t="inlineStr">
        <is>
          <t>세로한면(가)</t>
        </is>
      </c>
    </row>
    <row r="2989">
      <c r="A2989" s="3" t="inlineStr">
        <is>
          <t>세종특별자치시 부강면 금호리 389-6</t>
        </is>
      </c>
      <c r="B2989" s="3" t="inlineStr">
        <is>
          <t>계획관리지역</t>
        </is>
      </c>
      <c r="C2989" s="3" t="inlineStr">
        <is>
          <t>답</t>
        </is>
      </c>
      <c r="D2989" s="3" t="inlineStr">
        <is>
          <t>답</t>
        </is>
      </c>
      <c r="E2989" s="3" t="inlineStr">
        <is>
          <t>매매</t>
        </is>
      </c>
      <c r="F2989" s="4" t="n">
        <v>160000</v>
      </c>
      <c r="G2989" s="4" t="n">
        <v>1058</v>
      </c>
      <c r="H2989" s="4" t="n">
        <v>320</v>
      </c>
      <c r="I2989" s="5" t="n">
        <v>500</v>
      </c>
      <c r="J2989" s="4" t="n">
        <v>53.4</v>
      </c>
      <c r="K2989" s="3" t="inlineStr">
        <is>
          <t>현재 전으로 사용중 두필지 전원주택분양 좋음, 사업용사용가능창고,사옥공장</t>
        </is>
      </c>
      <c r="L2989" s="6">
        <f>HYPERLINK("https://fin.land.naver.com/articles/2644590995", "매물Link")</f>
        <v/>
      </c>
      <c r="M2989" s="6">
        <f>HYPERLINK("https://map.naver.com/p/search/세종특별자치시 부강면 금호리 389-6", "지도Link")</f>
        <v/>
      </c>
      <c r="N2989" s="6">
        <f>HYPERLINK("http://www.eum.go.kr/web/ar/lu/luLandDet.jsp?pnu=3611033028103890006&amp;isNoScr=script&amp;mode=search", "토지이음")</f>
        <v/>
      </c>
      <c r="O2989" s="3" t="inlineStr">
        <is>
          <t>원내</t>
        </is>
      </c>
      <c r="P2989" s="3" t="n">
        <v>1</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세종특별자치시 부강면 금호리 389-6</t>
        </is>
      </c>
      <c r="B2990" s="3" t="inlineStr">
        <is>
          <t>계획관리지역</t>
        </is>
      </c>
      <c r="C2990" s="3" t="inlineStr">
        <is>
          <t>답</t>
        </is>
      </c>
      <c r="D2990" s="3" t="inlineStr">
        <is>
          <t>답</t>
        </is>
      </c>
      <c r="E2990" s="3" t="inlineStr">
        <is>
          <t>매매</t>
        </is>
      </c>
      <c r="F2990" s="4" t="n">
        <v>112000</v>
      </c>
      <c r="G2990" s="4" t="n">
        <v>1058</v>
      </c>
      <c r="H2990" s="4" t="n">
        <v>320</v>
      </c>
      <c r="I2990" s="5" t="n">
        <v>350</v>
      </c>
      <c r="J2990" s="4" t="n">
        <v>53.4</v>
      </c>
      <c r="K2990" s="3" t="inlineStr">
        <is>
          <t>금강 조망 가능한 도로접 계획관리 전원형 토지</t>
        </is>
      </c>
      <c r="L2990" s="6">
        <f>HYPERLINK("https://fin.land.naver.com/articles/2648834433", "매물Link")</f>
        <v/>
      </c>
      <c r="M2990" s="6">
        <f>HYPERLINK("https://map.naver.com/p/search/세종특별자치시 부강면 금호리 389-6", "지도Link")</f>
        <v/>
      </c>
      <c r="N2990" s="6">
        <f>HYPERLINK("http://www.eum.go.kr/web/ar/lu/luLandDet.jsp?pnu=3611033028103890006&amp;isNoScr=script&amp;mode=search", "토지이음")</f>
        <v/>
      </c>
      <c r="O2990" s="3" t="inlineStr">
        <is>
          <t>세종소담황금</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세종특별자치시 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HYPERLINK("https://map.naver.com/p/search/세종특별자치시 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세종특별자치시 부강면 금호리 389-6</t>
        </is>
      </c>
      <c r="B2992" s="3" t="inlineStr">
        <is>
          <t>계획관리지역</t>
        </is>
      </c>
      <c r="C2992" s="3" t="inlineStr">
        <is>
          <t>답</t>
        </is>
      </c>
      <c r="D2992" s="3" t="inlineStr">
        <is>
          <t>답</t>
        </is>
      </c>
      <c r="E2992" s="3" t="inlineStr">
        <is>
          <t>매매</t>
        </is>
      </c>
      <c r="F2992" s="4" t="n">
        <v>60000</v>
      </c>
      <c r="G2992" s="4" t="n">
        <v>529</v>
      </c>
      <c r="H2992" s="4" t="n">
        <v>160</v>
      </c>
      <c r="I2992" s="5" t="n">
        <v>375</v>
      </c>
      <c r="J2992" s="4" t="n">
        <v>53.4</v>
      </c>
      <c r="K2992" s="3" t="inlineStr">
        <is>
          <t>부강면 계획관리 토지. 남청주IC 10분중반소요.옆 토지와 같이매매가능</t>
        </is>
      </c>
      <c r="L2992" s="6">
        <f>HYPERLINK("https://fin.land.naver.com/articles/2647166173", "매물Link")</f>
        <v/>
      </c>
      <c r="M2992" s="6">
        <f>HYPERLINK("https://map.naver.com/p/search/세종특별자치시 부강면 금호리 389-6", "지도Link")</f>
        <v/>
      </c>
      <c r="N2992" s="6">
        <f>HYPERLINK("http://www.eum.go.kr/web/ar/lu/luLandDet.jsp?pnu=3611033028103890006&amp;isNoScr=script&amp;mode=search", "토지이음")</f>
        <v/>
      </c>
      <c r="O2992" s="3" t="inlineStr">
        <is>
          <t>구암양지</t>
        </is>
      </c>
      <c r="P2992" s="3" t="n">
        <v>2</v>
      </c>
      <c r="Q2992" s="3" t="n">
        <v>529</v>
      </c>
      <c r="R2992" s="3" t="inlineStr">
        <is>
          <t>지정되지않음</t>
        </is>
      </c>
      <c r="S2992" s="3" t="inlineStr">
        <is>
          <t>답</t>
        </is>
      </c>
      <c r="T2992" s="3" t="inlineStr">
        <is>
          <t>평지</t>
        </is>
      </c>
      <c r="U2992" s="3" t="inlineStr">
        <is>
          <t>사다리형</t>
        </is>
      </c>
      <c r="V2992" s="3" t="inlineStr">
        <is>
          <t>세로한면(가)</t>
        </is>
      </c>
    </row>
    <row r="2993">
      <c r="A2993" s="3" t="inlineStr">
        <is>
          <t>세종특별자치시 부강면 금호리 436</t>
        </is>
      </c>
      <c r="B2993" s="3" t="inlineStr">
        <is>
          <t>생산관리지역</t>
        </is>
      </c>
      <c r="C2993" s="3" t="inlineStr">
        <is>
          <t>답</t>
        </is>
      </c>
      <c r="D2993" s="3" t="inlineStr">
        <is>
          <t>답</t>
        </is>
      </c>
      <c r="E2993" s="3" t="inlineStr">
        <is>
          <t>매매</t>
        </is>
      </c>
      <c r="F2993" s="4" t="n">
        <v>118000</v>
      </c>
      <c r="G2993" s="4" t="n">
        <v>1957</v>
      </c>
      <c r="H2993" s="4" t="n">
        <v>592</v>
      </c>
      <c r="I2993" s="5" t="n">
        <v>199.3</v>
      </c>
      <c r="J2993" s="4" t="n">
        <v>36</v>
      </c>
      <c r="K2993" s="3" t="inlineStr">
        <is>
          <t>도로인접, 부용농공단지인근, 생산관리지역, 답</t>
        </is>
      </c>
      <c r="L2993" s="6">
        <f>HYPERLINK("https://fin.land.naver.com/articles/2647026624", "매물Link")</f>
        <v/>
      </c>
      <c r="M2993" s="6">
        <f>HYPERLINK("https://map.naver.com/p/search/세종특별자치시 부강면 금호리 436", "지도Link")</f>
        <v/>
      </c>
      <c r="N2993" s="6">
        <f>HYPERLINK("http://www.eum.go.kr/web/ar/lu/luLandDet.jsp?pnu=3611033028104360000&amp;isNoScr=script&amp;mode=search", "토지이음")</f>
        <v/>
      </c>
      <c r="O2993" s="3" t="inlineStr">
        <is>
          <t>Home</t>
        </is>
      </c>
      <c r="P2993" s="3" t="n">
        <v>1</v>
      </c>
      <c r="Q2993" s="3" t="n">
        <v>1957</v>
      </c>
      <c r="R2993" s="3" t="inlineStr">
        <is>
          <t>지정되지않음</t>
        </is>
      </c>
      <c r="S2993" s="3" t="inlineStr">
        <is>
          <t>답</t>
        </is>
      </c>
      <c r="T2993" s="3" t="inlineStr">
        <is>
          <t>평지</t>
        </is>
      </c>
      <c r="U2993" s="3" t="inlineStr">
        <is>
          <t>가로장방</t>
        </is>
      </c>
      <c r="V2993" s="3" t="inlineStr">
        <is>
          <t>세로한면(가)</t>
        </is>
      </c>
    </row>
    <row r="2994">
      <c r="A2994" s="3" t="inlineStr">
        <is>
          <t>세종특별자치시 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HYPERLINK("https://map.naver.com/p/search/세종특별자치시 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세종특별자치시 부강면 금호리 442</t>
        </is>
      </c>
      <c r="B2995" s="3" t="inlineStr">
        <is>
          <t>계획관리지역</t>
        </is>
      </c>
      <c r="C2995" s="3" t="inlineStr">
        <is>
          <t>전</t>
        </is>
      </c>
      <c r="D2995" s="3" t="inlineStr">
        <is>
          <t>전</t>
        </is>
      </c>
      <c r="E2995" s="3" t="inlineStr">
        <is>
          <t>매매</t>
        </is>
      </c>
      <c r="F2995" s="4" t="n">
        <v>62000</v>
      </c>
      <c r="G2995" s="4" t="n">
        <v>1649</v>
      </c>
      <c r="H2995" s="4" t="n">
        <v>499</v>
      </c>
      <c r="I2995" s="5" t="n">
        <v>124.2</v>
      </c>
      <c r="J2995" s="4" t="n">
        <v>50.7</v>
      </c>
      <c r="K2995" s="3" t="inlineStr">
        <is>
          <t>금강변 부강금호로 인접, 약2km거리 철도 매포역과 부강생활체육공원 있음</t>
        </is>
      </c>
      <c r="L2995" s="6">
        <f>HYPERLINK("https://fin.land.naver.com/articles/2644189690", "매물Link")</f>
        <v/>
      </c>
      <c r="M2995" s="6">
        <f>HYPERLINK("https://map.naver.com/p/search/세종특별자치시 부강면 금호리 442", "지도Link")</f>
        <v/>
      </c>
      <c r="N2995" s="6">
        <f>HYPERLINK("http://www.eum.go.kr/web/ar/lu/luLandDet.jsp?pnu=3611033028104420000&amp;isNoScr=script&amp;mode=search", "토지이음")</f>
        <v/>
      </c>
      <c r="O2995" s="3" t="inlineStr">
        <is>
          <t>월평랜드</t>
        </is>
      </c>
      <c r="P2995" s="3" t="n">
        <v>1</v>
      </c>
      <c r="Q2995" s="3" t="n">
        <v>1649</v>
      </c>
      <c r="R2995" s="3" t="inlineStr">
        <is>
          <t>지정되지않음</t>
        </is>
      </c>
      <c r="S2995" s="3" t="inlineStr">
        <is>
          <t>전</t>
        </is>
      </c>
      <c r="T2995" s="3" t="inlineStr">
        <is>
          <t>평지</t>
        </is>
      </c>
      <c r="U2995" s="3" t="inlineStr">
        <is>
          <t>부정형</t>
        </is>
      </c>
      <c r="V2995" s="3" t="inlineStr">
        <is>
          <t>세로한면(가)</t>
        </is>
      </c>
    </row>
    <row r="2996">
      <c r="A2996" s="3" t="inlineStr">
        <is>
          <t>세종특별자치시 부강면 금호리 447-1</t>
        </is>
      </c>
      <c r="B2996" s="3" t="inlineStr">
        <is>
          <t>계획관리지역</t>
        </is>
      </c>
      <c r="C2996" s="3" t="inlineStr">
        <is>
          <t>대</t>
        </is>
      </c>
      <c r="D2996" s="3" t="inlineStr">
        <is>
          <t>대</t>
        </is>
      </c>
      <c r="E2996" s="3" t="inlineStr">
        <is>
          <t>매매</t>
        </is>
      </c>
      <c r="F2996" s="4" t="n">
        <v>25000</v>
      </c>
      <c r="G2996" s="4" t="n">
        <v>423</v>
      </c>
      <c r="H2996" s="4" t="n">
        <v>128</v>
      </c>
      <c r="I2996" s="5" t="n">
        <v>195.3</v>
      </c>
      <c r="J2996" s="4" t="n">
        <v>79.09999999999999</v>
      </c>
      <c r="K2996" s="3" t="inlineStr">
        <is>
          <t>부강면 금호리 자연취락지구 계획관리 대지</t>
        </is>
      </c>
      <c r="L2996" s="6">
        <f>HYPERLINK("https://fin.land.naver.com/articles/2649283317", "매물Link")</f>
        <v/>
      </c>
      <c r="M2996" s="6">
        <f>HYPERLINK("https://map.naver.com/p/search/세종특별자치시 부강면 금호리 447-1", "지도Link")</f>
        <v/>
      </c>
      <c r="N2996" s="6">
        <f>HYPERLINK("http://www.eum.go.kr/web/ar/lu/luLandDet.jsp?pnu=3611033028104470001&amp;isNoScr=script&amp;mode=search", "토지이음")</f>
        <v/>
      </c>
      <c r="O2996" s="3" t="inlineStr">
        <is>
          <t>스카이</t>
        </is>
      </c>
      <c r="P2996" s="3" t="n">
        <v>1</v>
      </c>
      <c r="Q2996" s="3" t="n">
        <v>523.4</v>
      </c>
      <c r="R2996" s="3" t="inlineStr">
        <is>
          <t>지정되지않음</t>
        </is>
      </c>
      <c r="S2996" s="3" t="inlineStr">
        <is>
          <t>단독</t>
        </is>
      </c>
      <c r="T2996" s="3" t="inlineStr">
        <is>
          <t>평지</t>
        </is>
      </c>
      <c r="U2996" s="3" t="inlineStr">
        <is>
          <t>사다리형</t>
        </is>
      </c>
      <c r="V2996" s="3" t="inlineStr">
        <is>
          <t>세로한면(가)</t>
        </is>
      </c>
    </row>
    <row r="2997">
      <c r="A2997" s="3" t="inlineStr">
        <is>
          <t>세종특별자치시 부강면 금호리 613</t>
        </is>
      </c>
      <c r="B2997" s="3" t="inlineStr">
        <is>
          <t>계획관리지역</t>
        </is>
      </c>
      <c r="C2997" s="3" t="inlineStr">
        <is>
          <t>대</t>
        </is>
      </c>
      <c r="D2997" s="3" t="inlineStr">
        <is>
          <t>대</t>
        </is>
      </c>
      <c r="E2997" s="3" t="inlineStr">
        <is>
          <t>매매</t>
        </is>
      </c>
      <c r="F2997" s="4" t="n">
        <v>50000</v>
      </c>
      <c r="G2997" s="4" t="n">
        <v>679</v>
      </c>
      <c r="H2997" s="4" t="n">
        <v>205</v>
      </c>
      <c r="I2997" s="5" t="n">
        <v>243.9</v>
      </c>
      <c r="J2997" s="4" t="n">
        <v>88</v>
      </c>
      <c r="K2997" s="3" t="inlineStr">
        <is>
          <t>주택, 텃밭, 카페 추천</t>
        </is>
      </c>
      <c r="L2997" s="6">
        <f>HYPERLINK("https://fin.land.naver.com/articles/2647424368", "매물Link")</f>
        <v/>
      </c>
      <c r="M2997" s="6">
        <f>HYPERLINK("https://map.naver.com/p/search/세종특별자치시 부강면 금호리 613", "지도Link")</f>
        <v/>
      </c>
      <c r="N2997" s="6">
        <f>HYPERLINK("http://www.eum.go.kr/web/ar/lu/luLandDet.jsp?pnu=3611033028106130000&amp;isNoScr=script&amp;mode=search", "토지이음")</f>
        <v/>
      </c>
      <c r="O2997" s="3" t="inlineStr">
        <is>
          <t>황제</t>
        </is>
      </c>
      <c r="P2997" s="3" t="n">
        <v>1</v>
      </c>
      <c r="Q2997" s="3" t="n">
        <v>679</v>
      </c>
      <c r="R2997" s="3" t="inlineStr">
        <is>
          <t>지정되지않음</t>
        </is>
      </c>
      <c r="S2997" s="3" t="inlineStr">
        <is>
          <t>단독</t>
        </is>
      </c>
      <c r="T2997" s="3" t="inlineStr">
        <is>
          <t>평지</t>
        </is>
      </c>
      <c r="U2997" s="3" t="inlineStr">
        <is>
          <t>부정형</t>
        </is>
      </c>
      <c r="V2997" s="3" t="inlineStr">
        <is>
          <t>세로한면(가)</t>
        </is>
      </c>
    </row>
    <row r="2998">
      <c r="A2998" s="3" t="inlineStr">
        <is>
          <t>세종특별자치시 부강면 금호리 614-1</t>
        </is>
      </c>
      <c r="B2998" s="3" t="inlineStr">
        <is>
          <t>보전관리지역</t>
        </is>
      </c>
      <c r="C2998" s="3" t="inlineStr">
        <is>
          <t>임야</t>
        </is>
      </c>
      <c r="D2998" s="3" t="inlineStr">
        <is>
          <t>임야</t>
        </is>
      </c>
      <c r="E2998" s="3" t="inlineStr">
        <is>
          <t>매매</t>
        </is>
      </c>
      <c r="F2998" s="4" t="n">
        <v>180000</v>
      </c>
      <c r="G2998" s="4" t="n">
        <v>7235</v>
      </c>
      <c r="H2998" s="4" t="n">
        <v>2189</v>
      </c>
      <c r="I2998" s="5" t="n">
        <v>82.2</v>
      </c>
      <c r="J2998" s="4" t="n">
        <v>4.9</v>
      </c>
      <c r="K2998" s="3" t="inlineStr">
        <is>
          <t>개발가능한 임야</t>
        </is>
      </c>
      <c r="L2998" s="6">
        <f>HYPERLINK("https://fin.land.naver.com/articles/2647807421", "매물Link")</f>
        <v/>
      </c>
      <c r="M2998" s="6">
        <f>HYPERLINK("https://map.naver.com/p/search/세종특별자치시 부강면 금호리 614-1", "지도Link")</f>
        <v/>
      </c>
      <c r="N2998" s="6">
        <f>HYPERLINK("http://www.eum.go.kr/web/ar/lu/luLandDet.jsp?pnu=3611033028106140001&amp;isNoScr=script&amp;mode=search", "토지이음")</f>
        <v/>
      </c>
      <c r="O2998" s="3" t="inlineStr">
        <is>
          <t>골든타임</t>
        </is>
      </c>
      <c r="P2998" s="3" t="n">
        <v>1</v>
      </c>
      <c r="Q2998" s="3" t="n">
        <v>6576</v>
      </c>
      <c r="R2998" s="3" t="inlineStr">
        <is>
          <t>지정되지않음</t>
        </is>
      </c>
      <c r="S2998" s="3" t="inlineStr">
        <is>
          <t>자연림</t>
        </is>
      </c>
      <c r="T2998" s="3" t="inlineStr">
        <is>
          <t>완경사</t>
        </is>
      </c>
      <c r="U2998" s="3" t="inlineStr">
        <is>
          <t>부정형</t>
        </is>
      </c>
      <c r="V2998" s="3" t="inlineStr">
        <is>
          <t>맹지</t>
        </is>
      </c>
    </row>
    <row r="2999">
      <c r="A2999" s="3" t="inlineStr">
        <is>
          <t>세종특별자치시 부강면 금호리 652</t>
        </is>
      </c>
      <c r="B2999" s="3" t="inlineStr">
        <is>
          <t>계획관리지역</t>
        </is>
      </c>
      <c r="C2999" s="3" t="inlineStr">
        <is>
          <t>대</t>
        </is>
      </c>
      <c r="D2999" s="3" t="inlineStr">
        <is>
          <t>대</t>
        </is>
      </c>
      <c r="E2999" s="3" t="inlineStr">
        <is>
          <t>매매</t>
        </is>
      </c>
      <c r="F2999" s="4" t="n">
        <v>40000</v>
      </c>
      <c r="G2999" s="4" t="n">
        <v>525</v>
      </c>
      <c r="H2999" s="4" t="n">
        <v>159</v>
      </c>
      <c r="I2999" s="5" t="n">
        <v>251.6</v>
      </c>
      <c r="J2999" s="4" t="n">
        <v>92.5</v>
      </c>
      <c r="K2999" s="3" t="inlineStr">
        <is>
          <t>세종시 부강면 금호리  토지 매매</t>
        </is>
      </c>
      <c r="L2999" s="6">
        <f>HYPERLINK("https://fin.land.naver.com/articles/2643920275", "매물Link")</f>
        <v/>
      </c>
      <c r="M2999" s="6">
        <f>HYPERLINK("https://map.naver.com/p/search/세종특별자치시 부강면 금호리 652", "지도Link")</f>
        <v/>
      </c>
      <c r="N2999" s="6">
        <f>HYPERLINK("http://www.eum.go.kr/web/ar/lu/luLandDet.jsp?pnu=3611033028106520000&amp;isNoScr=script&amp;mode=search", "토지이음")</f>
        <v/>
      </c>
      <c r="O2999" s="3" t="inlineStr">
        <is>
          <t>세종행복한</t>
        </is>
      </c>
      <c r="P2999" s="3" t="n">
        <v>1</v>
      </c>
      <c r="Q2999" s="3" t="n">
        <v>403</v>
      </c>
      <c r="R2999" s="3" t="inlineStr">
        <is>
          <t>지정되지않음</t>
        </is>
      </c>
      <c r="S2999" s="3" t="inlineStr">
        <is>
          <t>단독</t>
        </is>
      </c>
      <c r="T2999" s="3" t="inlineStr">
        <is>
          <t>평지</t>
        </is>
      </c>
      <c r="U2999" s="3" t="inlineStr">
        <is>
          <t>사다리형</t>
        </is>
      </c>
      <c r="V2999" s="3" t="inlineStr">
        <is>
          <t>세로한면(가)</t>
        </is>
      </c>
    </row>
    <row r="3000">
      <c r="A3000" s="3" t="inlineStr">
        <is>
          <t>세종특별자치시 부강면 금호리 700-17</t>
        </is>
      </c>
      <c r="B3000" s="3" t="inlineStr">
        <is>
          <t>계획관리지역</t>
        </is>
      </c>
      <c r="C3000" s="3" t="inlineStr">
        <is>
          <t>잡종지</t>
        </is>
      </c>
      <c r="D3000" s="3" t="inlineStr">
        <is>
          <t>잡종지</t>
        </is>
      </c>
      <c r="E3000" s="3" t="inlineStr">
        <is>
          <t>매매</t>
        </is>
      </c>
      <c r="F3000" s="4" t="n">
        <v>80000</v>
      </c>
      <c r="G3000" s="4" t="n">
        <v>660</v>
      </c>
      <c r="H3000" s="4" t="n">
        <v>200</v>
      </c>
      <c r="I3000" s="5" t="n">
        <v>400</v>
      </c>
      <c r="J3000" s="4" t="n">
        <v>112.4</v>
      </c>
      <c r="K3000" s="3" t="inlineStr">
        <is>
          <t>2차선 대로변 계획관리.5생활권 대학부지10분이내거리</t>
        </is>
      </c>
      <c r="L3000" s="6">
        <f>HYPERLINK("https://fin.land.naver.com/articles/2649065861", "매물Link")</f>
        <v/>
      </c>
      <c r="M3000" s="6">
        <f>HYPERLINK("https://map.naver.com/p/search/세종특별자치시 부강면 금호리 700-17", "지도Link")</f>
        <v/>
      </c>
      <c r="N3000" s="6">
        <f>HYPERLINK("http://www.eum.go.kr/web/ar/lu/luLandDet.jsp?pnu=3611033028107000017&amp;isNoScr=script&amp;mode=search", "토지이음")</f>
        <v/>
      </c>
      <c r="O3000" s="3" t="inlineStr">
        <is>
          <t>황금나무</t>
        </is>
      </c>
      <c r="P3000" s="3" t="n">
        <v>1</v>
      </c>
      <c r="Q3000" s="3" t="n">
        <v>660</v>
      </c>
      <c r="R3000" s="3" t="inlineStr">
        <is>
          <t>지정되지않음</t>
        </is>
      </c>
      <c r="S3000" s="3" t="inlineStr">
        <is>
          <t>공업용</t>
        </is>
      </c>
      <c r="T3000" s="3" t="inlineStr">
        <is>
          <t>평지</t>
        </is>
      </c>
      <c r="U3000" s="3" t="inlineStr">
        <is>
          <t>가로장방</t>
        </is>
      </c>
      <c r="V3000" s="3" t="inlineStr">
        <is>
          <t>소로한면</t>
        </is>
      </c>
    </row>
    <row r="3001">
      <c r="A3001" s="3" t="inlineStr">
        <is>
          <t>세종특별자치시 부강면 금호리 708-2</t>
        </is>
      </c>
      <c r="B3001" s="3" t="inlineStr">
        <is>
          <t>계획관리지역</t>
        </is>
      </c>
      <c r="C3001" s="3" t="inlineStr">
        <is>
          <t>임야</t>
        </is>
      </c>
      <c r="D3001" s="3" t="inlineStr">
        <is>
          <t>전</t>
        </is>
      </c>
      <c r="E3001" s="3" t="inlineStr">
        <is>
          <t>매매</t>
        </is>
      </c>
      <c r="F3001" s="4" t="n">
        <v>52400</v>
      </c>
      <c r="G3001" s="4" t="n">
        <v>867</v>
      </c>
      <c r="H3001" s="4" t="n">
        <v>262</v>
      </c>
      <c r="I3001" s="5" t="n">
        <v>200</v>
      </c>
      <c r="J3001" s="4" t="n">
        <v>59.7</v>
      </c>
      <c r="K3001" s="3" t="inlineStr">
        <is>
          <t>nan</t>
        </is>
      </c>
      <c r="L3001" s="6">
        <f>HYPERLINK("https://fin.land.naver.com/articles/2649528902", "매물Link")</f>
        <v/>
      </c>
      <c r="M3001" s="6">
        <f>HYPERLINK("https://map.naver.com/p/search/세종특별자치시 부강면 금호리 708-2", "지도Link")</f>
        <v/>
      </c>
      <c r="N3001" s="6">
        <f>HYPERLINK("http://www.eum.go.kr/web/ar/lu/luLandDet.jsp?pnu=3611033028107080002&amp;isNoScr=script&amp;mode=search", "토지이음")</f>
        <v/>
      </c>
      <c r="O3001" s="3" t="inlineStr">
        <is>
          <t>경남아너스빌</t>
        </is>
      </c>
      <c r="P3001" s="3" t="n">
        <v>1</v>
      </c>
      <c r="Q3001" s="3" t="n">
        <v>434</v>
      </c>
      <c r="R3001" s="3" t="inlineStr">
        <is>
          <t>지정되지않음</t>
        </is>
      </c>
      <c r="S3001" s="3" t="inlineStr">
        <is>
          <t>전기타</t>
        </is>
      </c>
      <c r="T3001" s="3" t="inlineStr">
        <is>
          <t>평지</t>
        </is>
      </c>
      <c r="U3001" s="3" t="inlineStr">
        <is>
          <t>가로장방</t>
        </is>
      </c>
      <c r="V3001" s="3" t="inlineStr">
        <is>
          <t>소로한면</t>
        </is>
      </c>
    </row>
    <row r="3002">
      <c r="A3002" s="3" t="inlineStr">
        <is>
          <t>세종특별자치시 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계획관리자연취락 대지 및 기존주택, 산단세종오송 접근 우수</t>
        </is>
      </c>
      <c r="L3002" s="6">
        <f>HYPERLINK("https://fin.land.naver.com/articles/2645073021", "매물Link")</f>
        <v/>
      </c>
      <c r="M3002" s="6">
        <f>HYPERLINK("https://map.naver.com/p/search/세종특별자치시 부강면 금호리 712-16", "지도Link")</f>
        <v/>
      </c>
      <c r="N3002" s="6">
        <f>HYPERLINK("http://www.eum.go.kr/web/ar/lu/luLandDet.jsp?pnu=3611033028107120016&amp;isNoScr=script&amp;mode=search", "토지이음")</f>
        <v/>
      </c>
      <c r="O3002" s="3" t="inlineStr">
        <is>
          <t>세종소담황금</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세종특별자치시 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남청주IC 자동차로 약17분거리10km</t>
        </is>
      </c>
      <c r="L3003" s="6">
        <f>HYPERLINK("https://fin.land.naver.com/articles/2648088822", "매물Link")</f>
        <v/>
      </c>
      <c r="M3003" s="6">
        <f>HYPERLINK("https://map.naver.com/p/search/세종특별자치시 부강면 금호리 712-16", "지도Link")</f>
        <v/>
      </c>
      <c r="N3003" s="6">
        <f>HYPERLINK("http://www.eum.go.kr/web/ar/lu/luLandDet.jsp?pnu=3611033028107120016&amp;isNoScr=script&amp;mode=search", "토지이음")</f>
        <v/>
      </c>
      <c r="O3003" s="3" t="inlineStr">
        <is>
          <t>지장고</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세종특별자치시 부강면 금호리 712-16</t>
        </is>
      </c>
      <c r="B3004" s="3" t="inlineStr">
        <is>
          <t>계획관리지역</t>
        </is>
      </c>
      <c r="C3004" s="3" t="inlineStr">
        <is>
          <t>대</t>
        </is>
      </c>
      <c r="D3004" s="3" t="inlineStr">
        <is>
          <t>대</t>
        </is>
      </c>
      <c r="E3004" s="3" t="inlineStr">
        <is>
          <t>매매</t>
        </is>
      </c>
      <c r="F3004" s="4" t="n">
        <v>35000</v>
      </c>
      <c r="G3004" s="4" t="n">
        <v>379</v>
      </c>
      <c r="H3004" s="4" t="n">
        <v>115</v>
      </c>
      <c r="I3004" s="5" t="n">
        <v>304.3</v>
      </c>
      <c r="J3004" s="4" t="n">
        <v>94.5</v>
      </c>
      <c r="K3004" s="3" t="inlineStr">
        <is>
          <t>세종시7분거리, 산단밀집지, 주택 리모델링해서 사용,또는 공방, 쉼터사용</t>
        </is>
      </c>
      <c r="L3004" s="6">
        <f>HYPERLINK("https://fin.land.naver.com/articles/2646197212", "매물Link")</f>
        <v/>
      </c>
      <c r="M3004" s="6">
        <f>HYPERLINK("https://map.naver.com/p/search/세종특별자치시 부강면 금호리 712-16", "지도Link")</f>
        <v/>
      </c>
      <c r="N3004" s="6">
        <f>HYPERLINK("http://www.eum.go.kr/web/ar/lu/luLandDet.jsp?pnu=3611033028107120016&amp;isNoScr=script&amp;mode=search", "토지이음")</f>
        <v/>
      </c>
      <c r="O3004" s="3" t="inlineStr">
        <is>
          <t>세종복댕이</t>
        </is>
      </c>
      <c r="P3004" s="3" t="n">
        <v>1</v>
      </c>
      <c r="Q3004" s="3" t="n">
        <v>379</v>
      </c>
      <c r="R3004" s="3" t="inlineStr">
        <is>
          <t>지정되지않음</t>
        </is>
      </c>
      <c r="S3004" s="3" t="inlineStr">
        <is>
          <t>단독</t>
        </is>
      </c>
      <c r="T3004" s="3" t="inlineStr">
        <is>
          <t>평지</t>
        </is>
      </c>
      <c r="U3004" s="3" t="inlineStr">
        <is>
          <t>사다리형</t>
        </is>
      </c>
      <c r="V3004" s="3" t="inlineStr">
        <is>
          <t>세로한면(가)</t>
        </is>
      </c>
    </row>
    <row r="3005">
      <c r="A3005" s="3" t="inlineStr">
        <is>
          <t>세종특별자치시 부강면 금호리 725-1</t>
        </is>
      </c>
      <c r="B3005" s="3" t="inlineStr">
        <is>
          <t>계획관리지역</t>
        </is>
      </c>
      <c r="C3005" s="3" t="inlineStr">
        <is>
          <t>전</t>
        </is>
      </c>
      <c r="D3005" s="3" t="inlineStr">
        <is>
          <t>전</t>
        </is>
      </c>
      <c r="E3005" s="3" t="inlineStr">
        <is>
          <t>매매</t>
        </is>
      </c>
      <c r="F3005" s="4" t="n">
        <v>26000</v>
      </c>
      <c r="G3005" s="4" t="n">
        <v>572</v>
      </c>
      <c r="H3005" s="4" t="n">
        <v>173</v>
      </c>
      <c r="I3005" s="5" t="n">
        <v>150.3</v>
      </c>
      <c r="J3005" s="4" t="n">
        <v>65.3</v>
      </c>
      <c r="K3005" s="3" t="inlineStr">
        <is>
          <t>금강변 조용한 마을 내 전원주택부지</t>
        </is>
      </c>
      <c r="L3005" s="6">
        <f>HYPERLINK("https://fin.land.naver.com/articles/2645609445", "매물Link")</f>
        <v/>
      </c>
      <c r="M3005" s="6">
        <f>HYPERLINK("https://map.naver.com/p/search/세종특별자치시 부강면 금호리 725-1", "지도Link")</f>
        <v/>
      </c>
      <c r="N3005" s="6">
        <f>HYPERLINK("http://www.eum.go.kr/web/ar/lu/luLandDet.jsp?pnu=3611033028107250001&amp;isNoScr=script&amp;mode=search", "토지이음")</f>
        <v/>
      </c>
      <c r="O3005" s="3" t="inlineStr">
        <is>
          <t>청담</t>
        </is>
      </c>
      <c r="P3005" s="3" t="n">
        <v>1</v>
      </c>
      <c r="Q3005" s="3" t="n">
        <v>211</v>
      </c>
      <c r="R3005" s="3" t="inlineStr">
        <is>
          <t>지정되지않음</t>
        </is>
      </c>
      <c r="S3005" s="3" t="inlineStr">
        <is>
          <t>전</t>
        </is>
      </c>
      <c r="T3005" s="3" t="inlineStr">
        <is>
          <t>평지</t>
        </is>
      </c>
      <c r="U3005" s="3" t="inlineStr">
        <is>
          <t>가로장방</t>
        </is>
      </c>
      <c r="V3005" s="3" t="inlineStr">
        <is>
          <t>세로한면(가)</t>
        </is>
      </c>
    </row>
    <row r="3006">
      <c r="A3006" s="3" t="inlineStr">
        <is>
          <t>세종특별자치시 부강면 금호리 731</t>
        </is>
      </c>
      <c r="B3006" s="3" t="inlineStr">
        <is>
          <t>계획관리지역</t>
        </is>
      </c>
      <c r="C3006" s="3" t="inlineStr">
        <is>
          <t>답</t>
        </is>
      </c>
      <c r="D3006" s="3" t="inlineStr">
        <is>
          <t>답</t>
        </is>
      </c>
      <c r="E3006" s="3" t="inlineStr">
        <is>
          <t>매매</t>
        </is>
      </c>
      <c r="F3006" s="4" t="n">
        <v>174600</v>
      </c>
      <c r="G3006" s="4" t="n">
        <v>2885</v>
      </c>
      <c r="H3006" s="4" t="n">
        <v>873</v>
      </c>
      <c r="I3006" s="5" t="n">
        <v>200</v>
      </c>
      <c r="J3006" s="4" t="n">
        <v>64.59999999999999</v>
      </c>
      <c r="K3006" s="3" t="inlineStr">
        <is>
          <t>세종시 부강면 산업단지 인근 시세보다 저렴한 토지 매매</t>
        </is>
      </c>
      <c r="L3006" s="6">
        <f>HYPERLINK("https://fin.land.naver.com/articles/2649751521", "매물Link")</f>
        <v/>
      </c>
      <c r="M3006" s="6">
        <f>HYPERLINK("https://map.naver.com/p/search/세종특별자치시 부강면 금호리 731", "지도Link")</f>
        <v/>
      </c>
      <c r="N3006" s="6">
        <f>HYPERLINK("http://www.eum.go.kr/web/ar/lu/luLandDet.jsp?pnu=3611033028107310000&amp;isNoScr=script&amp;mode=search", "토지이음")</f>
        <v/>
      </c>
      <c r="O3006" s="3" t="inlineStr">
        <is>
          <t>뉴스카이</t>
        </is>
      </c>
      <c r="P3006" s="3" t="n">
        <v>1</v>
      </c>
      <c r="Q3006" s="3" t="n">
        <v>1274</v>
      </c>
      <c r="R3006" s="3" t="inlineStr">
        <is>
          <t>지정되지않음</t>
        </is>
      </c>
      <c r="S3006" s="3" t="inlineStr">
        <is>
          <t>답</t>
        </is>
      </c>
      <c r="T3006" s="3" t="inlineStr">
        <is>
          <t>평지</t>
        </is>
      </c>
      <c r="U3006" s="3" t="inlineStr">
        <is>
          <t>사다리형</t>
        </is>
      </c>
      <c r="V3006" s="3" t="inlineStr">
        <is>
          <t>세로한면(가)</t>
        </is>
      </c>
    </row>
    <row r="3007">
      <c r="A3007" s="3" t="inlineStr">
        <is>
          <t>세종특별자치시 부강면 금호리 산10-1</t>
        </is>
      </c>
      <c r="B3007" s="3" t="inlineStr">
        <is>
          <t>생산관리지역</t>
        </is>
      </c>
      <c r="C3007" s="3" t="inlineStr">
        <is>
          <t>임야</t>
        </is>
      </c>
      <c r="D3007" s="3" t="inlineStr">
        <is>
          <t>임야</t>
        </is>
      </c>
      <c r="E3007" s="3" t="inlineStr">
        <is>
          <t>매매</t>
        </is>
      </c>
      <c r="F3007" s="4" t="n">
        <v>30000</v>
      </c>
      <c r="G3007" s="4" t="n">
        <v>992</v>
      </c>
      <c r="H3007" s="4" t="n">
        <v>300</v>
      </c>
      <c r="I3007" s="5" t="n">
        <v>100</v>
      </c>
      <c r="J3007" s="4" t="n">
        <v>5.4</v>
      </c>
      <c r="K3007" s="3" t="inlineStr">
        <is>
          <t>nan</t>
        </is>
      </c>
      <c r="L3007" s="6">
        <f>HYPERLINK("https://fin.land.naver.com/articles/2644595846", "매물Link")</f>
        <v/>
      </c>
      <c r="M3007" s="6">
        <f>HYPERLINK("https://map.naver.com/p/search/세종특별자치시 부강면 금호리 산10-1", "지도Link")</f>
        <v/>
      </c>
      <c r="N3007" s="6">
        <f>HYPERLINK("http://www.eum.go.kr/web/ar/lu/luLandDet.jsp?pnu=3611033028200100001&amp;isNoScr=script&amp;mode=search", "토지이음")</f>
        <v/>
      </c>
      <c r="O3007" s="3" t="inlineStr">
        <is>
          <t>세종몽땅</t>
        </is>
      </c>
      <c r="P3007" s="3" t="n">
        <v>1</v>
      </c>
      <c r="Q3007" s="3" t="n">
        <v>992</v>
      </c>
      <c r="R3007" s="3" t="inlineStr">
        <is>
          <t>지정되지않음</t>
        </is>
      </c>
      <c r="S3007" s="3" t="inlineStr">
        <is>
          <t>자연림</t>
        </is>
      </c>
      <c r="T3007" s="3" t="inlineStr">
        <is>
          <t>완경사</t>
        </is>
      </c>
      <c r="U3007" s="3" t="inlineStr">
        <is>
          <t>사다리형</t>
        </is>
      </c>
      <c r="V3007" s="3" t="inlineStr">
        <is>
          <t>맹지</t>
        </is>
      </c>
    </row>
    <row r="3008">
      <c r="A3008" s="3" t="inlineStr">
        <is>
          <t>세종특별자치시 부강면 금호리 산46-4</t>
        </is>
      </c>
      <c r="B3008" s="3" t="inlineStr">
        <is>
          <t>보전관리지역</t>
        </is>
      </c>
      <c r="C3008" s="3" t="inlineStr">
        <is>
          <t>임야</t>
        </is>
      </c>
      <c r="D3008" s="3" t="inlineStr">
        <is>
          <t>임야</t>
        </is>
      </c>
      <c r="E3008" s="3" t="inlineStr">
        <is>
          <t>매매</t>
        </is>
      </c>
      <c r="F3008" s="4" t="n">
        <v>60000</v>
      </c>
      <c r="G3008" s="4" t="n">
        <v>4247</v>
      </c>
      <c r="H3008" s="4" t="n">
        <v>1285</v>
      </c>
      <c r="I3008" s="5" t="n">
        <v>46.7</v>
      </c>
      <c r="J3008" s="4" t="n">
        <v>6</v>
      </c>
      <c r="K3008" s="3" t="inlineStr">
        <is>
          <t>부강면 금호리는 4생활권에서 5분거리, 금호교건너면 바로앞 금강임.</t>
        </is>
      </c>
      <c r="L3008" s="6">
        <f>HYPERLINK("https://fin.land.naver.com/articles/2647579496", "매물Link")</f>
        <v/>
      </c>
      <c r="M3008" s="6">
        <f>HYPERLINK("https://map.naver.com/p/search/세종특별자치시 부강면 금호리 산46-4", "지도Link")</f>
        <v/>
      </c>
      <c r="N3008" s="6">
        <f>HYPERLINK("http://www.eum.go.kr/web/ar/lu/luLandDet.jsp?pnu=3611033028200460004&amp;isNoScr=script&amp;mode=search", "토지이음")</f>
        <v/>
      </c>
      <c r="O3008" s="3" t="inlineStr">
        <is>
          <t>꿈드림</t>
        </is>
      </c>
      <c r="P3008" s="3" t="n">
        <v>1</v>
      </c>
      <c r="Q3008" s="3" t="n">
        <v>1653</v>
      </c>
      <c r="R3008" s="3" t="inlineStr">
        <is>
          <t>계획관리지역</t>
        </is>
      </c>
      <c r="S3008" s="3" t="inlineStr">
        <is>
          <t>자연림</t>
        </is>
      </c>
      <c r="T3008" s="3" t="inlineStr">
        <is>
          <t>완경사</t>
        </is>
      </c>
      <c r="U3008" s="3" t="inlineStr">
        <is>
          <t>부정형</t>
        </is>
      </c>
      <c r="V3008" s="3" t="inlineStr">
        <is>
          <t>맹지</t>
        </is>
      </c>
    </row>
    <row r="3009">
      <c r="A3009" s="3" t="inlineStr">
        <is>
          <t>세종특별자치시 부강면 노호리 24</t>
        </is>
      </c>
      <c r="B3009" s="3" t="inlineStr">
        <is>
          <t>계획관리지역</t>
        </is>
      </c>
      <c r="C3009" s="3" t="inlineStr">
        <is>
          <t>답</t>
        </is>
      </c>
      <c r="D3009" s="3" t="inlineStr">
        <is>
          <t>답</t>
        </is>
      </c>
      <c r="E3009" s="3" t="inlineStr">
        <is>
          <t>매매</t>
        </is>
      </c>
      <c r="F3009" s="4" t="n">
        <v>250000</v>
      </c>
      <c r="G3009" s="4" t="n">
        <v>13113</v>
      </c>
      <c r="H3009" s="4" t="n">
        <v>3967</v>
      </c>
      <c r="I3009" s="5" t="n">
        <v>63</v>
      </c>
      <c r="J3009" s="4" t="n">
        <v>23.2</v>
      </c>
      <c r="K3009" s="3" t="inlineStr">
        <is>
          <t>공장,창고 건축 가능, 도로 접함</t>
        </is>
      </c>
      <c r="L3009" s="6">
        <f>HYPERLINK("https://fin.land.naver.com/articles/2646886887", "매물Link")</f>
        <v/>
      </c>
      <c r="M3009" s="6">
        <f>HYPERLINK("https://map.naver.com/p/search/세종특별자치시 부강면 노호리 24", "지도Link")</f>
        <v/>
      </c>
      <c r="N3009" s="6">
        <f>HYPERLINK("http://www.eum.go.kr/web/ar/lu/luLandDet.jsp?pnu=3611033027100240000&amp;isNoScr=script&amp;mode=search", "토지이음")</f>
        <v/>
      </c>
      <c r="O3009" s="3" t="inlineStr">
        <is>
          <t>나릿재슬기로운</t>
        </is>
      </c>
      <c r="P3009" s="3" t="n">
        <v>1</v>
      </c>
      <c r="Q3009" s="3" t="n">
        <v>2278</v>
      </c>
      <c r="R3009" s="3" t="inlineStr">
        <is>
          <t>지정되지않음</t>
        </is>
      </c>
      <c r="S3009" s="3" t="inlineStr">
        <is>
          <t>답</t>
        </is>
      </c>
      <c r="T3009" s="3" t="inlineStr">
        <is>
          <t>완경사</t>
        </is>
      </c>
      <c r="U3009" s="3" t="inlineStr">
        <is>
          <t>부정형</t>
        </is>
      </c>
      <c r="V3009" s="3" t="inlineStr">
        <is>
          <t>세로한면(가)</t>
        </is>
      </c>
    </row>
    <row r="3010">
      <c r="A3010" s="3" t="inlineStr">
        <is>
          <t>세종특별자치시 부강면 노호리 287</t>
        </is>
      </c>
      <c r="B3010" s="3" t="inlineStr">
        <is>
          <t>계획관리지역</t>
        </is>
      </c>
      <c r="C3010" s="3" t="inlineStr">
        <is>
          <t>답</t>
        </is>
      </c>
      <c r="D3010" s="3" t="inlineStr">
        <is>
          <t>답</t>
        </is>
      </c>
      <c r="E3010" s="3" t="inlineStr">
        <is>
          <t>매매</t>
        </is>
      </c>
      <c r="F3010" s="4" t="n">
        <v>38400</v>
      </c>
      <c r="G3010" s="4" t="n">
        <v>2118</v>
      </c>
      <c r="H3010" s="4" t="n">
        <v>641</v>
      </c>
      <c r="I3010" s="5" t="n">
        <v>59.9</v>
      </c>
      <c r="J3010" s="4" t="n">
        <v>21.8</v>
      </c>
      <c r="K3010" s="3" t="inlineStr">
        <is>
          <t>세종특별자치시 부강면 노호리 계획관리지역 답 2118㎡ 토지매매</t>
        </is>
      </c>
      <c r="L3010" s="6">
        <f>HYPERLINK("https://fin.land.naver.com/articles/2648116519", "매물Link")</f>
        <v/>
      </c>
      <c r="M3010" s="6">
        <f>HYPERLINK("https://map.naver.com/p/search/세종특별자치시 부강면 노호리 287", "지도Link")</f>
        <v/>
      </c>
      <c r="N3010" s="6">
        <f>HYPERLINK("http://www.eum.go.kr/web/ar/lu/luLandDet.jsp?pnu=3611033027102870000&amp;isNoScr=script&amp;mode=search", "토지이음")</f>
        <v/>
      </c>
      <c r="O3010" s="3" t="inlineStr">
        <is>
          <t>진행</t>
        </is>
      </c>
      <c r="P3010" s="3" t="n">
        <v>1</v>
      </c>
      <c r="Q3010" s="3" t="n">
        <v>2118</v>
      </c>
      <c r="R3010" s="3" t="inlineStr">
        <is>
          <t>지정되지않음</t>
        </is>
      </c>
      <c r="S3010" s="3" t="inlineStr">
        <is>
          <t>답</t>
        </is>
      </c>
      <c r="T3010" s="3" t="inlineStr">
        <is>
          <t>완경사</t>
        </is>
      </c>
      <c r="U3010" s="3" t="inlineStr">
        <is>
          <t>부정형</t>
        </is>
      </c>
      <c r="V3010" s="3" t="inlineStr">
        <is>
          <t>세로한면(불)</t>
        </is>
      </c>
    </row>
    <row r="3011">
      <c r="A3011" s="3" t="inlineStr">
        <is>
          <t>세종특별자치시 부강면 노호리 297</t>
        </is>
      </c>
      <c r="B3011" s="3" t="inlineStr">
        <is>
          <t>계획관리지역</t>
        </is>
      </c>
      <c r="C3011" s="3" t="inlineStr">
        <is>
          <t>답</t>
        </is>
      </c>
      <c r="D3011" s="3" t="inlineStr">
        <is>
          <t>답</t>
        </is>
      </c>
      <c r="E3011" s="3" t="inlineStr">
        <is>
          <t>매매</t>
        </is>
      </c>
      <c r="F3011" s="4" t="n">
        <v>23000</v>
      </c>
      <c r="G3011" s="4" t="n">
        <v>1302</v>
      </c>
      <c r="H3011" s="4" t="n">
        <v>394</v>
      </c>
      <c r="I3011" s="5" t="n">
        <v>58.4</v>
      </c>
      <c r="J3011" s="4" t="n">
        <v>21.4</v>
      </c>
      <c r="K3011" s="3" t="inlineStr">
        <is>
          <t>계획관리 정남향의 토지 전원주택부지로 적극추천 주말농장하면서 투자로</t>
        </is>
      </c>
      <c r="L3011" s="6">
        <f>HYPERLINK("https://fin.land.naver.com/articles/2649097737", "매물Link")</f>
        <v/>
      </c>
      <c r="M3011" s="6">
        <f>HYPERLINK("https://map.naver.com/p/search/세종특별자치시 부강면 노호리 297", "지도Link")</f>
        <v/>
      </c>
      <c r="N3011" s="6">
        <f>HYPERLINK("http://www.eum.go.kr/web/ar/lu/luLandDet.jsp?pnu=3611033027102970000&amp;isNoScr=script&amp;mode=search", "토지이음")</f>
        <v/>
      </c>
      <c r="O3011" s="3" t="inlineStr">
        <is>
          <t>대전토지로무소</t>
        </is>
      </c>
      <c r="P3011" s="3" t="n">
        <v>1</v>
      </c>
      <c r="Q3011" s="3" t="n">
        <v>1302</v>
      </c>
      <c r="R3011" s="3" t="inlineStr">
        <is>
          <t>지정되지않음</t>
        </is>
      </c>
      <c r="S3011" s="3" t="inlineStr">
        <is>
          <t>답</t>
        </is>
      </c>
      <c r="T3011" s="3" t="inlineStr">
        <is>
          <t>완경사</t>
        </is>
      </c>
      <c r="U3011" s="3" t="inlineStr">
        <is>
          <t>가로장방</t>
        </is>
      </c>
      <c r="V3011" s="3" t="inlineStr">
        <is>
          <t>세로한면(가)</t>
        </is>
      </c>
    </row>
    <row r="3012">
      <c r="A3012" s="3" t="inlineStr">
        <is>
          <t>세종특별자치시 부강면 노호리 334</t>
        </is>
      </c>
      <c r="B3012" s="3" t="inlineStr">
        <is>
          <t>계획관리지역</t>
        </is>
      </c>
      <c r="C3012" s="3" t="inlineStr">
        <is>
          <t>대</t>
        </is>
      </c>
      <c r="D3012" s="3" t="inlineStr">
        <is>
          <t>대</t>
        </is>
      </c>
      <c r="E3012" s="3" t="inlineStr">
        <is>
          <t>매매</t>
        </is>
      </c>
      <c r="F3012" s="4" t="n">
        <v>155000</v>
      </c>
      <c r="G3012" s="4" t="n">
        <v>3254</v>
      </c>
      <c r="H3012" s="4" t="n">
        <v>984</v>
      </c>
      <c r="I3012" s="5" t="n">
        <v>157.5</v>
      </c>
      <c r="J3012" s="4" t="n">
        <v>40.6</v>
      </c>
      <c r="K3012" s="3" t="inlineStr">
        <is>
          <t>세종 인근 접근성 좋은 부강면 노호리 전원주택지 매매,남향</t>
        </is>
      </c>
      <c r="L3012" s="6">
        <f>HYPERLINK("https://fin.land.naver.com/articles/2648864117", "매물Link")</f>
        <v/>
      </c>
      <c r="M3012" s="6">
        <f>HYPERLINK("https://map.naver.com/p/search/세종특별자치시 부강면 노호리 334", "지도Link")</f>
        <v/>
      </c>
      <c r="N3012" s="6">
        <f>HYPERLINK("http://www.eum.go.kr/web/ar/lu/luLandDet.jsp?pnu=3611033027103340000&amp;isNoScr=script&amp;mode=search", "토지이음")</f>
        <v/>
      </c>
      <c r="O3012" s="3" t="inlineStr">
        <is>
          <t>천재원</t>
        </is>
      </c>
      <c r="P3012" s="3" t="n">
        <v>1</v>
      </c>
      <c r="Q3012" s="3" t="n">
        <v>939</v>
      </c>
      <c r="R3012" s="3" t="inlineStr">
        <is>
          <t>지정되지않음</t>
        </is>
      </c>
      <c r="S3012" s="3" t="inlineStr">
        <is>
          <t>단독</t>
        </is>
      </c>
      <c r="T3012" s="3" t="inlineStr">
        <is>
          <t>완경사</t>
        </is>
      </c>
      <c r="U3012" s="3" t="inlineStr">
        <is>
          <t>부정형</t>
        </is>
      </c>
      <c r="V3012" s="3" t="inlineStr">
        <is>
          <t>세로한면(가)</t>
        </is>
      </c>
    </row>
    <row r="3013">
      <c r="A3013" s="3" t="inlineStr">
        <is>
          <t>세종특별자치시 부강면 노호리 356-1</t>
        </is>
      </c>
      <c r="B3013" s="3" t="inlineStr">
        <is>
          <t>생산관리지역</t>
        </is>
      </c>
      <c r="C3013" s="3" t="inlineStr">
        <is>
          <t>답</t>
        </is>
      </c>
      <c r="D3013" s="3" t="inlineStr">
        <is>
          <t>답</t>
        </is>
      </c>
      <c r="E3013" s="3" t="inlineStr">
        <is>
          <t>매매</t>
        </is>
      </c>
      <c r="F3013" s="4" t="n">
        <v>72000</v>
      </c>
      <c r="G3013" s="4" t="n">
        <v>3963</v>
      </c>
      <c r="H3013" s="4" t="n">
        <v>1199</v>
      </c>
      <c r="I3013" s="5" t="n">
        <v>60.1</v>
      </c>
      <c r="J3013" s="4" t="n">
        <v>25.8</v>
      </c>
      <c r="K3013" s="3" t="inlineStr">
        <is>
          <t>부강면 노호리 도로접한 토지매매.</t>
        </is>
      </c>
      <c r="L3013" s="6">
        <f>HYPERLINK("https://fin.land.naver.com/articles/2647631268", "매물Link")</f>
        <v/>
      </c>
      <c r="M3013" s="6">
        <f>HYPERLINK("https://map.naver.com/p/search/세종특별자치시 부강면 노호리 356-1", "지도Link")</f>
        <v/>
      </c>
      <c r="N3013" s="6">
        <f>HYPERLINK("http://www.eum.go.kr/web/ar/lu/luLandDet.jsp?pnu=3611033027103560001&amp;isNoScr=script&amp;mode=search", "토지이음")</f>
        <v/>
      </c>
      <c r="O3013" s="3" t="inlineStr">
        <is>
          <t>방서에이스</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세종특별자치시 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HYPERLINK("https://map.naver.com/p/search/세종특별자치시 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세종특별자치시 부강면 노호리 356-1</t>
        </is>
      </c>
      <c r="B3015" s="3" t="inlineStr">
        <is>
          <t>생산관리지역</t>
        </is>
      </c>
      <c r="C3015" s="3" t="inlineStr">
        <is>
          <t>답</t>
        </is>
      </c>
      <c r="D3015" s="3" t="inlineStr">
        <is>
          <t>답</t>
        </is>
      </c>
      <c r="E3015" s="3" t="inlineStr">
        <is>
          <t>매매</t>
        </is>
      </c>
      <c r="F3015" s="4" t="n">
        <v>71930</v>
      </c>
      <c r="G3015" s="4" t="n">
        <v>3963</v>
      </c>
      <c r="H3015" s="4" t="n">
        <v>1199</v>
      </c>
      <c r="I3015" s="5" t="n">
        <v>60</v>
      </c>
      <c r="J3015" s="4" t="n">
        <v>25.8</v>
      </c>
      <c r="K3015" s="3" t="inlineStr">
        <is>
          <t>매포역 인근 금강 변, 국도 인접 생산관리지역, 개발호재 많은 투자 물건</t>
        </is>
      </c>
      <c r="L3015" s="6">
        <f>HYPERLINK("https://fin.land.naver.com/articles/2650180451", "매물Link")</f>
        <v/>
      </c>
      <c r="M3015" s="6">
        <f>HYPERLINK("https://map.naver.com/p/search/세종특별자치시 부강면 노호리 356-1", "지도Link")</f>
        <v/>
      </c>
      <c r="N3015" s="6">
        <f>HYPERLINK("http://www.eum.go.kr/web/ar/lu/luLandDet.jsp?pnu=3611033027103560001&amp;isNoScr=script&amp;mode=search", "토지이음")</f>
        <v/>
      </c>
      <c r="O3015" s="3" t="inlineStr">
        <is>
          <t>오송3산단  사무소</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세종특별자치시 부강면 노호리 356-1</t>
        </is>
      </c>
      <c r="B3016" s="3" t="inlineStr">
        <is>
          <t>생산관리지역</t>
        </is>
      </c>
      <c r="C3016" s="3" t="inlineStr">
        <is>
          <t>답</t>
        </is>
      </c>
      <c r="D3016" s="3" t="inlineStr">
        <is>
          <t>답</t>
        </is>
      </c>
      <c r="E3016" s="3" t="inlineStr">
        <is>
          <t>매매</t>
        </is>
      </c>
      <c r="F3016" s="4" t="n">
        <v>72000</v>
      </c>
      <c r="G3016" s="4" t="n">
        <v>3963</v>
      </c>
      <c r="H3016" s="4" t="n">
        <v>1199</v>
      </c>
      <c r="I3016" s="5" t="n">
        <v>60.1</v>
      </c>
      <c r="J3016" s="4" t="n">
        <v>25.8</v>
      </c>
      <c r="K3016" s="3" t="inlineStr">
        <is>
          <t>부강면노호리 생산관리지역 마을인접 가격조정가능</t>
        </is>
      </c>
      <c r="L3016" s="6">
        <f>HYPERLINK("https://fin.land.naver.com/articles/2649144191", "매물Link")</f>
        <v/>
      </c>
      <c r="M3016" s="6">
        <f>HYPERLINK("https://map.naver.com/p/search/세종특별자치시 부강면 노호리 356-1", "지도Link")</f>
        <v/>
      </c>
      <c r="N3016" s="6">
        <f>HYPERLINK("http://www.eum.go.kr/web/ar/lu/luLandDet.jsp?pnu=3611033027103560001&amp;isNoScr=script&amp;mode=search", "토지이음")</f>
        <v/>
      </c>
      <c r="O3016" s="3" t="inlineStr">
        <is>
          <t>고운동리치세종</t>
        </is>
      </c>
      <c r="P3016" s="3" t="n">
        <v>1</v>
      </c>
      <c r="Q3016" s="3" t="n">
        <v>2446</v>
      </c>
      <c r="R3016" s="3" t="inlineStr">
        <is>
          <t>지정되지않음</t>
        </is>
      </c>
      <c r="S3016" s="3" t="inlineStr">
        <is>
          <t>답</t>
        </is>
      </c>
      <c r="T3016" s="3" t="inlineStr">
        <is>
          <t>평지</t>
        </is>
      </c>
      <c r="U3016" s="3" t="inlineStr">
        <is>
          <t>부정형</t>
        </is>
      </c>
      <c r="V3016" s="3" t="inlineStr">
        <is>
          <t>세로한면(가)</t>
        </is>
      </c>
    </row>
    <row r="3017">
      <c r="A3017" s="3" t="inlineStr">
        <is>
          <t>세종특별자치시 부강면 노호리 55-3</t>
        </is>
      </c>
      <c r="B3017" s="3" t="inlineStr">
        <is>
          <t>계획관리지역</t>
        </is>
      </c>
      <c r="C3017" s="3" t="inlineStr">
        <is>
          <t>대</t>
        </is>
      </c>
      <c r="D3017" s="3" t="inlineStr">
        <is>
          <t>대</t>
        </is>
      </c>
      <c r="E3017" s="3" t="inlineStr">
        <is>
          <t>매매</t>
        </is>
      </c>
      <c r="F3017" s="4" t="n">
        <v>23000</v>
      </c>
      <c r="G3017" s="4" t="n">
        <v>1336</v>
      </c>
      <c r="H3017" s="4" t="n">
        <v>404</v>
      </c>
      <c r="I3017" s="5" t="n">
        <v>56.9</v>
      </c>
      <c r="J3017" s="4" t="n">
        <v>38.5</v>
      </c>
      <c r="K3017" s="3" t="inlineStr">
        <is>
          <t>부강면 노호리에 있는 계획관리지역의 지목이 대지입니다</t>
        </is>
      </c>
      <c r="L3017" s="6">
        <f>HYPERLINK("https://fin.land.naver.com/articles/2645016395", "매물Link")</f>
        <v/>
      </c>
      <c r="M3017" s="6">
        <f>HYPERLINK("https://map.naver.com/p/search/세종특별자치시 부강면 노호리 55-3", "지도Link")</f>
        <v/>
      </c>
      <c r="N3017" s="6">
        <f>HYPERLINK("http://www.eum.go.kr/web/ar/lu/luLandDet.jsp?pnu=3611033027100550003&amp;isNoScr=script&amp;mode=search", "토지이음")</f>
        <v/>
      </c>
      <c r="O3017" s="3" t="inlineStr">
        <is>
          <t>스마일세종</t>
        </is>
      </c>
      <c r="P3017" s="3" t="n">
        <v>1</v>
      </c>
      <c r="Q3017" s="3" t="n">
        <v>1336</v>
      </c>
      <c r="R3017" s="3" t="inlineStr">
        <is>
          <t>지정되지않음</t>
        </is>
      </c>
      <c r="S3017" s="3" t="inlineStr">
        <is>
          <t>주거나지</t>
        </is>
      </c>
      <c r="T3017" s="3" t="inlineStr">
        <is>
          <t>완경사</t>
        </is>
      </c>
      <c r="U3017" s="3" t="inlineStr">
        <is>
          <t>부정형</t>
        </is>
      </c>
      <c r="V3017" s="3" t="inlineStr">
        <is>
          <t>세로한면(가)</t>
        </is>
      </c>
    </row>
    <row r="3018">
      <c r="A3018" s="3" t="inlineStr">
        <is>
          <t>세종특별자치시 부강면 노호리 63-4</t>
        </is>
      </c>
      <c r="B3018" s="3" t="inlineStr">
        <is>
          <t>계획관리지역</t>
        </is>
      </c>
      <c r="C3018" s="3" t="inlineStr">
        <is>
          <t>대</t>
        </is>
      </c>
      <c r="D3018" s="3" t="inlineStr">
        <is>
          <t>대</t>
        </is>
      </c>
      <c r="E3018" s="3" t="inlineStr">
        <is>
          <t>매매</t>
        </is>
      </c>
      <c r="F3018" s="4" t="n">
        <v>62000</v>
      </c>
      <c r="G3018" s="4" t="n">
        <v>1351</v>
      </c>
      <c r="H3018" s="4" t="n">
        <v>409</v>
      </c>
      <c r="I3018" s="5" t="n">
        <v>151.6</v>
      </c>
      <c r="J3018" s="4" t="n">
        <v>43.4</v>
      </c>
      <c r="K3018" s="3" t="inlineStr">
        <is>
          <t>계획관리 토지, 지목대지,답 단독주택</t>
        </is>
      </c>
      <c r="L3018" s="6">
        <f>HYPERLINK("https://fin.land.naver.com/articles/2648813381", "매물Link")</f>
        <v/>
      </c>
      <c r="M3018" s="6">
        <f>HYPERLINK("https://map.naver.com/p/search/세종특별자치시 부강면 노호리 63-4", "지도Link")</f>
        <v/>
      </c>
      <c r="N3018" s="6">
        <f>HYPERLINK("http://www.eum.go.kr/web/ar/lu/luLandDet.jsp?pnu=3611033027100630004&amp;isNoScr=script&amp;mode=search", "토지이음")</f>
        <v/>
      </c>
      <c r="O3018" s="3" t="inlineStr">
        <is>
          <t>세종대박</t>
        </is>
      </c>
      <c r="P3018" s="3" t="n">
        <v>1</v>
      </c>
      <c r="Q3018" s="3" t="n">
        <v>655</v>
      </c>
      <c r="R3018" s="3" t="inlineStr">
        <is>
          <t>지정되지않음</t>
        </is>
      </c>
      <c r="S3018" s="3" t="inlineStr">
        <is>
          <t>단독</t>
        </is>
      </c>
      <c r="T3018" s="3" t="inlineStr">
        <is>
          <t>평지</t>
        </is>
      </c>
      <c r="U3018" s="3" t="inlineStr">
        <is>
          <t>부정형</t>
        </is>
      </c>
      <c r="V3018" s="3" t="inlineStr">
        <is>
          <t>세로한면(가)</t>
        </is>
      </c>
    </row>
    <row r="3019">
      <c r="A3019" s="3" t="inlineStr">
        <is>
          <t>세종특별자치시 부강면 노호리 산66-16</t>
        </is>
      </c>
      <c r="B3019" s="3" t="inlineStr">
        <is>
          <t>계획관리지역</t>
        </is>
      </c>
      <c r="C3019" s="3" t="inlineStr">
        <is>
          <t>임야</t>
        </is>
      </c>
      <c r="D3019" s="3" t="inlineStr">
        <is>
          <t>임야</t>
        </is>
      </c>
      <c r="E3019" s="3" t="inlineStr">
        <is>
          <t>매매</t>
        </is>
      </c>
      <c r="F3019" s="4" t="n">
        <v>49000</v>
      </c>
      <c r="G3019" s="4" t="n">
        <v>2813</v>
      </c>
      <c r="H3019" s="4" t="n">
        <v>851</v>
      </c>
      <c r="I3019" s="5" t="n">
        <v>57.6</v>
      </c>
      <c r="J3019" s="4" t="n">
        <v>5.1</v>
      </c>
      <c r="K3019" s="3" t="inlineStr">
        <is>
          <t>계획관리지역 최고의 전원주택부지 인접지역이 개발호재가 많아 미래가치있음</t>
        </is>
      </c>
      <c r="L3019" s="6">
        <f>HYPERLINK("https://fin.land.naver.com/articles/2647636976", "매물Link")</f>
        <v/>
      </c>
      <c r="M3019" s="6">
        <f>HYPERLINK("https://map.naver.com/p/search/세종특별자치시 부강면 노호리 산66-16", "지도Link")</f>
        <v/>
      </c>
      <c r="N3019" s="6">
        <f>HYPERLINK("http://www.eum.go.kr/web/ar/lu/luLandDet.jsp?pnu=3611033027200660016&amp;isNoScr=script&amp;mode=search", "토지이음")</f>
        <v/>
      </c>
      <c r="O3019" s="3" t="inlineStr">
        <is>
          <t>대전토지로무소</t>
        </is>
      </c>
      <c r="P3019" s="3" t="n">
        <v>1</v>
      </c>
      <c r="Q3019" s="3" t="n">
        <v>2813</v>
      </c>
      <c r="R3019" s="3" t="inlineStr">
        <is>
          <t>지정되지않음</t>
        </is>
      </c>
      <c r="S3019" s="3" t="inlineStr">
        <is>
          <t>자연림</t>
        </is>
      </c>
      <c r="T3019" s="3" t="inlineStr">
        <is>
          <t>급경사</t>
        </is>
      </c>
      <c r="U3019" s="3" t="inlineStr">
        <is>
          <t>부정형</t>
        </is>
      </c>
      <c r="V3019" s="3" t="inlineStr">
        <is>
          <t>세로한면(가)</t>
        </is>
      </c>
    </row>
    <row r="3020">
      <c r="A3020" s="3" t="inlineStr">
        <is>
          <t>세종특별자치시 부강면 등곡리 178</t>
        </is>
      </c>
      <c r="B3020" s="3" t="inlineStr">
        <is>
          <t>계획관리지역</t>
        </is>
      </c>
      <c r="C3020" s="3" t="inlineStr">
        <is>
          <t>대</t>
        </is>
      </c>
      <c r="D3020" s="3" t="inlineStr">
        <is>
          <t>대</t>
        </is>
      </c>
      <c r="E3020" s="3" t="inlineStr">
        <is>
          <t>매매</t>
        </is>
      </c>
      <c r="F3020" s="4" t="n">
        <v>16500</v>
      </c>
      <c r="G3020" s="4" t="n">
        <v>681</v>
      </c>
      <c r="H3020" s="4" t="n">
        <v>206</v>
      </c>
      <c r="I3020" s="5" t="n">
        <v>80.09999999999999</v>
      </c>
      <c r="J3020" s="4" t="n">
        <v>36.8</v>
      </c>
      <c r="K3020" s="3" t="inlineStr">
        <is>
          <t>나대지</t>
        </is>
      </c>
      <c r="L3020" s="6">
        <f>HYPERLINK("https://fin.land.naver.com/articles/2647745236", "매물Link")</f>
        <v/>
      </c>
      <c r="M3020" s="6">
        <f>HYPERLINK("https://map.naver.com/p/search/세종특별자치시 부강면 등곡리 178", "지도Link")</f>
        <v/>
      </c>
      <c r="N3020" s="6">
        <f>HYPERLINK("http://www.eum.go.kr/web/ar/lu/luLandDet.jsp?pnu=3611033026101780000&amp;isNoScr=script&amp;mode=search", "토지이음")</f>
        <v/>
      </c>
      <c r="O3020" s="3" t="inlineStr">
        <is>
          <t>다산</t>
        </is>
      </c>
      <c r="P3020" s="3" t="n">
        <v>1</v>
      </c>
      <c r="Q3020" s="3" t="n">
        <v>681</v>
      </c>
      <c r="R3020" s="3" t="inlineStr">
        <is>
          <t>지정되지않음</t>
        </is>
      </c>
      <c r="S3020" s="3" t="inlineStr">
        <is>
          <t>단독</t>
        </is>
      </c>
      <c r="T3020" s="3" t="inlineStr">
        <is>
          <t>완경사</t>
        </is>
      </c>
      <c r="U3020" s="3" t="inlineStr">
        <is>
          <t>부정형</t>
        </is>
      </c>
      <c r="V3020" s="3" t="inlineStr">
        <is>
          <t>세로한면(가)</t>
        </is>
      </c>
    </row>
    <row r="3021">
      <c r="A3021" s="3" t="inlineStr">
        <is>
          <t>세종특별자치시 부강면 등곡리 452</t>
        </is>
      </c>
      <c r="B3021" s="3" t="inlineStr">
        <is>
          <t>생산관리지역</t>
        </is>
      </c>
      <c r="C3021" s="3" t="inlineStr">
        <is>
          <t>전</t>
        </is>
      </c>
      <c r="D3021" s="3" t="inlineStr">
        <is>
          <t>전</t>
        </is>
      </c>
      <c r="E3021" s="3" t="inlineStr">
        <is>
          <t>매매</t>
        </is>
      </c>
      <c r="F3021" s="4" t="n">
        <v>12700</v>
      </c>
      <c r="G3021" s="4" t="n">
        <v>2099</v>
      </c>
      <c r="H3021" s="4" t="n">
        <v>635</v>
      </c>
      <c r="I3021" s="5" t="n">
        <v>20</v>
      </c>
      <c r="J3021" s="4" t="n">
        <v>10.7</v>
      </c>
      <c r="K3021" s="3" t="inlineStr">
        <is>
          <t>급매도,현재밭으로 경작중,매포역가까움,밭으로 들어가는 흙길있음</t>
        </is>
      </c>
      <c r="L3021" s="6">
        <f>HYPERLINK("https://fin.land.naver.com/articles/2645392625", "매물Link")</f>
        <v/>
      </c>
      <c r="M3021" s="6">
        <f>HYPERLINK("https://map.naver.com/p/search/세종특별자치시 부강면 등곡리 452", "지도Link")</f>
        <v/>
      </c>
      <c r="N3021" s="6">
        <f>HYPERLINK("http://www.eum.go.kr/web/ar/lu/luLandDet.jsp?pnu=3611033026104520000&amp;isNoScr=script&amp;mode=search", "토지이음")</f>
        <v/>
      </c>
      <c r="O3021" s="3" t="inlineStr">
        <is>
          <t>배곧행복</t>
        </is>
      </c>
      <c r="P3021" s="3" t="n">
        <v>1</v>
      </c>
      <c r="Q3021" s="3" t="n">
        <v>2099</v>
      </c>
      <c r="R3021" s="3" t="inlineStr">
        <is>
          <t>지정되지않음</t>
        </is>
      </c>
      <c r="S3021" s="3" t="inlineStr">
        <is>
          <t>전</t>
        </is>
      </c>
      <c r="T3021" s="3" t="inlineStr">
        <is>
          <t>평지</t>
        </is>
      </c>
      <c r="U3021" s="3" t="inlineStr">
        <is>
          <t>사다리형</t>
        </is>
      </c>
      <c r="V3021" s="3" t="inlineStr">
        <is>
          <t>맹지</t>
        </is>
      </c>
    </row>
    <row r="3022">
      <c r="A3022" s="3" t="inlineStr">
        <is>
          <t>세종특별자치시 부강면 등곡리 55</t>
        </is>
      </c>
      <c r="B3022" s="3" t="inlineStr">
        <is>
          <t>계획관리지역</t>
        </is>
      </c>
      <c r="C3022" s="3" t="inlineStr">
        <is>
          <t>답</t>
        </is>
      </c>
      <c r="D3022" s="3" t="inlineStr">
        <is>
          <t>답</t>
        </is>
      </c>
      <c r="E3022" s="3" t="inlineStr">
        <is>
          <t>매매</t>
        </is>
      </c>
      <c r="F3022" s="4" t="n">
        <v>19000</v>
      </c>
      <c r="G3022" s="4" t="n">
        <v>1835</v>
      </c>
      <c r="H3022" s="4" t="n">
        <v>555</v>
      </c>
      <c r="I3022" s="5" t="n">
        <v>34.2</v>
      </c>
      <c r="J3022" s="4" t="n">
        <v>18.8</v>
      </c>
      <c r="K3022" s="3" t="inlineStr">
        <is>
          <t>접근성좋고 주말농장이나 전원주택 용지로도좋음.</t>
        </is>
      </c>
      <c r="L3022" s="6">
        <f>HYPERLINK("https://fin.land.naver.com/articles/2644673415", "매물Link")</f>
        <v/>
      </c>
      <c r="M3022" s="6">
        <f>HYPERLINK("https://map.naver.com/p/search/세종특별자치시 부강면 등곡리 55", "지도Link")</f>
        <v/>
      </c>
      <c r="N3022" s="6">
        <f>HYPERLINK("http://www.eum.go.kr/web/ar/lu/luLandDet.jsp?pnu=3611033026100550000&amp;isNoScr=script&amp;mode=search", "토지이음")</f>
        <v/>
      </c>
      <c r="O3022" s="3" t="inlineStr">
        <is>
          <t>오투그린1</t>
        </is>
      </c>
      <c r="P3022" s="3" t="n">
        <v>1</v>
      </c>
      <c r="Q3022" s="3" t="n">
        <v>1835</v>
      </c>
      <c r="R3022" s="3" t="inlineStr">
        <is>
          <t>지정되지않음</t>
        </is>
      </c>
      <c r="S3022" s="3" t="inlineStr">
        <is>
          <t>답</t>
        </is>
      </c>
      <c r="T3022" s="3" t="inlineStr">
        <is>
          <t>완경사</t>
        </is>
      </c>
      <c r="U3022" s="3" t="inlineStr">
        <is>
          <t>사다리형</t>
        </is>
      </c>
      <c r="V3022" s="3" t="inlineStr">
        <is>
          <t>맹지</t>
        </is>
      </c>
    </row>
    <row r="3023">
      <c r="A3023" s="3" t="inlineStr">
        <is>
          <t>세종특별자치시 부강면 문곡리 1060-3</t>
        </is>
      </c>
      <c r="B3023" s="3" t="inlineStr">
        <is>
          <t>계획관리지역</t>
        </is>
      </c>
      <c r="C3023" s="3" t="inlineStr">
        <is>
          <t>대</t>
        </is>
      </c>
      <c r="D3023" s="3" t="inlineStr">
        <is>
          <t>대</t>
        </is>
      </c>
      <c r="E3023" s="3" t="inlineStr">
        <is>
          <t>매매</t>
        </is>
      </c>
      <c r="F3023" s="4" t="n">
        <v>25000</v>
      </c>
      <c r="G3023" s="4" t="n">
        <v>323</v>
      </c>
      <c r="H3023" s="4" t="n">
        <v>98</v>
      </c>
      <c r="I3023" s="5" t="n">
        <v>255.1</v>
      </c>
      <c r="J3023" s="4" t="n">
        <v>92.40000000000001</v>
      </c>
      <c r="K3023" s="3" t="inlineStr">
        <is>
          <t>대지 토지 매매</t>
        </is>
      </c>
      <c r="L3023" s="6">
        <f>HYPERLINK("https://fin.land.naver.com/articles/2647503458", "매물Link")</f>
        <v/>
      </c>
      <c r="M3023" s="6">
        <f>HYPERLINK("https://map.naver.com/p/search/세종특별자치시 부강면 문곡리 1060-3", "지도Link")</f>
        <v/>
      </c>
      <c r="N3023" s="6">
        <f>HYPERLINK("http://www.eum.go.kr/web/ar/lu/luLandDet.jsp?pnu=3611033025110600003&amp;isNoScr=script&amp;mode=search", "토지이음")</f>
        <v/>
      </c>
      <c r="O3023" s="3" t="inlineStr">
        <is>
          <t>주식회사넥서스</t>
        </is>
      </c>
      <c r="P3023" s="3" t="n">
        <v>1</v>
      </c>
      <c r="Q3023" s="3" t="n">
        <v>323</v>
      </c>
      <c r="R3023" s="3" t="inlineStr">
        <is>
          <t>지정되지않음</t>
        </is>
      </c>
      <c r="S3023" s="3" t="inlineStr">
        <is>
          <t>주거기타</t>
        </is>
      </c>
      <c r="T3023" s="3" t="inlineStr">
        <is>
          <t>평지</t>
        </is>
      </c>
      <c r="U3023" s="3" t="inlineStr">
        <is>
          <t>사다리형</t>
        </is>
      </c>
      <c r="V3023" s="3" t="inlineStr">
        <is>
          <t>세로한면(가)</t>
        </is>
      </c>
    </row>
    <row r="3024">
      <c r="A3024" s="3" t="inlineStr">
        <is>
          <t>세종특별자치시 부강면 문곡리 1064</t>
        </is>
      </c>
      <c r="B3024" s="3" t="inlineStr">
        <is>
          <t>계획관리지역</t>
        </is>
      </c>
      <c r="C3024" s="3" t="inlineStr">
        <is>
          <t>답</t>
        </is>
      </c>
      <c r="D3024" s="3" t="inlineStr">
        <is>
          <t>답</t>
        </is>
      </c>
      <c r="E3024" s="3" t="inlineStr">
        <is>
          <t>매매</t>
        </is>
      </c>
      <c r="F3024" s="4" t="n">
        <v>410000</v>
      </c>
      <c r="G3024" s="4" t="n">
        <v>5026</v>
      </c>
      <c r="H3024" s="4" t="n">
        <v>1520</v>
      </c>
      <c r="I3024" s="5" t="n">
        <v>269.7</v>
      </c>
      <c r="J3024" s="4" t="n">
        <v>71.2</v>
      </c>
      <c r="K3024" s="3" t="inlineStr">
        <is>
          <t>남청주IC 3분거리, 2차선 접한 토지, 대형차량 진출입 용이</t>
        </is>
      </c>
      <c r="L3024" s="6">
        <f>HYPERLINK("https://fin.land.naver.com/articles/2646835641", "매물Link")</f>
        <v/>
      </c>
      <c r="M3024" s="6">
        <f>HYPERLINK("https://map.naver.com/p/search/세종특별자치시 부강면 문곡리 1064", "지도Link")</f>
        <v/>
      </c>
      <c r="N3024" s="6">
        <f>HYPERLINK("http://www.eum.go.kr/web/ar/lu/luLandDet.jsp?pnu=3611033025110640000&amp;isNoScr=script&amp;mode=search", "토지이음")</f>
        <v/>
      </c>
      <c r="O3024" s="3" t="inlineStr">
        <is>
          <t>금화랜드</t>
        </is>
      </c>
      <c r="P3024" s="3" t="n">
        <v>2</v>
      </c>
      <c r="Q3024" s="3" t="n">
        <v>4344</v>
      </c>
      <c r="R3024" s="3" t="inlineStr">
        <is>
          <t>지정되지않음</t>
        </is>
      </c>
      <c r="S3024" s="3" t="inlineStr">
        <is>
          <t>답</t>
        </is>
      </c>
      <c r="T3024" s="3" t="inlineStr">
        <is>
          <t>평지</t>
        </is>
      </c>
      <c r="U3024" s="3" t="inlineStr">
        <is>
          <t>부정형</t>
        </is>
      </c>
      <c r="V3024" s="3" t="inlineStr">
        <is>
          <t>맹지</t>
        </is>
      </c>
    </row>
    <row r="3025">
      <c r="A3025" s="3" t="inlineStr">
        <is>
          <t>세종특별자치시 부강면 문곡리 1064-1</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70.40000000000001</v>
      </c>
      <c r="K3025" s="3" t="inlineStr">
        <is>
          <t>세종과 남청주IC 도로 인근에 위치하여 진출입이 용이한 곳</t>
        </is>
      </c>
      <c r="L3025" s="6">
        <f>HYPERLINK("https://fin.land.naver.com/articles/2645657257", "매물Link")</f>
        <v/>
      </c>
      <c r="M3025" s="6">
        <f>HYPERLINK("https://map.naver.com/p/search/세종특별자치시 부강면 문곡리 1064-1", "지도Link")</f>
        <v/>
      </c>
      <c r="N3025" s="6">
        <f>HYPERLINK("http://www.eum.go.kr/web/ar/lu/luLandDet.jsp?pnu=3611033025110640001&amp;isNoScr=script&amp;mode=search", "토지이음")</f>
        <v/>
      </c>
      <c r="O3025" s="3" t="inlineStr">
        <is>
          <t>(주)미르</t>
        </is>
      </c>
      <c r="P3025" s="3" t="n">
        <v>1</v>
      </c>
      <c r="Q3025" s="3" t="n">
        <v>200</v>
      </c>
      <c r="R3025" s="3" t="inlineStr">
        <is>
          <t>지정되지않음</t>
        </is>
      </c>
      <c r="S3025" s="3" t="inlineStr">
        <is>
          <t>답</t>
        </is>
      </c>
      <c r="T3025" s="3" t="inlineStr">
        <is>
          <t>평지</t>
        </is>
      </c>
      <c r="U3025" s="3" t="inlineStr">
        <is>
          <t>부정형</t>
        </is>
      </c>
      <c r="V3025" s="3" t="inlineStr">
        <is>
          <t>맹지</t>
        </is>
      </c>
    </row>
    <row r="3026">
      <c r="A3026" s="3" t="inlineStr">
        <is>
          <t>세종특별자치시 부강면 문곡리 1066</t>
        </is>
      </c>
      <c r="B3026" s="3" t="inlineStr">
        <is>
          <t>계획관리지역</t>
        </is>
      </c>
      <c r="C3026" s="3" t="inlineStr">
        <is>
          <t>답</t>
        </is>
      </c>
      <c r="D3026" s="3" t="inlineStr">
        <is>
          <t>답</t>
        </is>
      </c>
      <c r="E3026" s="3" t="inlineStr">
        <is>
          <t>매매</t>
        </is>
      </c>
      <c r="F3026" s="4" t="n">
        <v>159000</v>
      </c>
      <c r="G3026" s="4" t="n">
        <v>1752</v>
      </c>
      <c r="H3026" s="4" t="n">
        <v>530</v>
      </c>
      <c r="I3026" s="5" t="n">
        <v>300</v>
      </c>
      <c r="J3026" s="4" t="n">
        <v>95.2</v>
      </c>
      <c r="K3026" s="3" t="inlineStr">
        <is>
          <t>공장,창고로 추천,남청주IC 5분거리,대형차량 진출입 편리</t>
        </is>
      </c>
      <c r="L3026" s="6">
        <f>HYPERLINK("https://fin.land.naver.com/articles/2647505310", "매물Link")</f>
        <v/>
      </c>
      <c r="M3026" s="6">
        <f>HYPERLINK("https://map.naver.com/p/search/세종특별자치시 부강면 문곡리 1066", "지도Link")</f>
        <v/>
      </c>
      <c r="N3026" s="6">
        <f>HYPERLINK("http://www.eum.go.kr/web/ar/lu/luLandDet.jsp?pnu=3611033025110660000&amp;isNoScr=script&amp;mode=search", "토지이음")</f>
        <v/>
      </c>
      <c r="O3026" s="3" t="inlineStr">
        <is>
          <t>금화랜드</t>
        </is>
      </c>
      <c r="P3026" s="3" t="n">
        <v>1</v>
      </c>
      <c r="Q3026" s="3" t="n">
        <v>1616</v>
      </c>
      <c r="R3026" s="3" t="inlineStr">
        <is>
          <t>지정되지않음</t>
        </is>
      </c>
      <c r="S3026" s="3" t="inlineStr">
        <is>
          <t>답</t>
        </is>
      </c>
      <c r="T3026" s="3" t="inlineStr">
        <is>
          <t>평지</t>
        </is>
      </c>
      <c r="U3026" s="3" t="inlineStr">
        <is>
          <t>부정형</t>
        </is>
      </c>
      <c r="V3026" s="3" t="inlineStr">
        <is>
          <t>소로한면</t>
        </is>
      </c>
    </row>
    <row r="3027">
      <c r="A3027" s="3" t="inlineStr">
        <is>
          <t>세종특별자치시 부강면 문곡리 114</t>
        </is>
      </c>
      <c r="B3027" s="3" t="inlineStr">
        <is>
          <t>계획관리지역</t>
        </is>
      </c>
      <c r="C3027" s="3" t="inlineStr">
        <is>
          <t>답</t>
        </is>
      </c>
      <c r="D3027" s="3" t="inlineStr">
        <is>
          <t>답</t>
        </is>
      </c>
      <c r="E3027" s="3" t="inlineStr">
        <is>
          <t>매매</t>
        </is>
      </c>
      <c r="F3027" s="4" t="n">
        <v>500000</v>
      </c>
      <c r="G3027" s="4" t="n">
        <v>8992</v>
      </c>
      <c r="H3027" s="4" t="n">
        <v>2720</v>
      </c>
      <c r="I3027" s="5" t="n">
        <v>183.8</v>
      </c>
      <c r="J3027" s="4" t="n">
        <v>55.3</v>
      </c>
      <c r="K3027" s="3" t="inlineStr">
        <is>
          <t>2차선 도로와 연결로 대형차 진출입이 편리, 남청주IC인근에 위치</t>
        </is>
      </c>
      <c r="L3027" s="6">
        <f>HYPERLINK("https://fin.land.naver.com/articles/2645782513", "매물Link")</f>
        <v/>
      </c>
      <c r="M3027" s="6">
        <f>HYPERLINK("https://map.naver.com/p/search/세종특별자치시 부강면 문곡리 114", "지도Link")</f>
        <v/>
      </c>
      <c r="N3027" s="6">
        <f>HYPERLINK("http://www.eum.go.kr/web/ar/lu/luLandDet.jsp?pnu=3611033025101140000&amp;isNoScr=script&amp;mode=search", "토지이음")</f>
        <v/>
      </c>
      <c r="O3027" s="3" t="inlineStr">
        <is>
          <t>(주)미르</t>
        </is>
      </c>
      <c r="P3027" s="3" t="n">
        <v>1</v>
      </c>
      <c r="Q3027" s="3" t="n">
        <v>2435</v>
      </c>
      <c r="R3027" s="3" t="inlineStr">
        <is>
          <t>지정되지않음</t>
        </is>
      </c>
      <c r="S3027" s="3" t="inlineStr">
        <is>
          <t>답</t>
        </is>
      </c>
      <c r="T3027" s="3" t="inlineStr">
        <is>
          <t>평지</t>
        </is>
      </c>
      <c r="U3027" s="3" t="inlineStr">
        <is>
          <t>부정형</t>
        </is>
      </c>
      <c r="V3027" s="3" t="inlineStr">
        <is>
          <t>세로한면(불)</t>
        </is>
      </c>
    </row>
    <row r="3028">
      <c r="A3028" s="3" t="inlineStr">
        <is>
          <t>세종특별자치시 부강면 문곡리 240-1</t>
        </is>
      </c>
      <c r="B3028" s="3" t="inlineStr">
        <is>
          <t>보전관리지역</t>
        </is>
      </c>
      <c r="C3028" s="3" t="inlineStr">
        <is>
          <t>임야</t>
        </is>
      </c>
      <c r="D3028" s="3" t="inlineStr">
        <is>
          <t>임야</t>
        </is>
      </c>
      <c r="E3028" s="3" t="inlineStr">
        <is>
          <t>매매</t>
        </is>
      </c>
      <c r="F3028" s="4" t="n">
        <v>130000</v>
      </c>
      <c r="G3028" s="4" t="n">
        <v>1470</v>
      </c>
      <c r="H3028" s="4" t="n">
        <v>445</v>
      </c>
      <c r="I3028" s="5" t="n">
        <v>292.1</v>
      </c>
      <c r="J3028" s="4" t="n">
        <v>46.1</v>
      </c>
      <c r="K3028" s="3" t="inlineStr">
        <is>
          <t>1층단독한옥주택 준공완료,일괄매매,친환경 힐링하실분,뻥뷰</t>
        </is>
      </c>
      <c r="L3028" s="6">
        <f>HYPERLINK("https://fin.land.naver.com/articles/2644664157", "매물Link")</f>
        <v/>
      </c>
      <c r="M3028" s="6">
        <f>HYPERLINK("https://map.naver.com/p/search/세종특별자치시 부강면 문곡리 240-1", "지도Link")</f>
        <v/>
      </c>
      <c r="N3028" s="6">
        <f>HYPERLINK("http://www.eum.go.kr/web/ar/lu/luLandDet.jsp?pnu=3611033025102400001&amp;isNoScr=script&amp;mode=search", "토지이음")</f>
        <v/>
      </c>
      <c r="O3028" s="3" t="inlineStr">
        <is>
          <t>힐스테이트행복</t>
        </is>
      </c>
      <c r="P3028" s="3" t="n">
        <v>1</v>
      </c>
      <c r="Q3028" s="3" t="n">
        <v>1470</v>
      </c>
      <c r="R3028" s="3" t="inlineStr">
        <is>
          <t>지정되지않음</t>
        </is>
      </c>
      <c r="S3028" s="3" t="inlineStr">
        <is>
          <t>단독</t>
        </is>
      </c>
      <c r="T3028" s="3" t="inlineStr">
        <is>
          <t>완경사</t>
        </is>
      </c>
      <c r="U3028" s="3" t="inlineStr">
        <is>
          <t>부정형</t>
        </is>
      </c>
      <c r="V3028" s="3" t="inlineStr">
        <is>
          <t>세로한면(가)</t>
        </is>
      </c>
    </row>
    <row r="3029">
      <c r="A3029" s="3" t="inlineStr">
        <is>
          <t>세종특별자치시 부강면 문곡리 364</t>
        </is>
      </c>
      <c r="B3029" s="3" t="inlineStr">
        <is>
          <t>계획관리지역</t>
        </is>
      </c>
      <c r="C3029" s="3" t="inlineStr">
        <is>
          <t>답</t>
        </is>
      </c>
      <c r="D3029" s="3" t="inlineStr">
        <is>
          <t>답</t>
        </is>
      </c>
      <c r="E3029" s="3" t="inlineStr">
        <is>
          <t>매매</t>
        </is>
      </c>
      <c r="F3029" s="4" t="n">
        <v>30000</v>
      </c>
      <c r="G3029" s="4" t="n">
        <v>966</v>
      </c>
      <c r="H3029" s="4" t="n">
        <v>292</v>
      </c>
      <c r="I3029" s="5" t="n">
        <v>102.7</v>
      </c>
      <c r="J3029" s="4" t="n">
        <v>36.1</v>
      </c>
      <c r="K3029" s="3" t="inlineStr">
        <is>
          <t>계획관리지역 주목</t>
        </is>
      </c>
      <c r="L3029" s="6">
        <f>HYPERLINK("https://fin.land.naver.com/articles/2649735022", "매물Link")</f>
        <v/>
      </c>
      <c r="M3029" s="6">
        <f>HYPERLINK("https://map.naver.com/p/search/세종특별자치시 부강면 문곡리 364", "지도Link")</f>
        <v/>
      </c>
      <c r="N3029" s="6">
        <f>HYPERLINK("http://www.eum.go.kr/web/ar/lu/luLandDet.jsp?pnu=3611033025103640000&amp;isNoScr=script&amp;mode=search", "토지이음")</f>
        <v/>
      </c>
      <c r="O3029" s="3" t="inlineStr">
        <is>
          <t>세종몽땅</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세종특별자치시 부강면 문곡리 364</t>
        </is>
      </c>
      <c r="B3030" s="3" t="inlineStr">
        <is>
          <t>계획관리지역</t>
        </is>
      </c>
      <c r="C3030" s="3" t="inlineStr">
        <is>
          <t>답</t>
        </is>
      </c>
      <c r="D3030" s="3" t="inlineStr">
        <is>
          <t>답</t>
        </is>
      </c>
      <c r="E3030" s="3" t="inlineStr">
        <is>
          <t>매매</t>
        </is>
      </c>
      <c r="F3030" s="4" t="n">
        <v>32000</v>
      </c>
      <c r="G3030" s="4" t="n">
        <v>966</v>
      </c>
      <c r="H3030" s="4" t="n">
        <v>292</v>
      </c>
      <c r="I3030" s="5" t="n">
        <v>109.6</v>
      </c>
      <c r="J3030" s="4" t="n">
        <v>36.1</v>
      </c>
      <c r="K3030" s="3" t="inlineStr">
        <is>
          <t>부강면 문곡리 2차선 도로옆 토지, 세레니티cc 진입로, 건축가능</t>
        </is>
      </c>
      <c r="L3030" s="6">
        <f>HYPERLINK("https://fin.land.naver.com/articles/2647851904", "매물Link")</f>
        <v/>
      </c>
      <c r="M3030" s="6">
        <f>HYPERLINK("https://map.naver.com/p/search/세종특별자치시 부강면 문곡리 364", "지도Link")</f>
        <v/>
      </c>
      <c r="N3030" s="6">
        <f>HYPERLINK("http://www.eum.go.kr/web/ar/lu/luLandDet.jsp?pnu=3611033025103640000&amp;isNoScr=script&amp;mode=search", "토지이음")</f>
        <v/>
      </c>
      <c r="O3030" s="3" t="inlineStr">
        <is>
          <t>스카이</t>
        </is>
      </c>
      <c r="P3030" s="3" t="n">
        <v>1</v>
      </c>
      <c r="Q3030" s="3" t="n">
        <v>966</v>
      </c>
      <c r="R3030" s="3" t="inlineStr">
        <is>
          <t>지정되지않음</t>
        </is>
      </c>
      <c r="S3030" s="3" t="inlineStr">
        <is>
          <t>전</t>
        </is>
      </c>
      <c r="T3030" s="3" t="inlineStr">
        <is>
          <t>완경사</t>
        </is>
      </c>
      <c r="U3030" s="3" t="inlineStr">
        <is>
          <t>부정형</t>
        </is>
      </c>
      <c r="V3030" s="3" t="inlineStr">
        <is>
          <t>소로한면</t>
        </is>
      </c>
    </row>
    <row r="3031">
      <c r="A3031" s="3" t="inlineStr">
        <is>
          <t>세종특별자치시 부강면 문곡리 384</t>
        </is>
      </c>
      <c r="B3031" s="3" t="inlineStr">
        <is>
          <t>계획관리지역</t>
        </is>
      </c>
      <c r="C3031" s="3" t="inlineStr">
        <is>
          <t>답</t>
        </is>
      </c>
      <c r="D3031" s="3" t="inlineStr">
        <is>
          <t>대</t>
        </is>
      </c>
      <c r="E3031" s="3" t="inlineStr">
        <is>
          <t>매매</t>
        </is>
      </c>
      <c r="F3031" s="4" t="n">
        <v>130000</v>
      </c>
      <c r="G3031" s="4" t="n">
        <v>1656</v>
      </c>
      <c r="H3031" s="4" t="n">
        <v>501</v>
      </c>
      <c r="I3031" s="5" t="n">
        <v>259.5</v>
      </c>
      <c r="J3031" s="4" t="n">
        <v>55.6</v>
      </c>
      <c r="K3031" s="3" t="inlineStr">
        <is>
          <t>남청주IC 2분거리,대로변 접한 토지로 광고효과,대형차량 진출입 편리</t>
        </is>
      </c>
      <c r="L3031" s="6">
        <f>HYPERLINK("https://fin.land.naver.com/articles/2648918435", "매물Link")</f>
        <v/>
      </c>
      <c r="M3031" s="6">
        <f>HYPERLINK("https://map.naver.com/p/search/세종특별자치시 부강면 문곡리 384", "지도Link")</f>
        <v/>
      </c>
      <c r="N3031" s="6">
        <f>HYPERLINK("http://www.eum.go.kr/web/ar/lu/luLandDet.jsp?pnu=3611033025103840000&amp;isNoScr=script&amp;mode=search", "토지이음")</f>
        <v/>
      </c>
      <c r="O3031" s="3" t="inlineStr">
        <is>
          <t>금화랜드</t>
        </is>
      </c>
      <c r="P3031" s="3" t="n">
        <v>1</v>
      </c>
      <c r="Q3031" s="3" t="n">
        <v>1406</v>
      </c>
      <c r="R3031" s="3" t="inlineStr">
        <is>
          <t>지정되지않음</t>
        </is>
      </c>
      <c r="S3031" s="3" t="inlineStr">
        <is>
          <t>답</t>
        </is>
      </c>
      <c r="T3031" s="3" t="inlineStr">
        <is>
          <t>완경사</t>
        </is>
      </c>
      <c r="U3031" s="3" t="inlineStr">
        <is>
          <t>가로장방</t>
        </is>
      </c>
      <c r="V3031" s="3" t="inlineStr">
        <is>
          <t>세로한면(가)</t>
        </is>
      </c>
    </row>
    <row r="3032">
      <c r="A3032" s="3" t="inlineStr">
        <is>
          <t>세종특별자치시 부강면 문곡리 437</t>
        </is>
      </c>
      <c r="B3032" s="3" t="inlineStr">
        <is>
          <t>계획관리지역</t>
        </is>
      </c>
      <c r="C3032" s="3" t="inlineStr">
        <is>
          <t>공장용지</t>
        </is>
      </c>
      <c r="D3032" s="3" t="inlineStr">
        <is>
          <t>공장용지</t>
        </is>
      </c>
      <c r="E3032" s="3" t="inlineStr">
        <is>
          <t>매매</t>
        </is>
      </c>
      <c r="F3032" s="4" t="n">
        <v>95000</v>
      </c>
      <c r="G3032" s="4" t="n">
        <v>1652</v>
      </c>
      <c r="H3032" s="4" t="n">
        <v>500</v>
      </c>
      <c r="I3032" s="5" t="n">
        <v>190</v>
      </c>
      <c r="J3032" s="4" t="n">
        <v>82</v>
      </c>
      <c r="K3032" s="3" t="inlineStr">
        <is>
          <t>공장등록 가능한 공장 용지, 남청주 IC 5분 거리, 대형차 진출입 용이</t>
        </is>
      </c>
      <c r="L3032" s="6">
        <f>HYPERLINK("https://fin.land.naver.com/articles/2647644287", "매물Link")</f>
        <v/>
      </c>
      <c r="M3032" s="6">
        <f>HYPERLINK("https://map.naver.com/p/search/세종특별자치시 부강면 문곡리 437", "지도Link")</f>
        <v/>
      </c>
      <c r="N3032" s="6">
        <f>HYPERLINK("http://www.eum.go.kr/web/ar/lu/luLandDet.jsp?pnu=3611033025104370000&amp;isNoScr=script&amp;mode=search", "토지이음")</f>
        <v/>
      </c>
      <c r="O3032" s="3" t="inlineStr">
        <is>
          <t>에이스</t>
        </is>
      </c>
      <c r="P3032" s="3" t="n">
        <v>1</v>
      </c>
      <c r="Q3032" s="3" t="n">
        <v>3358</v>
      </c>
      <c r="R3032" s="3" t="inlineStr">
        <is>
          <t>지정되지않음</t>
        </is>
      </c>
      <c r="S3032" s="3" t="inlineStr">
        <is>
          <t>공업용</t>
        </is>
      </c>
      <c r="T3032" s="3" t="inlineStr">
        <is>
          <t>평지</t>
        </is>
      </c>
      <c r="U3032" s="3" t="inlineStr">
        <is>
          <t>부정형</t>
        </is>
      </c>
      <c r="V3032" s="3" t="inlineStr">
        <is>
          <t>세로한면(가)</t>
        </is>
      </c>
    </row>
    <row r="3033">
      <c r="A3033" s="3" t="inlineStr">
        <is>
          <t>세종특별자치시 부강면 문곡리 446</t>
        </is>
      </c>
      <c r="B3033" s="3" t="inlineStr">
        <is>
          <t>계획관리지역</t>
        </is>
      </c>
      <c r="C3033" s="3" t="inlineStr">
        <is>
          <t>전</t>
        </is>
      </c>
      <c r="D3033" s="3" t="inlineStr">
        <is>
          <t>전</t>
        </is>
      </c>
      <c r="E3033" s="3" t="inlineStr">
        <is>
          <t>매매</t>
        </is>
      </c>
      <c r="F3033" s="4" t="n">
        <v>28700</v>
      </c>
      <c r="G3033" s="4" t="n">
        <v>1355</v>
      </c>
      <c r="H3033" s="4" t="n">
        <v>410</v>
      </c>
      <c r="I3033" s="5" t="n">
        <v>70</v>
      </c>
      <c r="J3033" s="4" t="n">
        <v>27.7</v>
      </c>
      <c r="K3033" s="3" t="inlineStr">
        <is>
          <t>계획관리 평당 70만원 도로접 건축가능 체류형쉼터</t>
        </is>
      </c>
      <c r="L3033" s="6">
        <f>HYPERLINK("https://fin.land.naver.com/articles/2645544934", "매물Link")</f>
        <v/>
      </c>
      <c r="M3033" s="6">
        <f>HYPERLINK("https://map.naver.com/p/search/세종특별자치시 부강면 문곡리 446", "지도Link")</f>
        <v/>
      </c>
      <c r="N3033" s="6">
        <f>HYPERLINK("http://www.eum.go.kr/web/ar/lu/luLandDet.jsp?pnu=3611033025104460000&amp;isNoScr=script&amp;mode=search", "토지이음")</f>
        <v/>
      </c>
      <c r="O3033" s="3" t="inlineStr">
        <is>
          <t>미스터홈즈강남지사</t>
        </is>
      </c>
      <c r="P3033" s="3" t="n">
        <v>1</v>
      </c>
      <c r="Q3033" s="3" t="n">
        <v>226</v>
      </c>
      <c r="R3033" s="3" t="inlineStr">
        <is>
          <t>지정되지않음</t>
        </is>
      </c>
      <c r="S3033" s="3" t="inlineStr">
        <is>
          <t>전</t>
        </is>
      </c>
      <c r="T3033" s="3" t="inlineStr">
        <is>
          <t>완경사</t>
        </is>
      </c>
      <c r="U3033" s="3" t="inlineStr">
        <is>
          <t>사다리형</t>
        </is>
      </c>
      <c r="V3033" s="3" t="inlineStr">
        <is>
          <t>세로한면(가)</t>
        </is>
      </c>
    </row>
    <row r="3034">
      <c r="A3034" s="3" t="inlineStr">
        <is>
          <t>세종특별자치시 부강면 문곡리 717-2</t>
        </is>
      </c>
      <c r="B3034" s="3" t="inlineStr">
        <is>
          <t>계획관리지역</t>
        </is>
      </c>
      <c r="C3034" s="3" t="inlineStr">
        <is>
          <t>답</t>
        </is>
      </c>
      <c r="D3034" s="3" t="inlineStr">
        <is>
          <t>답</t>
        </is>
      </c>
      <c r="E3034" s="3" t="inlineStr">
        <is>
          <t>매매</t>
        </is>
      </c>
      <c r="F3034" s="4" t="n">
        <v>16500</v>
      </c>
      <c r="G3034" s="4" t="n">
        <v>261</v>
      </c>
      <c r="H3034" s="4" t="n">
        <v>79</v>
      </c>
      <c r="I3034" s="5" t="n">
        <v>208.9</v>
      </c>
      <c r="J3034" s="4" t="n">
        <v>96.2</v>
      </c>
      <c r="K3034" s="3" t="inlineStr">
        <is>
          <t>2차선 도로변 소액 투자 및 주말 농장 물건</t>
        </is>
      </c>
      <c r="L3034" s="6">
        <f>HYPERLINK("https://fin.land.naver.com/articles/2645529440", "매물Link")</f>
        <v/>
      </c>
      <c r="M3034" s="6">
        <f>HYPERLINK("https://map.naver.com/p/search/세종특별자치시 부강면 문곡리 717-2", "지도Link")</f>
        <v/>
      </c>
      <c r="N3034" s="6">
        <f>HYPERLINK("http://www.eum.go.kr/web/ar/lu/luLandDet.jsp?pnu=3611033025107170002&amp;isNoScr=script&amp;mode=search", "토지이음")</f>
        <v/>
      </c>
      <c r="O3034" s="3" t="inlineStr">
        <is>
          <t>프라임</t>
        </is>
      </c>
      <c r="P3034" s="3" t="n">
        <v>1</v>
      </c>
      <c r="Q3034" s="3" t="n">
        <v>261</v>
      </c>
      <c r="R3034" s="3" t="inlineStr">
        <is>
          <t>지정되지않음</t>
        </is>
      </c>
      <c r="S3034" s="3" t="inlineStr">
        <is>
          <t>답</t>
        </is>
      </c>
      <c r="T3034" s="3" t="inlineStr">
        <is>
          <t>평지</t>
        </is>
      </c>
      <c r="U3034" s="3" t="inlineStr">
        <is>
          <t>부정형</t>
        </is>
      </c>
      <c r="V3034" s="3" t="inlineStr">
        <is>
          <t>소로한면</t>
        </is>
      </c>
    </row>
    <row r="3035">
      <c r="A3035" s="3" t="inlineStr">
        <is>
          <t>세종특별자치시 부강면 문곡리 726</t>
        </is>
      </c>
      <c r="B3035" s="3" t="inlineStr">
        <is>
          <t>계획관리지역</t>
        </is>
      </c>
      <c r="C3035" s="3" t="inlineStr">
        <is>
          <t>답</t>
        </is>
      </c>
      <c r="D3035" s="3" t="inlineStr">
        <is>
          <t>답</t>
        </is>
      </c>
      <c r="E3035" s="3" t="inlineStr">
        <is>
          <t>매매</t>
        </is>
      </c>
      <c r="F3035" s="4" t="n">
        <v>100000</v>
      </c>
      <c r="G3035" s="4" t="n">
        <v>1639</v>
      </c>
      <c r="H3035" s="4" t="n">
        <v>496</v>
      </c>
      <c r="I3035" s="5" t="n">
        <v>201.6</v>
      </c>
      <c r="J3035" s="4" t="n">
        <v>96.2</v>
      </c>
      <c r="K3035" s="3" t="inlineStr">
        <is>
          <t>대로옆  진출입 편리한 계획관리지역 답</t>
        </is>
      </c>
      <c r="L3035" s="6">
        <f>HYPERLINK("https://fin.land.naver.com/articles/2649293430", "매물Link")</f>
        <v/>
      </c>
      <c r="M3035" s="6">
        <f>HYPERLINK("https://map.naver.com/p/search/세종특별자치시 부강면 문곡리 726", "지도Link")</f>
        <v/>
      </c>
      <c r="N3035" s="6">
        <f>HYPERLINK("http://www.eum.go.kr/web/ar/lu/luLandDet.jsp?pnu=3611033025107260000&amp;isNoScr=script&amp;mode=search", "토지이음")</f>
        <v/>
      </c>
      <c r="O3035" s="3" t="inlineStr">
        <is>
          <t>해밀마을공간</t>
        </is>
      </c>
      <c r="P3035" s="3" t="n">
        <v>1</v>
      </c>
      <c r="Q3035" s="3" t="n">
        <v>1639</v>
      </c>
      <c r="R3035" s="3" t="inlineStr">
        <is>
          <t>지정되지않음</t>
        </is>
      </c>
      <c r="S3035" s="3" t="inlineStr">
        <is>
          <t>답</t>
        </is>
      </c>
      <c r="T3035" s="3" t="inlineStr">
        <is>
          <t>평지</t>
        </is>
      </c>
      <c r="U3035" s="3" t="inlineStr">
        <is>
          <t>부정형</t>
        </is>
      </c>
      <c r="V3035" s="3" t="inlineStr">
        <is>
          <t>소로한면</t>
        </is>
      </c>
    </row>
    <row r="3036">
      <c r="A3036" s="3" t="inlineStr">
        <is>
          <t>세종특별자치시 부강면 문곡리 750-3</t>
        </is>
      </c>
      <c r="B3036" s="3" t="inlineStr">
        <is>
          <t>계획관리지역</t>
        </is>
      </c>
      <c r="C3036" s="3" t="inlineStr">
        <is>
          <t>주유소용지</t>
        </is>
      </c>
      <c r="D3036" s="3" t="inlineStr">
        <is>
          <t>주유소용지</t>
        </is>
      </c>
      <c r="E3036" s="3" t="inlineStr">
        <is>
          <t>매매</t>
        </is>
      </c>
      <c r="F3036" s="4" t="n">
        <v>380000</v>
      </c>
      <c r="G3036" s="4" t="n">
        <v>2092</v>
      </c>
      <c r="H3036" s="4" t="n">
        <v>633</v>
      </c>
      <c r="I3036" s="5" t="n">
        <v>600.3</v>
      </c>
      <c r="J3036" s="4" t="n">
        <v>134.6</v>
      </c>
      <c r="K3036" s="3" t="inlineStr">
        <is>
          <t>토지 편의점 세차장 일괄 매매</t>
        </is>
      </c>
      <c r="L3036" s="6">
        <f>HYPERLINK("https://fin.land.naver.com/articles/2649131266", "매물Link")</f>
        <v/>
      </c>
      <c r="M3036" s="6">
        <f>HYPERLINK("https://map.naver.com/p/search/세종특별자치시 부강면 문곡리 750-3", "지도Link")</f>
        <v/>
      </c>
      <c r="N3036" s="6">
        <f>HYPERLINK("http://www.eum.go.kr/web/ar/lu/luLandDet.jsp?pnu=3611033025107500003&amp;isNoScr=script&amp;mode=search", "토지이음")</f>
        <v/>
      </c>
      <c r="O3036" s="3" t="inlineStr">
        <is>
          <t>프라임</t>
        </is>
      </c>
      <c r="P3036" s="3" t="n">
        <v>1</v>
      </c>
      <c r="Q3036" s="3" t="n">
        <v>1588</v>
      </c>
      <c r="R3036" s="3" t="inlineStr">
        <is>
          <t>지정되지않음</t>
        </is>
      </c>
      <c r="S3036" s="3" t="inlineStr">
        <is>
          <t>상업용</t>
        </is>
      </c>
      <c r="T3036" s="3" t="inlineStr">
        <is>
          <t>평지</t>
        </is>
      </c>
      <c r="U3036" s="3" t="inlineStr">
        <is>
          <t>부정형</t>
        </is>
      </c>
      <c r="V3036" s="3" t="inlineStr">
        <is>
          <t>중로한면</t>
        </is>
      </c>
    </row>
    <row r="3037">
      <c r="A3037" s="3" t="inlineStr">
        <is>
          <t>세종특별자치시 부강면 문곡리 759</t>
        </is>
      </c>
      <c r="B3037" s="3" t="inlineStr">
        <is>
          <t>계획관리지역</t>
        </is>
      </c>
      <c r="C3037" s="3" t="inlineStr">
        <is>
          <t>전</t>
        </is>
      </c>
      <c r="D3037" s="3" t="inlineStr">
        <is>
          <t>전</t>
        </is>
      </c>
      <c r="E3037" s="3" t="inlineStr">
        <is>
          <t>매매</t>
        </is>
      </c>
      <c r="F3037" s="4" t="n">
        <v>186800</v>
      </c>
      <c r="G3037" s="4" t="n">
        <v>3088</v>
      </c>
      <c r="H3037" s="4" t="n">
        <v>934</v>
      </c>
      <c r="I3037" s="5" t="n">
        <v>200</v>
      </c>
      <c r="J3037" s="4" t="n">
        <v>28.6</v>
      </c>
      <c r="K3037" s="3" t="inlineStr">
        <is>
          <t>nan</t>
        </is>
      </c>
      <c r="L3037" s="6">
        <f>HYPERLINK("https://fin.land.naver.com/articles/2647677197", "매물Link")</f>
        <v/>
      </c>
      <c r="M3037" s="6">
        <f>HYPERLINK("https://map.naver.com/p/search/세종특별자치시 부강면 문곡리 759", "지도Link")</f>
        <v/>
      </c>
      <c r="N3037" s="6">
        <f>HYPERLINK("http://www.eum.go.kr/web/ar/lu/luLandDet.jsp?pnu=3611033025107590000&amp;isNoScr=script&amp;mode=search", "토지이음")</f>
        <v/>
      </c>
      <c r="O3037" s="3" t="inlineStr">
        <is>
          <t>황제</t>
        </is>
      </c>
      <c r="P3037" s="3" t="n">
        <v>1</v>
      </c>
      <c r="Q3037" s="3" t="n">
        <v>1788</v>
      </c>
      <c r="R3037" s="3" t="inlineStr">
        <is>
          <t>지정되지않음</t>
        </is>
      </c>
      <c r="S3037" s="3" t="inlineStr">
        <is>
          <t>전</t>
        </is>
      </c>
      <c r="T3037" s="3" t="inlineStr">
        <is>
          <t>완경사</t>
        </is>
      </c>
      <c r="U3037" s="3" t="inlineStr">
        <is>
          <t>부정형</t>
        </is>
      </c>
      <c r="V3037" s="3" t="inlineStr">
        <is>
          <t>세로한면(불)</t>
        </is>
      </c>
    </row>
    <row r="3038">
      <c r="A3038" s="3" t="inlineStr">
        <is>
          <t>세종특별자치시 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HYPERLINK("https://map.naver.com/p/search/세종특별자치시 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세종특별자치시 부강면 문곡리 802</t>
        </is>
      </c>
      <c r="B3039" s="3" t="inlineStr">
        <is>
          <t>생산관리지역</t>
        </is>
      </c>
      <c r="C3039" s="3" t="inlineStr">
        <is>
          <t>대</t>
        </is>
      </c>
      <c r="D3039" s="3" t="inlineStr">
        <is>
          <t>대</t>
        </is>
      </c>
      <c r="E3039" s="3" t="inlineStr">
        <is>
          <t>매매</t>
        </is>
      </c>
      <c r="F3039" s="4" t="n">
        <v>40000</v>
      </c>
      <c r="G3039" s="4" t="n">
        <v>2079</v>
      </c>
      <c r="H3039" s="4" t="n">
        <v>629</v>
      </c>
      <c r="I3039" s="5" t="n">
        <v>63.6</v>
      </c>
      <c r="J3039" s="4" t="n">
        <v>44.2</v>
      </c>
      <c r="K3039" s="3" t="inlineStr">
        <is>
          <t>nan</t>
        </is>
      </c>
      <c r="L3039" s="6">
        <f>HYPERLINK("https://fin.land.naver.com/articles/2646747087", "매물Link")</f>
        <v/>
      </c>
      <c r="M3039" s="6">
        <f>HYPERLINK("https://map.naver.com/p/search/세종특별자치시 부강면 문곡리 802", "지도Link")</f>
        <v/>
      </c>
      <c r="N3039" s="6">
        <f>HYPERLINK("http://www.eum.go.kr/web/ar/lu/luLandDet.jsp?pnu=3611033025108020000&amp;isNoScr=script&amp;mode=search", "토지이음")</f>
        <v/>
      </c>
      <c r="O3039" s="3" t="inlineStr">
        <is>
          <t>대웅</t>
        </is>
      </c>
      <c r="P3039" s="3" t="n">
        <v>1</v>
      </c>
      <c r="Q3039" s="3" t="n">
        <v>1061</v>
      </c>
      <c r="R3039" s="3" t="inlineStr">
        <is>
          <t>지정되지않음</t>
        </is>
      </c>
      <c r="S3039" s="3" t="inlineStr">
        <is>
          <t>주거나지</t>
        </is>
      </c>
      <c r="T3039" s="3" t="inlineStr">
        <is>
          <t>완경사</t>
        </is>
      </c>
      <c r="U3039" s="3" t="inlineStr">
        <is>
          <t>부정형</t>
        </is>
      </c>
      <c r="V3039" s="3" t="inlineStr">
        <is>
          <t>세로한면(불)</t>
        </is>
      </c>
    </row>
    <row r="3040">
      <c r="A3040" s="3" t="inlineStr">
        <is>
          <t>세종특별자치시 부강면 문곡리 81</t>
        </is>
      </c>
      <c r="B3040" s="3" t="inlineStr">
        <is>
          <t>계획관리지역</t>
        </is>
      </c>
      <c r="C3040" s="3" t="inlineStr">
        <is>
          <t>답</t>
        </is>
      </c>
      <c r="D3040" s="3" t="inlineStr">
        <is>
          <t>전</t>
        </is>
      </c>
      <c r="E3040" s="3" t="inlineStr">
        <is>
          <t>매매</t>
        </is>
      </c>
      <c r="F3040" s="4" t="n">
        <v>41000</v>
      </c>
      <c r="G3040" s="4" t="n">
        <v>1038</v>
      </c>
      <c r="H3040" s="4" t="n">
        <v>314</v>
      </c>
      <c r="I3040" s="5" t="n">
        <v>130.6</v>
      </c>
      <c r="J3040" s="4" t="n">
        <v>29.9</v>
      </c>
      <c r="K3040" s="3" t="inlineStr">
        <is>
          <t>2차선 도로옆으로 남청주 IC 3km</t>
        </is>
      </c>
      <c r="L3040" s="6">
        <f>HYPERLINK("https://fin.land.naver.com/articles/2646025170", "매물Link")</f>
        <v/>
      </c>
      <c r="M3040" s="6">
        <f>HYPERLINK("https://map.naver.com/p/search/세종특별자치시 부강면 문곡리 81", "지도Link")</f>
        <v/>
      </c>
      <c r="N3040" s="6">
        <f>HYPERLINK("http://www.eum.go.kr/web/ar/lu/luLandDet.jsp?pnu=3611033025100810000&amp;isNoScr=script&amp;mode=search", "토지이음")</f>
        <v/>
      </c>
      <c r="O3040" s="3" t="inlineStr">
        <is>
          <t>대웅</t>
        </is>
      </c>
      <c r="P3040" s="3" t="n">
        <v>1</v>
      </c>
      <c r="Q3040" s="3" t="n">
        <v>635</v>
      </c>
      <c r="R3040" s="3" t="inlineStr">
        <is>
          <t>지정되지않음</t>
        </is>
      </c>
      <c r="S3040" s="3" t="inlineStr">
        <is>
          <t>답</t>
        </is>
      </c>
      <c r="T3040" s="3" t="inlineStr">
        <is>
          <t>완경사</t>
        </is>
      </c>
      <c r="U3040" s="3" t="inlineStr">
        <is>
          <t>부정형</t>
        </is>
      </c>
      <c r="V3040" s="3" t="inlineStr">
        <is>
          <t>소로한면</t>
        </is>
      </c>
    </row>
    <row r="3041">
      <c r="A3041" s="3" t="inlineStr">
        <is>
          <t>세종특별자치시 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HYPERLINK("https://map.naver.com/p/search/세종특별자치시 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세종특별자치시 부강면 문곡리 836-2</t>
        </is>
      </c>
      <c r="B3042" s="3" t="inlineStr">
        <is>
          <t>계획관리지역</t>
        </is>
      </c>
      <c r="C3042" s="3" t="inlineStr">
        <is>
          <t>답</t>
        </is>
      </c>
      <c r="D3042" s="3" t="inlineStr">
        <is>
          <t>대</t>
        </is>
      </c>
      <c r="E3042" s="3" t="inlineStr">
        <is>
          <t>매매</t>
        </is>
      </c>
      <c r="F3042" s="4" t="n">
        <v>50000</v>
      </c>
      <c r="G3042" s="4" t="n">
        <v>1815</v>
      </c>
      <c r="H3042" s="4" t="n">
        <v>549</v>
      </c>
      <c r="I3042" s="5" t="n">
        <v>91.09999999999999</v>
      </c>
      <c r="J3042" s="4" t="n">
        <v>25.9</v>
      </c>
      <c r="K3042" s="3" t="inlineStr">
        <is>
          <t>계획관리지역,  세종에서 10분이내거리</t>
        </is>
      </c>
      <c r="L3042" s="6">
        <f>HYPERLINK("https://fin.land.naver.com/articles/2649059214", "매물Link")</f>
        <v/>
      </c>
      <c r="M3042" s="6">
        <f>HYPERLINK("https://map.naver.com/p/search/세종특별자치시 부강면 문곡리 836-2", "지도Link")</f>
        <v/>
      </c>
      <c r="N3042" s="6">
        <f>HYPERLINK("http://www.eum.go.kr/web/ar/lu/luLandDet.jsp?pnu=3611033025108360002&amp;isNoScr=script&amp;mode=search", "토지이음")</f>
        <v/>
      </c>
      <c r="O3042" s="3" t="inlineStr">
        <is>
          <t>이담</t>
        </is>
      </c>
      <c r="P3042" s="3" t="n">
        <v>1</v>
      </c>
      <c r="Q3042" s="3" t="n">
        <v>1815</v>
      </c>
      <c r="R3042" s="3" t="inlineStr">
        <is>
          <t>지정되지않음</t>
        </is>
      </c>
      <c r="S3042" s="3" t="inlineStr">
        <is>
          <t>답</t>
        </is>
      </c>
      <c r="T3042" s="3" t="inlineStr">
        <is>
          <t>완경사</t>
        </is>
      </c>
      <c r="U3042" s="3" t="inlineStr">
        <is>
          <t>가로장방</t>
        </is>
      </c>
      <c r="V3042" s="3" t="inlineStr">
        <is>
          <t>세로한면(가)</t>
        </is>
      </c>
    </row>
    <row r="3043">
      <c r="A3043" s="3" t="inlineStr">
        <is>
          <t>세종특별자치시 부강면 문곡리 901</t>
        </is>
      </c>
      <c r="B3043" s="3" t="inlineStr">
        <is>
          <t>계획관리지역</t>
        </is>
      </c>
      <c r="C3043" s="3" t="inlineStr">
        <is>
          <t>답</t>
        </is>
      </c>
      <c r="D3043" s="3" t="inlineStr">
        <is>
          <t>답</t>
        </is>
      </c>
      <c r="E3043" s="3" t="inlineStr">
        <is>
          <t>매매</t>
        </is>
      </c>
      <c r="F3043" s="4" t="n">
        <v>123000</v>
      </c>
      <c r="G3043" s="4" t="n">
        <v>2710</v>
      </c>
      <c r="H3043" s="4" t="n">
        <v>820</v>
      </c>
      <c r="I3043" s="5" t="n">
        <v>150</v>
      </c>
      <c r="J3043" s="4" t="n">
        <v>22.5</v>
      </c>
      <c r="K3043" s="3" t="inlineStr">
        <is>
          <t>도로에 접한 계획관리 토지공장허가득함</t>
        </is>
      </c>
      <c r="L3043" s="6">
        <f>HYPERLINK("https://fin.land.naver.com/articles/2644444540", "매물Link")</f>
        <v/>
      </c>
      <c r="M3043" s="6">
        <f>HYPERLINK("https://map.naver.com/p/search/세종특별자치시 부강면 문곡리 901", "지도Link")</f>
        <v/>
      </c>
      <c r="N3043" s="6">
        <f>HYPERLINK("http://www.eum.go.kr/web/ar/lu/luLandDet.jsp?pnu=3611033025109010000&amp;isNoScr=script&amp;mode=search", "토지이음")</f>
        <v/>
      </c>
      <c r="O3043" s="3" t="inlineStr">
        <is>
          <t>세종대박</t>
        </is>
      </c>
      <c r="P3043" s="3" t="n">
        <v>1</v>
      </c>
      <c r="Q3043" s="3" t="n">
        <v>2147</v>
      </c>
      <c r="R3043" s="3" t="inlineStr">
        <is>
          <t>지정되지않음</t>
        </is>
      </c>
      <c r="S3043" s="3" t="inlineStr">
        <is>
          <t>답</t>
        </is>
      </c>
      <c r="T3043" s="3" t="inlineStr">
        <is>
          <t>완경사</t>
        </is>
      </c>
      <c r="U3043" s="3" t="inlineStr">
        <is>
          <t>부정형</t>
        </is>
      </c>
      <c r="V3043" s="3" t="inlineStr">
        <is>
          <t>세로한면(불)</t>
        </is>
      </c>
    </row>
    <row r="3044">
      <c r="A3044" s="3" t="inlineStr">
        <is>
          <t>세종특별자치시 부강면 문곡리 902-1</t>
        </is>
      </c>
      <c r="B3044" s="3" t="inlineStr">
        <is>
          <t>계획관리지역</t>
        </is>
      </c>
      <c r="C3044" s="3" t="inlineStr">
        <is>
          <t>답</t>
        </is>
      </c>
      <c r="D3044" s="3" t="inlineStr">
        <is>
          <t>답</t>
        </is>
      </c>
      <c r="E3044" s="3" t="inlineStr">
        <is>
          <t>매매</t>
        </is>
      </c>
      <c r="F3044" s="4" t="n">
        <v>98800</v>
      </c>
      <c r="G3044" s="4" t="n">
        <v>2334</v>
      </c>
      <c r="H3044" s="4" t="n">
        <v>706</v>
      </c>
      <c r="I3044" s="5" t="n">
        <v>139.9</v>
      </c>
      <c r="J3044" s="4" t="n">
        <v>24.7</v>
      </c>
      <c r="K3044" s="3" t="inlineStr">
        <is>
          <t>투자,공장,창고,주택용지 계획관리토지분할매매가능</t>
        </is>
      </c>
      <c r="L3044" s="6">
        <f>HYPERLINK("https://fin.land.naver.com/articles/2648813377", "매물Link")</f>
        <v/>
      </c>
      <c r="M3044" s="6">
        <f>HYPERLINK("https://map.naver.com/p/search/세종특별자치시 부강면 문곡리 902-1", "지도Link")</f>
        <v/>
      </c>
      <c r="N3044" s="6">
        <f>HYPERLINK("http://www.eum.go.kr/web/ar/lu/luLandDet.jsp?pnu=3611033025109020001&amp;isNoScr=script&amp;mode=search", "토지이음")</f>
        <v/>
      </c>
      <c r="O3044" s="3" t="inlineStr">
        <is>
          <t>세종대박</t>
        </is>
      </c>
      <c r="P3044" s="3" t="n">
        <v>4</v>
      </c>
      <c r="Q3044" s="3" t="n">
        <v>2334</v>
      </c>
      <c r="R3044" s="3" t="inlineStr">
        <is>
          <t>지정되지않음</t>
        </is>
      </c>
      <c r="S3044" s="3" t="inlineStr">
        <is>
          <t>답</t>
        </is>
      </c>
      <c r="T3044" s="3" t="inlineStr">
        <is>
          <t>완경사</t>
        </is>
      </c>
      <c r="U3044" s="3" t="inlineStr">
        <is>
          <t>부정형</t>
        </is>
      </c>
      <c r="V3044" s="3" t="inlineStr">
        <is>
          <t>세로한면(가)</t>
        </is>
      </c>
    </row>
    <row r="3045">
      <c r="A3045" s="3" t="inlineStr">
        <is>
          <t>세종특별자치시 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즉시 건축 가능한 공장 및 창고부지 계획관리지역 남청주 IC인근</t>
        </is>
      </c>
      <c r="L3045" s="6">
        <f>HYPERLINK("https://fin.land.naver.com/articles/2646279919", "매물Link")</f>
        <v/>
      </c>
      <c r="M3045" s="6">
        <f>HYPERLINK("https://map.naver.com/p/search/세종특별자치시 부강면 문곡리 903-3", "지도Link")</f>
        <v/>
      </c>
      <c r="N3045" s="6">
        <f>HYPERLINK("http://www.eum.go.kr/web/ar/lu/luLandDet.jsp?pnu=3611033025109030003&amp;isNoScr=script&amp;mode=search", "토지이음")</f>
        <v/>
      </c>
      <c r="O3045" s="3" t="inlineStr">
        <is>
          <t>대전토지로무소</t>
        </is>
      </c>
      <c r="P3045" s="3" t="n">
        <v>1</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세종특별자치시 부강면 문곡리 903-3</t>
        </is>
      </c>
      <c r="B3046" s="3" t="inlineStr">
        <is>
          <t>계획관리지역</t>
        </is>
      </c>
      <c r="C3046" s="3" t="inlineStr">
        <is>
          <t>답</t>
        </is>
      </c>
      <c r="D3046" s="3" t="inlineStr">
        <is>
          <t>답</t>
        </is>
      </c>
      <c r="E3046" s="3" t="inlineStr">
        <is>
          <t>매매</t>
        </is>
      </c>
      <c r="F3046" s="4" t="n">
        <v>136000</v>
      </c>
      <c r="G3046" s="4" t="n">
        <v>3505</v>
      </c>
      <c r="H3046" s="4" t="n">
        <v>1060</v>
      </c>
      <c r="I3046" s="5" t="n">
        <v>128.3</v>
      </c>
      <c r="J3046" s="4" t="n">
        <v>22.5</v>
      </c>
      <c r="K3046" s="3" t="inlineStr">
        <is>
          <t>남청주IC와 가까워 물류센터,공장 추천,계획관리지역의 토지</t>
        </is>
      </c>
      <c r="L3046" s="6">
        <f>HYPERLINK("https://fin.land.naver.com/articles/2649253784", "매물Link")</f>
        <v/>
      </c>
      <c r="M3046" s="6">
        <f>HYPERLINK("https://map.naver.com/p/search/세종특별자치시 부강면 문곡리 903-3", "지도Link")</f>
        <v/>
      </c>
      <c r="N3046" s="6">
        <f>HYPERLINK("http://www.eum.go.kr/web/ar/lu/luLandDet.jsp?pnu=3611033025109030003&amp;isNoScr=script&amp;mode=search", "토지이음")</f>
        <v/>
      </c>
      <c r="O3046" s="3" t="inlineStr">
        <is>
          <t>(주)미르</t>
        </is>
      </c>
      <c r="P3046" s="3" t="n">
        <v>2</v>
      </c>
      <c r="Q3046" s="3" t="n">
        <v>3505</v>
      </c>
      <c r="R3046" s="3" t="inlineStr">
        <is>
          <t>지정되지않음</t>
        </is>
      </c>
      <c r="S3046" s="3" t="inlineStr">
        <is>
          <t>답</t>
        </is>
      </c>
      <c r="T3046" s="3" t="inlineStr">
        <is>
          <t>완경사</t>
        </is>
      </c>
      <c r="U3046" s="3" t="inlineStr">
        <is>
          <t>부정형</t>
        </is>
      </c>
      <c r="V3046" s="3" t="inlineStr">
        <is>
          <t>세로한면(불)</t>
        </is>
      </c>
    </row>
    <row r="3047">
      <c r="A3047" s="3" t="inlineStr">
        <is>
          <t>세종특별자치시 부강면 문곡리 918-1</t>
        </is>
      </c>
      <c r="B3047" s="3" t="inlineStr">
        <is>
          <t>계획관리지역</t>
        </is>
      </c>
      <c r="C3047" s="3" t="inlineStr">
        <is>
          <t>답</t>
        </is>
      </c>
      <c r="D3047" s="3" t="inlineStr">
        <is>
          <t>답</t>
        </is>
      </c>
      <c r="E3047" s="3" t="inlineStr">
        <is>
          <t>매매</t>
        </is>
      </c>
      <c r="F3047" s="4" t="n">
        <v>250000</v>
      </c>
      <c r="G3047" s="4" t="n">
        <v>2991</v>
      </c>
      <c r="H3047" s="4" t="n">
        <v>905</v>
      </c>
      <c r="I3047" s="5" t="n">
        <v>276.2</v>
      </c>
      <c r="J3047" s="4" t="n">
        <v>96.2</v>
      </c>
      <c r="K3047" s="3" t="inlineStr">
        <is>
          <t>조율가능 2차선변 진입로넓음 토지모양 평탄화 컨디션최상</t>
        </is>
      </c>
      <c r="L3047" s="6">
        <f>HYPERLINK("https://fin.land.naver.com/articles/2647126182", "매물Link")</f>
        <v/>
      </c>
      <c r="M3047" s="6">
        <f>HYPERLINK("https://map.naver.com/p/search/세종특별자치시 부강면 문곡리 918-1", "지도Link")</f>
        <v/>
      </c>
      <c r="N3047" s="6">
        <f>HYPERLINK("http://www.eum.go.kr/web/ar/lu/luLandDet.jsp?pnu=3611033025109180001&amp;isNoScr=script&amp;mode=search", "토지이음")</f>
        <v/>
      </c>
      <c r="O3047" s="3" t="inlineStr">
        <is>
          <t>세종스타</t>
        </is>
      </c>
      <c r="P3047" s="3" t="n">
        <v>1</v>
      </c>
      <c r="Q3047" s="3" t="n">
        <v>2063</v>
      </c>
      <c r="R3047" s="3" t="inlineStr">
        <is>
          <t>지정되지않음</t>
        </is>
      </c>
      <c r="S3047" s="3" t="inlineStr">
        <is>
          <t>답</t>
        </is>
      </c>
      <c r="T3047" s="3" t="inlineStr">
        <is>
          <t>평지</t>
        </is>
      </c>
      <c r="U3047" s="3" t="inlineStr">
        <is>
          <t>부정형</t>
        </is>
      </c>
      <c r="V3047" s="3" t="inlineStr">
        <is>
          <t>소로한면</t>
        </is>
      </c>
    </row>
    <row r="3048">
      <c r="A3048" s="3" t="inlineStr">
        <is>
          <t>세종특별자치시 부강면 문곡리 산73-8</t>
        </is>
      </c>
      <c r="B3048" s="3" t="inlineStr">
        <is>
          <t>보전관리지역</t>
        </is>
      </c>
      <c r="C3048" s="3" t="inlineStr">
        <is>
          <t>임야</t>
        </is>
      </c>
      <c r="D3048" s="3" t="inlineStr">
        <is>
          <t>임야</t>
        </is>
      </c>
      <c r="E3048" s="3" t="inlineStr">
        <is>
          <t>매매</t>
        </is>
      </c>
      <c r="F3048" s="4" t="n">
        <v>67000</v>
      </c>
      <c r="G3048" s="4" t="n">
        <v>4426</v>
      </c>
      <c r="H3048" s="4" t="n">
        <v>1339</v>
      </c>
      <c r="I3048" s="5" t="n">
        <v>50</v>
      </c>
      <c r="J3048" s="4" t="n">
        <v>5.8</v>
      </c>
      <c r="K3048" s="3" t="inlineStr">
        <is>
          <t>도로확보조건이며, 정남향의 토지로 주택개발이나 투자 추천</t>
        </is>
      </c>
      <c r="L3048" s="6">
        <f>HYPERLINK("https://fin.land.naver.com/articles/2648262020", "매물Link")</f>
        <v/>
      </c>
      <c r="M3048" s="6">
        <f>HYPERLINK("https://map.naver.com/p/search/세종특별자치시 부강면 문곡리 산73-8", "지도Link")</f>
        <v/>
      </c>
      <c r="N3048" s="6">
        <f>HYPERLINK("http://www.eum.go.kr/web/ar/lu/luLandDet.jsp?pnu=3611033025200730008&amp;isNoScr=script&amp;mode=search", "토지이음")</f>
        <v/>
      </c>
      <c r="O3048" s="3" t="inlineStr">
        <is>
          <t>연동스카이</t>
        </is>
      </c>
      <c r="P3048" s="3" t="n">
        <v>1</v>
      </c>
      <c r="Q3048" s="3" t="n">
        <v>3426</v>
      </c>
      <c r="R3048" s="3" t="inlineStr">
        <is>
          <t>지정되지않음</t>
        </is>
      </c>
      <c r="S3048" s="3" t="inlineStr">
        <is>
          <t>자연림</t>
        </is>
      </c>
      <c r="T3048" s="3" t="inlineStr">
        <is>
          <t>완경사</t>
        </is>
      </c>
      <c r="U3048" s="3" t="inlineStr">
        <is>
          <t>정방형</t>
        </is>
      </c>
      <c r="V3048" s="3" t="inlineStr">
        <is>
          <t>맹지</t>
        </is>
      </c>
    </row>
    <row r="3049">
      <c r="A3049" s="3" t="inlineStr">
        <is>
          <t>세종특별자치시 부강면 문곡리 산79</t>
        </is>
      </c>
      <c r="B3049" s="3" t="inlineStr">
        <is>
          <t>보전관리지역</t>
        </is>
      </c>
      <c r="C3049" s="3" t="inlineStr">
        <is>
          <t>임야</t>
        </is>
      </c>
      <c r="D3049" s="3" t="inlineStr">
        <is>
          <t>임야</t>
        </is>
      </c>
      <c r="E3049" s="3" t="inlineStr">
        <is>
          <t>매매</t>
        </is>
      </c>
      <c r="F3049" s="4" t="n">
        <v>630000</v>
      </c>
      <c r="G3049" s="4" t="n">
        <v>25033</v>
      </c>
      <c r="H3049" s="4" t="n">
        <v>7572</v>
      </c>
      <c r="I3049" s="5" t="n">
        <v>83.2</v>
      </c>
      <c r="J3049" s="4" t="n">
        <v>7.7</v>
      </c>
      <c r="K3049" s="3" t="inlineStr">
        <is>
          <t>5생활권과 남청주IC 중간에 위치한 보전관리 토지</t>
        </is>
      </c>
      <c r="L3049" s="6">
        <f>HYPERLINK("https://fin.land.naver.com/articles/2647677099", "매물Link")</f>
        <v/>
      </c>
      <c r="M3049" s="6">
        <f>HYPERLINK("https://map.naver.com/p/search/세종특별자치시 부강면 문곡리 산79", "지도Link")</f>
        <v/>
      </c>
      <c r="N3049" s="6">
        <f>HYPERLINK("http://www.eum.go.kr/web/ar/lu/luLandDet.jsp?pnu=3611033025200790000&amp;isNoScr=script&amp;mode=search", "토지이음")</f>
        <v/>
      </c>
      <c r="O3049" s="3" t="inlineStr">
        <is>
          <t>황제</t>
        </is>
      </c>
      <c r="P3049" s="3" t="n">
        <v>1</v>
      </c>
      <c r="Q3049" s="3" t="n">
        <v>25033</v>
      </c>
      <c r="R3049" s="3" t="inlineStr">
        <is>
          <t>지정되지않음</t>
        </is>
      </c>
      <c r="S3049" s="3" t="inlineStr">
        <is>
          <t>자연림</t>
        </is>
      </c>
      <c r="T3049" s="3" t="inlineStr">
        <is>
          <t>완경사</t>
        </is>
      </c>
      <c r="U3049" s="3" t="inlineStr">
        <is>
          <t>부정형</t>
        </is>
      </c>
      <c r="V3049" s="3" t="inlineStr">
        <is>
          <t>소로한면</t>
        </is>
      </c>
    </row>
    <row r="3050">
      <c r="A3050" s="3" t="inlineStr">
        <is>
          <t>세종특별자치시 부강면 부강리 1015</t>
        </is>
      </c>
      <c r="B3050" s="3" t="inlineStr">
        <is>
          <t>제2종일반주거지역</t>
        </is>
      </c>
      <c r="C3050" s="3" t="inlineStr">
        <is>
          <t>대</t>
        </is>
      </c>
      <c r="D3050" s="3" t="inlineStr">
        <is>
          <t>대</t>
        </is>
      </c>
      <c r="E3050" s="3" t="inlineStr">
        <is>
          <t>매매</t>
        </is>
      </c>
      <c r="F3050" s="4" t="n">
        <v>295000</v>
      </c>
      <c r="G3050" s="4" t="n">
        <v>1499</v>
      </c>
      <c r="H3050" s="4" t="n">
        <v>453</v>
      </c>
      <c r="I3050" s="5" t="n">
        <v>651.2</v>
      </c>
      <c r="J3050" s="4" t="n">
        <v>261.6</v>
      </c>
      <c r="K3050" s="3" t="inlineStr">
        <is>
          <t>적극협의가능 분할매매가능 4차선변 최상위치</t>
        </is>
      </c>
      <c r="L3050" s="6">
        <f>HYPERLINK("https://fin.land.naver.com/articles/2644908864", "매물Link")</f>
        <v/>
      </c>
      <c r="M3050" s="6">
        <f>HYPERLINK("https://map.naver.com/p/search/세종특별자치시 부강면 부강리 1015", "지도Link")</f>
        <v/>
      </c>
      <c r="N3050" s="6">
        <f>HYPERLINK("http://www.eum.go.kr/web/ar/lu/luLandDet.jsp?pnu=3611033021110150000&amp;isNoScr=script&amp;mode=search", "토지이음")</f>
        <v/>
      </c>
      <c r="O3050" s="3" t="inlineStr">
        <is>
          <t>세종스타</t>
        </is>
      </c>
      <c r="P3050" s="3" t="n">
        <v>1</v>
      </c>
      <c r="Q3050" s="3" t="n">
        <v>1298</v>
      </c>
      <c r="R3050" s="3" t="inlineStr">
        <is>
          <t>지정되지않음</t>
        </is>
      </c>
      <c r="S3050" s="3" t="inlineStr">
        <is>
          <t>주상나지</t>
        </is>
      </c>
      <c r="T3050" s="3" t="inlineStr">
        <is>
          <t>평지</t>
        </is>
      </c>
      <c r="U3050" s="3" t="inlineStr">
        <is>
          <t>사다리형</t>
        </is>
      </c>
      <c r="V3050" s="3" t="inlineStr">
        <is>
          <t>광대로한면</t>
        </is>
      </c>
    </row>
    <row r="3051">
      <c r="A3051" s="3" t="inlineStr">
        <is>
          <t>세종특별자치시 부강면 부강리 1046-1</t>
        </is>
      </c>
      <c r="B3051" s="3" t="inlineStr">
        <is>
          <t>자연녹지지역</t>
        </is>
      </c>
      <c r="C3051" s="3" t="inlineStr">
        <is>
          <t>대</t>
        </is>
      </c>
      <c r="D3051" s="3" t="inlineStr">
        <is>
          <t>전</t>
        </is>
      </c>
      <c r="E3051" s="3" t="inlineStr">
        <is>
          <t>매매</t>
        </is>
      </c>
      <c r="F3051" s="4" t="n">
        <v>70000</v>
      </c>
      <c r="G3051" s="4" t="n">
        <v>1521</v>
      </c>
      <c r="H3051" s="4" t="n">
        <v>460</v>
      </c>
      <c r="I3051" s="5" t="n">
        <v>152.2</v>
      </c>
      <c r="J3051" s="4" t="n">
        <v>90.59999999999999</v>
      </c>
      <c r="K3051" s="3" t="inlineStr">
        <is>
          <t>nan</t>
        </is>
      </c>
      <c r="L3051" s="6">
        <f>HYPERLINK("https://fin.land.naver.com/articles/2645360588", "매물Link")</f>
        <v/>
      </c>
      <c r="M3051" s="6">
        <f>HYPERLINK("https://map.naver.com/p/search/세종특별자치시 부강면 부강리 1046-1", "지도Link")</f>
        <v/>
      </c>
      <c r="N3051" s="6">
        <f>HYPERLINK("http://www.eum.go.kr/web/ar/lu/luLandDet.jsp?pnu=3611033021110460001&amp;isNoScr=script&amp;mode=search", "토지이음")</f>
        <v/>
      </c>
      <c r="O3051" s="3" t="inlineStr">
        <is>
          <t>세종땅전문</t>
        </is>
      </c>
      <c r="P3051" s="3" t="n">
        <v>1</v>
      </c>
      <c r="Q3051" s="3" t="n">
        <v>125</v>
      </c>
      <c r="R3051" s="3" t="inlineStr">
        <is>
          <t>지정되지않음</t>
        </is>
      </c>
      <c r="S3051" s="3" t="inlineStr">
        <is>
          <t>주거기타</t>
        </is>
      </c>
      <c r="T3051" s="3" t="inlineStr">
        <is>
          <t>평지</t>
        </is>
      </c>
      <c r="U3051" s="3" t="inlineStr">
        <is>
          <t>부정형</t>
        </is>
      </c>
      <c r="V3051" s="3" t="inlineStr">
        <is>
          <t>세로한면(가)</t>
        </is>
      </c>
    </row>
    <row r="3052">
      <c r="A3052" s="3" t="inlineStr">
        <is>
          <t>세종특별자치시 부강면 부강리 1046-4</t>
        </is>
      </c>
      <c r="B3052" s="3" t="inlineStr">
        <is>
          <t>자연녹지지역</t>
        </is>
      </c>
      <c r="C3052" s="3" t="inlineStr">
        <is>
          <t>대</t>
        </is>
      </c>
      <c r="D3052" s="3" t="inlineStr">
        <is>
          <t>대</t>
        </is>
      </c>
      <c r="E3052" s="3" t="inlineStr">
        <is>
          <t>매매</t>
        </is>
      </c>
      <c r="F3052" s="4" t="n">
        <v>100000</v>
      </c>
      <c r="G3052" s="4" t="n">
        <v>1501</v>
      </c>
      <c r="H3052" s="4" t="n">
        <v>454</v>
      </c>
      <c r="I3052" s="5" t="n">
        <v>220.3</v>
      </c>
      <c r="J3052" s="4" t="n">
        <v>80.09999999999999</v>
      </c>
      <c r="K3052" s="3" t="inlineStr">
        <is>
          <t>부강리 도시지역 자역녹지 대지와 전 2필지로 정비소나 애완카페등으로 이용</t>
        </is>
      </c>
      <c r="L3052" s="6">
        <f>HYPERLINK("https://fin.land.naver.com/articles/2645998383", "매물Link")</f>
        <v/>
      </c>
      <c r="M3052" s="6">
        <f>HYPERLINK("https://map.naver.com/p/search/세종특별자치시 부강면 부강리 1046-4", "지도Link")</f>
        <v/>
      </c>
      <c r="N3052" s="6">
        <f>HYPERLINK("http://www.eum.go.kr/web/ar/lu/luLandDet.jsp?pnu=3611033021110460004&amp;isNoScr=script&amp;mode=search", "토지이음")</f>
        <v/>
      </c>
      <c r="O3052" s="3" t="inlineStr">
        <is>
          <t>스마일세종</t>
        </is>
      </c>
      <c r="P3052" s="3" t="n">
        <v>1</v>
      </c>
      <c r="Q3052" s="3" t="n">
        <v>1007</v>
      </c>
      <c r="R3052" s="3" t="inlineStr">
        <is>
          <t>지정되지않음</t>
        </is>
      </c>
      <c r="S3052" s="3" t="inlineStr">
        <is>
          <t>단독</t>
        </is>
      </c>
      <c r="T3052" s="3" t="inlineStr">
        <is>
          <t>평지</t>
        </is>
      </c>
      <c r="U3052" s="3" t="inlineStr">
        <is>
          <t>사다리형</t>
        </is>
      </c>
      <c r="V3052" s="3" t="inlineStr">
        <is>
          <t>세로한면(불)</t>
        </is>
      </c>
    </row>
    <row r="3053">
      <c r="A3053" s="3" t="inlineStr">
        <is>
          <t>세종특별자치시 부강면 부강리 1060-4</t>
        </is>
      </c>
      <c r="B3053" s="3" t="inlineStr">
        <is>
          <t>자연녹지지역</t>
        </is>
      </c>
      <c r="C3053" s="3" t="inlineStr">
        <is>
          <t>주차장</t>
        </is>
      </c>
      <c r="D3053" s="3" t="inlineStr">
        <is>
          <t>주차장</t>
        </is>
      </c>
      <c r="E3053" s="3" t="inlineStr">
        <is>
          <t>월세</t>
        </is>
      </c>
      <c r="F3053" s="4" t="n">
        <v>1000</v>
      </c>
      <c r="G3053" s="4" t="n">
        <v>1024</v>
      </c>
      <c r="H3053" s="4" t="n">
        <v>310</v>
      </c>
      <c r="I3053" s="5" t="n">
        <v>0.4</v>
      </c>
      <c r="J3053" s="4" t="n">
        <v>62.8</v>
      </c>
      <c r="K3053" s="3" t="inlineStr">
        <is>
          <t>버스 .대형차 차고지 사용하실분 환영 (사무실용도 27㎡)포함임</t>
        </is>
      </c>
      <c r="L3053" s="6">
        <f>HYPERLINK("https://fin.land.naver.com/articles/2646976829", "매물Link")</f>
        <v/>
      </c>
      <c r="M3053" s="6">
        <f>HYPERLINK("https://map.naver.com/p/search/세종특별자치시 부강면 부강리 1060-4", "지도Link")</f>
        <v/>
      </c>
      <c r="N3053" s="6">
        <f>HYPERLINK("http://www.eum.go.kr/web/ar/lu/luLandDet.jsp?pnu=3611033021110600004&amp;isNoScr=script&amp;mode=search", "토지이음")</f>
        <v/>
      </c>
      <c r="O3053" s="3" t="inlineStr">
        <is>
          <t>대박</t>
        </is>
      </c>
      <c r="P3053" s="3" t="n">
        <v>1</v>
      </c>
      <c r="Q3053" s="3" t="n">
        <v>1024</v>
      </c>
      <c r="R3053" s="3" t="inlineStr">
        <is>
          <t>지정되지않음</t>
        </is>
      </c>
      <c r="S3053" s="3" t="inlineStr">
        <is>
          <t>전기타</t>
        </is>
      </c>
      <c r="T3053" s="3" t="inlineStr">
        <is>
          <t>완경사</t>
        </is>
      </c>
      <c r="U3053" s="3" t="inlineStr">
        <is>
          <t>부정형</t>
        </is>
      </c>
      <c r="V3053" s="3" t="inlineStr">
        <is>
          <t>세로한면(가)</t>
        </is>
      </c>
    </row>
    <row r="3054">
      <c r="A3054" s="3" t="inlineStr">
        <is>
          <t>세종특별자치시 부강면 부강리 1094-1</t>
        </is>
      </c>
      <c r="B3054" s="3" t="inlineStr">
        <is>
          <t>생산녹지지역</t>
        </is>
      </c>
      <c r="C3054" s="3" t="inlineStr">
        <is>
          <t>답</t>
        </is>
      </c>
      <c r="D3054" s="3" t="inlineStr">
        <is>
          <t>답</t>
        </is>
      </c>
      <c r="E3054" s="3" t="inlineStr">
        <is>
          <t>매매</t>
        </is>
      </c>
      <c r="F3054" s="4" t="n">
        <v>63500</v>
      </c>
      <c r="G3054" s="4" t="n">
        <v>565</v>
      </c>
      <c r="H3054" s="4" t="n">
        <v>171</v>
      </c>
      <c r="I3054" s="5" t="n">
        <v>371.3</v>
      </c>
      <c r="J3054" s="4" t="n">
        <v>45</v>
      </c>
      <c r="K3054" s="3" t="inlineStr">
        <is>
          <t>투자추천. 세종시 귀한 소형평수. 남세종IC. 부강역인근. 5생활권 근접</t>
        </is>
      </c>
      <c r="L3054" s="6">
        <f>HYPERLINK("https://fin.land.naver.com/articles/2645421177", "매물Link")</f>
        <v/>
      </c>
      <c r="M3054" s="6">
        <f>HYPERLINK("https://map.naver.com/p/search/세종특별자치시 부강면 부강리 1094-1", "지도Link")</f>
        <v/>
      </c>
      <c r="N3054" s="6">
        <f>HYPERLINK("http://www.eum.go.kr/web/ar/lu/luLandDet.jsp?pnu=3611033021110940001&amp;isNoScr=script&amp;mode=search", "토지이음")</f>
        <v/>
      </c>
      <c r="O3054" s="3" t="inlineStr">
        <is>
          <t>세종금밭</t>
        </is>
      </c>
      <c r="P3054" s="3" t="n">
        <v>1</v>
      </c>
      <c r="Q3054" s="3" t="n">
        <v>565</v>
      </c>
      <c r="R3054" s="3" t="inlineStr">
        <is>
          <t>지정되지않음</t>
        </is>
      </c>
      <c r="S3054" s="3" t="inlineStr">
        <is>
          <t>답</t>
        </is>
      </c>
      <c r="T3054" s="3" t="inlineStr">
        <is>
          <t>평지</t>
        </is>
      </c>
      <c r="U3054" s="3" t="inlineStr">
        <is>
          <t>부정형</t>
        </is>
      </c>
      <c r="V3054" s="3" t="inlineStr">
        <is>
          <t>세로한면(가)</t>
        </is>
      </c>
    </row>
    <row r="3055">
      <c r="A3055" s="3" t="inlineStr">
        <is>
          <t>세종특별자치시 부강면 부강리 113-2</t>
        </is>
      </c>
      <c r="B3055" s="3" t="inlineStr">
        <is>
          <t>제2종일반주거지역</t>
        </is>
      </c>
      <c r="C3055" s="3" t="inlineStr">
        <is>
          <t>대</t>
        </is>
      </c>
      <c r="D3055" s="3" t="inlineStr">
        <is>
          <t>대</t>
        </is>
      </c>
      <c r="E3055" s="3" t="inlineStr">
        <is>
          <t>매매</t>
        </is>
      </c>
      <c r="F3055" s="4" t="n">
        <v>35000</v>
      </c>
      <c r="G3055" s="4" t="n">
        <v>233</v>
      </c>
      <c r="H3055" s="4" t="n">
        <v>70</v>
      </c>
      <c r="I3055" s="5" t="n">
        <v>500</v>
      </c>
      <c r="J3055" s="4" t="n">
        <v>190.6</v>
      </c>
      <c r="K3055" s="3" t="inlineStr">
        <is>
          <t>5생활권 분양시작으로 인한 원투룸이 부족한상태이므로 다가구부지추천</t>
        </is>
      </c>
      <c r="L3055" s="6">
        <f>HYPERLINK("https://fin.land.naver.com/articles/2648254762", "매물Link")</f>
        <v/>
      </c>
      <c r="M3055" s="6">
        <f>HYPERLINK("https://map.naver.com/p/search/세종특별자치시 부강면 부강리 113-2", "지도Link")</f>
        <v/>
      </c>
      <c r="N3055" s="6">
        <f>HYPERLINK("http://www.eum.go.kr/web/ar/lu/luLandDet.jsp?pnu=3611033021101130002&amp;isNoScr=script&amp;mode=search", "토지이음")</f>
        <v/>
      </c>
      <c r="O3055" s="3" t="inlineStr">
        <is>
          <t>연동스카이</t>
        </is>
      </c>
      <c r="P3055" s="3" t="n">
        <v>1</v>
      </c>
      <c r="Q3055" s="3" t="n">
        <v>233</v>
      </c>
      <c r="R3055" s="3" t="inlineStr">
        <is>
          <t>지정되지않음</t>
        </is>
      </c>
      <c r="S3055" s="3" t="inlineStr">
        <is>
          <t>단독</t>
        </is>
      </c>
      <c r="T3055" s="3" t="inlineStr">
        <is>
          <t>평지</t>
        </is>
      </c>
      <c r="U3055" s="3" t="inlineStr">
        <is>
          <t>사다리형</t>
        </is>
      </c>
      <c r="V3055" s="3" t="inlineStr">
        <is>
          <t>세로한면(가)</t>
        </is>
      </c>
    </row>
    <row r="3056">
      <c r="A3056" s="3" t="inlineStr">
        <is>
          <t>세종특별자치시 부강면 부강리 1215-2</t>
        </is>
      </c>
      <c r="B3056" s="3" t="inlineStr">
        <is>
          <t>계획관리지역</t>
        </is>
      </c>
      <c r="C3056" s="3" t="inlineStr">
        <is>
          <t>답</t>
        </is>
      </c>
      <c r="D3056" s="3" t="inlineStr">
        <is>
          <t>답</t>
        </is>
      </c>
      <c r="E3056" s="3" t="inlineStr">
        <is>
          <t>매매</t>
        </is>
      </c>
      <c r="F3056" s="4" t="n">
        <v>58000</v>
      </c>
      <c r="G3056" s="4" t="n">
        <v>766</v>
      </c>
      <c r="H3056" s="4" t="n">
        <v>232</v>
      </c>
      <c r="I3056" s="5" t="n">
        <v>250</v>
      </c>
      <c r="J3056" s="4" t="n">
        <v>40</v>
      </c>
      <c r="K3056" s="3" t="inlineStr">
        <is>
          <t>대토추천, 세로한면불토지</t>
        </is>
      </c>
      <c r="L3056" s="6">
        <f>HYPERLINK("https://fin.land.naver.com/articles/2650179837", "매물Link")</f>
        <v/>
      </c>
      <c r="M3056" s="6">
        <f>HYPERLINK("https://map.naver.com/p/search/세종특별자치시 부강면 부강리 1215-2", "지도Link")</f>
        <v/>
      </c>
      <c r="N3056" s="6">
        <f>HYPERLINK("http://www.eum.go.kr/web/ar/lu/luLandDet.jsp?pnu=3611033021112150002&amp;isNoScr=script&amp;mode=search", "토지이음")</f>
        <v/>
      </c>
      <c r="O3056" s="3" t="inlineStr">
        <is>
          <t>연동스카이</t>
        </is>
      </c>
      <c r="P3056" s="3" t="n">
        <v>1</v>
      </c>
      <c r="Q3056" s="3" t="n">
        <v>766</v>
      </c>
      <c r="R3056" s="3" t="inlineStr">
        <is>
          <t>지정되지않음</t>
        </is>
      </c>
      <c r="S3056" s="3" t="inlineStr">
        <is>
          <t>답</t>
        </is>
      </c>
      <c r="T3056" s="3" t="inlineStr">
        <is>
          <t>평지</t>
        </is>
      </c>
      <c r="U3056" s="3" t="inlineStr">
        <is>
          <t>부정형</t>
        </is>
      </c>
      <c r="V3056" s="3" t="inlineStr">
        <is>
          <t>세로한면(불)</t>
        </is>
      </c>
    </row>
    <row r="3057">
      <c r="A3057" s="3" t="inlineStr">
        <is>
          <t>세종특별자치시 부강면 부강리 1230</t>
        </is>
      </c>
      <c r="B3057" s="3" t="inlineStr">
        <is>
          <t>계획관리지역</t>
        </is>
      </c>
      <c r="C3057" s="3" t="inlineStr">
        <is>
          <t>답</t>
        </is>
      </c>
      <c r="D3057" s="3" t="inlineStr">
        <is>
          <t>답</t>
        </is>
      </c>
      <c r="E3057" s="3" t="inlineStr">
        <is>
          <t>매매</t>
        </is>
      </c>
      <c r="F3057" s="4" t="n">
        <v>170000</v>
      </c>
      <c r="G3057" s="4" t="n">
        <v>2365</v>
      </c>
      <c r="H3057" s="4" t="n">
        <v>715</v>
      </c>
      <c r="I3057" s="5" t="n">
        <v>237.8</v>
      </c>
      <c r="J3057" s="4" t="n">
        <v>37.7</v>
      </c>
      <c r="K3057" s="3" t="inlineStr">
        <is>
          <t>계획관리지역, 농막, 비닐하우스, 성토완료, 지하수있음</t>
        </is>
      </c>
      <c r="L3057" s="6">
        <f>HYPERLINK("https://fin.land.naver.com/articles/2648785151", "매물Link")</f>
        <v/>
      </c>
      <c r="M3057" s="6">
        <f>HYPERLINK("https://map.naver.com/p/search/세종특별자치시 부강면 부강리 1230", "지도Link")</f>
        <v/>
      </c>
      <c r="N3057" s="6">
        <f>HYPERLINK("http://www.eum.go.kr/web/ar/lu/luLandDet.jsp?pnu=3611033021112300000&amp;isNoScr=script&amp;mode=search", "토지이음")</f>
        <v/>
      </c>
      <c r="O3057" s="3" t="inlineStr">
        <is>
          <t>이담</t>
        </is>
      </c>
      <c r="P3057" s="3" t="n">
        <v>1</v>
      </c>
      <c r="Q3057" s="3" t="n">
        <v>2365</v>
      </c>
      <c r="R3057" s="3" t="inlineStr">
        <is>
          <t>지정되지않음</t>
        </is>
      </c>
      <c r="S3057" s="3" t="inlineStr">
        <is>
          <t>답</t>
        </is>
      </c>
      <c r="T3057" s="3" t="inlineStr">
        <is>
          <t>평지</t>
        </is>
      </c>
      <c r="U3057" s="3" t="inlineStr">
        <is>
          <t>부정형</t>
        </is>
      </c>
      <c r="V3057" s="3" t="inlineStr">
        <is>
          <t>맹지</t>
        </is>
      </c>
    </row>
    <row r="3058">
      <c r="A3058" s="3" t="inlineStr">
        <is>
          <t>세종특별자치시 부강면 부강리 343-1</t>
        </is>
      </c>
      <c r="B3058" s="3" t="inlineStr">
        <is>
          <t>제2종일반주거지역</t>
        </is>
      </c>
      <c r="C3058" s="3" t="inlineStr">
        <is>
          <t>대</t>
        </is>
      </c>
      <c r="D3058" s="3" t="inlineStr">
        <is>
          <t>대</t>
        </is>
      </c>
      <c r="E3058" s="3" t="inlineStr">
        <is>
          <t>매매</t>
        </is>
      </c>
      <c r="F3058" s="4" t="n">
        <v>29500</v>
      </c>
      <c r="G3058" s="4" t="n">
        <v>420</v>
      </c>
      <c r="H3058" s="4" t="n">
        <v>127</v>
      </c>
      <c r="I3058" s="5" t="n">
        <v>232.3</v>
      </c>
      <c r="J3058" s="4" t="n">
        <v>94.90000000000001</v>
      </c>
      <c r="K3058" s="3" t="inlineStr">
        <is>
          <t>코너각지땅모양예쁜땅,지대가높아확트인조망,행복도시10분이내</t>
        </is>
      </c>
      <c r="L3058" s="6">
        <f>HYPERLINK("https://fin.land.naver.com/articles/2645765651", "매물Link")</f>
        <v/>
      </c>
      <c r="M3058" s="6">
        <f>HYPERLINK("https://map.naver.com/p/search/세종특별자치시 부강면 부강리 343-1", "지도Link")</f>
        <v/>
      </c>
      <c r="N3058" s="6">
        <f>HYPERLINK("http://www.eum.go.kr/web/ar/lu/luLandDet.jsp?pnu=3611033021103430001&amp;isNoScr=script&amp;mode=search", "토지이음")</f>
        <v/>
      </c>
      <c r="O3058" s="3" t="inlineStr">
        <is>
          <t>타이밍</t>
        </is>
      </c>
      <c r="P3058" s="3" t="n">
        <v>1</v>
      </c>
      <c r="Q3058" s="3" t="n">
        <v>420</v>
      </c>
      <c r="R3058" s="3" t="inlineStr">
        <is>
          <t>지정되지않음</t>
        </is>
      </c>
      <c r="S3058" s="3" t="inlineStr">
        <is>
          <t>단독</t>
        </is>
      </c>
      <c r="T3058" s="3" t="inlineStr">
        <is>
          <t>평지</t>
        </is>
      </c>
      <c r="U3058" s="3" t="inlineStr">
        <is>
          <t>사다리형</t>
        </is>
      </c>
      <c r="V3058" s="3" t="inlineStr">
        <is>
          <t>세로한면(가)</t>
        </is>
      </c>
    </row>
    <row r="3059">
      <c r="A3059" s="3" t="inlineStr">
        <is>
          <t>세종특별자치시 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부강면 나대지 매매, 부강역, 부강면사무소 인근, 근생 및 단독주택 건축</t>
        </is>
      </c>
      <c r="L3059" s="6">
        <f>HYPERLINK("https://fin.land.naver.com/articles/2645576373", "매물Link")</f>
        <v/>
      </c>
      <c r="M3059" s="6">
        <f>HYPERLINK("https://map.naver.com/p/search/세종특별자치시 부강면 부강리 386", "지도Link")</f>
        <v/>
      </c>
      <c r="N3059" s="6">
        <f>HYPERLINK("http://www.eum.go.kr/web/ar/lu/luLandDet.jsp?pnu=3611033021103860000&amp;isNoScr=script&amp;mode=search", "토지이음")</f>
        <v/>
      </c>
      <c r="O3059" s="3" t="inlineStr">
        <is>
          <t>스카이</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세종특별자치시 부강면 부강리 386</t>
        </is>
      </c>
      <c r="B3060" s="3" t="inlineStr">
        <is>
          <t>제2종일반주거지역</t>
        </is>
      </c>
      <c r="C3060" s="3" t="inlineStr">
        <is>
          <t>대</t>
        </is>
      </c>
      <c r="D3060" s="3" t="inlineStr">
        <is>
          <t>대</t>
        </is>
      </c>
      <c r="E3060" s="3" t="inlineStr">
        <is>
          <t>매매</t>
        </is>
      </c>
      <c r="F3060" s="4" t="n">
        <v>50000</v>
      </c>
      <c r="G3060" s="4" t="n">
        <v>664</v>
      </c>
      <c r="H3060" s="4" t="n">
        <v>201</v>
      </c>
      <c r="I3060" s="5" t="n">
        <v>248.8</v>
      </c>
      <c r="J3060" s="4" t="n">
        <v>110</v>
      </c>
      <c r="K3060" s="3" t="inlineStr">
        <is>
          <t>5생활권 인근  주택  유통 할수 있고 미래 투자가치  좋은대지.</t>
        </is>
      </c>
      <c r="L3060" s="6">
        <f>HYPERLINK("https://fin.land.naver.com/articles/2647755692", "매물Link")</f>
        <v/>
      </c>
      <c r="M3060" s="6">
        <f>HYPERLINK("https://map.naver.com/p/search/세종특별자치시 부강면 부강리 386", "지도Link")</f>
        <v/>
      </c>
      <c r="N3060" s="6">
        <f>HYPERLINK("http://www.eum.go.kr/web/ar/lu/luLandDet.jsp?pnu=3611033021103860000&amp;isNoScr=script&amp;mode=search", "토지이음")</f>
        <v/>
      </c>
      <c r="O3060" s="3" t="inlineStr">
        <is>
          <t>강남뜰</t>
        </is>
      </c>
      <c r="P3060" s="3" t="n">
        <v>1</v>
      </c>
      <c r="Q3060" s="3" t="n">
        <v>664</v>
      </c>
      <c r="R3060" s="3" t="inlineStr">
        <is>
          <t>지정되지않음</t>
        </is>
      </c>
      <c r="S3060" s="3" t="inlineStr">
        <is>
          <t>단독</t>
        </is>
      </c>
      <c r="T3060" s="3" t="inlineStr">
        <is>
          <t>평지</t>
        </is>
      </c>
      <c r="U3060" s="3" t="inlineStr">
        <is>
          <t>사다리형</t>
        </is>
      </c>
      <c r="V3060" s="3" t="inlineStr">
        <is>
          <t>세로한면(가)</t>
        </is>
      </c>
    </row>
    <row r="3061">
      <c r="A3061" s="3" t="inlineStr">
        <is>
          <t>세종특별자치시 부강면 부강리 446-13</t>
        </is>
      </c>
      <c r="B3061" s="3" t="inlineStr">
        <is>
          <t>일반상업지역</t>
        </is>
      </c>
      <c r="C3061" s="3" t="inlineStr">
        <is>
          <t>대</t>
        </is>
      </c>
      <c r="D3061" s="3" t="inlineStr">
        <is>
          <t>대</t>
        </is>
      </c>
      <c r="E3061" s="3" t="inlineStr">
        <is>
          <t>매매</t>
        </is>
      </c>
      <c r="F3061" s="4" t="n">
        <v>140000</v>
      </c>
      <c r="G3061" s="4" t="n">
        <v>522</v>
      </c>
      <c r="H3061" s="4" t="n">
        <v>158</v>
      </c>
      <c r="I3061" s="5" t="n">
        <v>886.1</v>
      </c>
      <c r="J3061" s="4" t="n">
        <v>502.5</v>
      </c>
      <c r="K3061" s="3" t="inlineStr">
        <is>
          <t>추천.  현재 식당 운영 입지좋은 위치 상업시설 짓기 좋은 곳</t>
        </is>
      </c>
      <c r="L3061" s="6">
        <f>HYPERLINK("https://fin.land.naver.com/articles/2646737506", "매물Link")</f>
        <v/>
      </c>
      <c r="M3061" s="6">
        <f>HYPERLINK("https://map.naver.com/p/search/세종특별자치시 부강면 부강리 446-13", "지도Link")</f>
        <v/>
      </c>
      <c r="N3061" s="6">
        <f>HYPERLINK("http://www.eum.go.kr/web/ar/lu/luLandDet.jsp?pnu=3611033021104460013&amp;isNoScr=script&amp;mode=search", "토지이음")</f>
        <v/>
      </c>
      <c r="O3061" s="3" t="inlineStr">
        <is>
          <t>한강롯데(단지내)</t>
        </is>
      </c>
      <c r="P3061" s="3" t="n">
        <v>1</v>
      </c>
      <c r="Q3061" s="3" t="n">
        <v>522</v>
      </c>
      <c r="R3061" s="3" t="inlineStr">
        <is>
          <t>지정되지않음</t>
        </is>
      </c>
      <c r="S3061" s="3" t="inlineStr">
        <is>
          <t>상업용</t>
        </is>
      </c>
      <c r="T3061" s="3" t="inlineStr">
        <is>
          <t>평지</t>
        </is>
      </c>
      <c r="U3061" s="3" t="inlineStr">
        <is>
          <t>사다리형</t>
        </is>
      </c>
      <c r="V3061" s="3" t="inlineStr">
        <is>
          <t>소로각지</t>
        </is>
      </c>
    </row>
    <row r="3062">
      <c r="A3062" s="3" t="inlineStr">
        <is>
          <t>세종특별자치시 부강면 부강리 457-3</t>
        </is>
      </c>
      <c r="B3062" s="3" t="inlineStr">
        <is>
          <t>일반상업지역</t>
        </is>
      </c>
      <c r="C3062" s="3" t="inlineStr">
        <is>
          <t>대</t>
        </is>
      </c>
      <c r="D3062" s="3" t="inlineStr">
        <is>
          <t>대</t>
        </is>
      </c>
      <c r="E3062" s="3" t="inlineStr">
        <is>
          <t>매매</t>
        </is>
      </c>
      <c r="F3062" s="4" t="n">
        <v>95000</v>
      </c>
      <c r="G3062" s="4" t="n">
        <v>767</v>
      </c>
      <c r="H3062" s="4" t="n">
        <v>232</v>
      </c>
      <c r="I3062" s="5" t="n">
        <v>409.5</v>
      </c>
      <c r="J3062" s="4" t="n">
        <v>311.3</v>
      </c>
      <c r="K3062" s="3" t="inlineStr">
        <is>
          <t>세종시의 주거 상업용지로  개발가치및 인프라좋은 저렴한 매물</t>
        </is>
      </c>
      <c r="L3062" s="6">
        <f>HYPERLINK("https://fin.land.naver.com/articles/2646390369", "매물Link")</f>
        <v/>
      </c>
      <c r="M3062" s="6">
        <f>HYPERLINK("https://map.naver.com/p/search/세종특별자치시 부강면 부강리 457-3", "지도Link")</f>
        <v/>
      </c>
      <c r="N3062" s="6">
        <f>HYPERLINK("http://www.eum.go.kr/web/ar/lu/luLandDet.jsp?pnu=3611033021104570003&amp;isNoScr=script&amp;mode=search", "토지이음")</f>
        <v/>
      </c>
      <c r="O3062" s="3" t="inlineStr">
        <is>
          <t>매그놀리아</t>
        </is>
      </c>
      <c r="P3062" s="3" t="n">
        <v>2</v>
      </c>
      <c r="Q3062" s="3" t="n">
        <v>767</v>
      </c>
      <c r="R3062" s="3" t="inlineStr">
        <is>
          <t>지정되지않음</t>
        </is>
      </c>
      <c r="S3062" s="3" t="inlineStr">
        <is>
          <t>단독</t>
        </is>
      </c>
      <c r="T3062" s="3" t="inlineStr">
        <is>
          <t>평지</t>
        </is>
      </c>
      <c r="U3062" s="3" t="inlineStr">
        <is>
          <t>사다리형</t>
        </is>
      </c>
      <c r="V3062" s="3" t="inlineStr">
        <is>
          <t>소로한면</t>
        </is>
      </c>
    </row>
    <row r="3063">
      <c r="A3063" s="3" t="inlineStr">
        <is>
          <t>세종특별자치시 부강면 부강리 486-3</t>
        </is>
      </c>
      <c r="B3063" s="3" t="inlineStr">
        <is>
          <t>제2종일반주거지역</t>
        </is>
      </c>
      <c r="C3063" s="3" t="inlineStr">
        <is>
          <t>대</t>
        </is>
      </c>
      <c r="D3063" s="3" t="inlineStr">
        <is>
          <t>대</t>
        </is>
      </c>
      <c r="E3063" s="3" t="inlineStr">
        <is>
          <t>매매</t>
        </is>
      </c>
      <c r="F3063" s="4" t="n">
        <v>68000</v>
      </c>
      <c r="G3063" s="4" t="n">
        <v>545</v>
      </c>
      <c r="H3063" s="4" t="n">
        <v>165</v>
      </c>
      <c r="I3063" s="5" t="n">
        <v>412.1</v>
      </c>
      <c r="J3063" s="4" t="n">
        <v>204.5</v>
      </c>
      <c r="K3063" s="3" t="inlineStr">
        <is>
          <t>부강초등학교 인근에 있는 일반주거지역으로 다가구주택 부지로 좋은 대지</t>
        </is>
      </c>
      <c r="L3063" s="6">
        <f>HYPERLINK("https://fin.land.naver.com/articles/2645181919", "매물Link")</f>
        <v/>
      </c>
      <c r="M3063" s="6">
        <f>HYPERLINK("https://map.naver.com/p/search/세종특별자치시 부강면 부강리 486-3", "지도Link")</f>
        <v/>
      </c>
      <c r="N3063" s="6">
        <f>HYPERLINK("http://www.eum.go.kr/web/ar/lu/luLandDet.jsp?pnu=3611033021104860003&amp;isNoScr=script&amp;mode=search", "토지이음")</f>
        <v/>
      </c>
      <c r="O3063" s="3" t="inlineStr">
        <is>
          <t>스마일세종</t>
        </is>
      </c>
      <c r="P3063" s="3" t="n">
        <v>2</v>
      </c>
      <c r="Q3063" s="3" t="n">
        <v>545</v>
      </c>
      <c r="R3063" s="3" t="inlineStr">
        <is>
          <t>지정되지않음</t>
        </is>
      </c>
      <c r="S3063" s="3" t="inlineStr">
        <is>
          <t>단독</t>
        </is>
      </c>
      <c r="T3063" s="3" t="inlineStr">
        <is>
          <t>평지</t>
        </is>
      </c>
      <c r="U3063" s="3" t="inlineStr">
        <is>
          <t>사다리형</t>
        </is>
      </c>
      <c r="V3063" s="3" t="inlineStr">
        <is>
          <t>소로한면</t>
        </is>
      </c>
    </row>
    <row r="3064">
      <c r="A3064" s="3" t="inlineStr">
        <is>
          <t>세종특별자치시 부강면 부강리 506-9</t>
        </is>
      </c>
      <c r="B3064" s="3" t="inlineStr">
        <is>
          <t>생산녹지지역</t>
        </is>
      </c>
      <c r="C3064" s="3" t="inlineStr">
        <is>
          <t>전</t>
        </is>
      </c>
      <c r="D3064" s="3" t="inlineStr">
        <is>
          <t>전</t>
        </is>
      </c>
      <c r="E3064" s="3" t="inlineStr">
        <is>
          <t>매매</t>
        </is>
      </c>
      <c r="F3064" s="4" t="n">
        <v>37000</v>
      </c>
      <c r="G3064" s="4" t="n">
        <v>2469</v>
      </c>
      <c r="H3064" s="4" t="n">
        <v>747</v>
      </c>
      <c r="I3064" s="5" t="n">
        <v>49.5</v>
      </c>
      <c r="J3064" s="4" t="n">
        <v>29.6</v>
      </c>
      <c r="K3064" s="3" t="inlineStr">
        <is>
          <t>nan</t>
        </is>
      </c>
      <c r="L3064" s="6">
        <f>HYPERLINK("https://fin.land.naver.com/articles/2645446051", "매물Link")</f>
        <v/>
      </c>
      <c r="M3064" s="6">
        <f>HYPERLINK("https://map.naver.com/p/search/세종특별자치시 부강면 부강리 506-9", "지도Link")</f>
        <v/>
      </c>
      <c r="N3064" s="6">
        <f>HYPERLINK("http://www.eum.go.kr/web/ar/lu/luLandDet.jsp?pnu=3611033021105060009&amp;isNoScr=script&amp;mode=search", "토지이음")</f>
        <v/>
      </c>
      <c r="O3064" s="3" t="inlineStr">
        <is>
          <t>진황금</t>
        </is>
      </c>
      <c r="P3064" s="3" t="n">
        <v>1</v>
      </c>
      <c r="Q3064" s="3" t="n">
        <v>2469</v>
      </c>
      <c r="R3064" s="3" t="inlineStr">
        <is>
          <t>지정되지않음</t>
        </is>
      </c>
      <c r="S3064" s="3" t="inlineStr">
        <is>
          <t>전</t>
        </is>
      </c>
      <c r="T3064" s="3" t="inlineStr">
        <is>
          <t>평지</t>
        </is>
      </c>
      <c r="U3064" s="3" t="inlineStr">
        <is>
          <t>사다리형</t>
        </is>
      </c>
      <c r="V3064" s="3" t="inlineStr">
        <is>
          <t>맹지</t>
        </is>
      </c>
    </row>
    <row r="3065">
      <c r="A3065" s="3" t="inlineStr">
        <is>
          <t>세종특별자치시 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HYPERLINK("https://map.naver.com/p/search/세종특별자치시 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세종특별자치시 부강면 부강리 580-1</t>
        </is>
      </c>
      <c r="B3066" s="3" t="inlineStr">
        <is>
          <t>일반공업지역</t>
        </is>
      </c>
      <c r="C3066" s="3" t="inlineStr">
        <is>
          <t>답</t>
        </is>
      </c>
      <c r="D3066" s="3" t="inlineStr">
        <is>
          <t>공장용지</t>
        </is>
      </c>
      <c r="E3066" s="3" t="inlineStr">
        <is>
          <t>매매</t>
        </is>
      </c>
      <c r="F3066" s="4" t="n">
        <v>346000</v>
      </c>
      <c r="G3066" s="4" t="n">
        <v>3808</v>
      </c>
      <c r="H3066" s="4" t="n">
        <v>1152</v>
      </c>
      <c r="I3066" s="5" t="n">
        <v>300.3</v>
      </c>
      <c r="J3066" s="4" t="n">
        <v>40.9</v>
      </c>
      <c r="K3066" s="3" t="inlineStr">
        <is>
          <t>입지 좋은 접근성 최상의 토지, 대로 2류 착공 예정, 가격 상승 기대</t>
        </is>
      </c>
      <c r="L3066" s="6">
        <f>HYPERLINK("https://fin.land.naver.com/articles/2644671934", "매물Link")</f>
        <v/>
      </c>
      <c r="M3066" s="6">
        <f>HYPERLINK("https://map.naver.com/p/search/세종특별자치시 부강면 부강리 580-1", "지도Link")</f>
        <v/>
      </c>
      <c r="N3066" s="6">
        <f>HYPERLINK("http://www.eum.go.kr/web/ar/lu/luLandDet.jsp?pnu=3611033021105800001&amp;isNoScr=script&amp;mode=search", "토지이음")</f>
        <v/>
      </c>
      <c r="O3066" s="3" t="inlineStr">
        <is>
          <t>행복한무소</t>
        </is>
      </c>
      <c r="P3066" s="3" t="n">
        <v>1</v>
      </c>
      <c r="Q3066" s="3" t="n">
        <v>3127</v>
      </c>
      <c r="R3066" s="3" t="inlineStr">
        <is>
          <t>지정되지않음</t>
        </is>
      </c>
      <c r="S3066" s="3" t="inlineStr">
        <is>
          <t>답</t>
        </is>
      </c>
      <c r="T3066" s="3" t="inlineStr">
        <is>
          <t>평지</t>
        </is>
      </c>
      <c r="U3066" s="3" t="inlineStr">
        <is>
          <t>사다리형</t>
        </is>
      </c>
      <c r="V3066" s="3" t="inlineStr">
        <is>
          <t>세로한면(불)</t>
        </is>
      </c>
    </row>
    <row r="3067">
      <c r="A3067" s="3" t="inlineStr">
        <is>
          <t>세종특별자치시 부강면 부강리 717</t>
        </is>
      </c>
      <c r="B3067" s="3" t="inlineStr">
        <is>
          <t>계획관리지역</t>
        </is>
      </c>
      <c r="C3067" s="3" t="inlineStr">
        <is>
          <t>대</t>
        </is>
      </c>
      <c r="D3067" s="3" t="inlineStr">
        <is>
          <t>대</t>
        </is>
      </c>
      <c r="E3067" s="3" t="inlineStr">
        <is>
          <t>매매</t>
        </is>
      </c>
      <c r="F3067" s="4" t="n">
        <v>66000</v>
      </c>
      <c r="G3067" s="4" t="n">
        <v>545</v>
      </c>
      <c r="H3067" s="4" t="n">
        <v>165</v>
      </c>
      <c r="I3067" s="5" t="n">
        <v>400</v>
      </c>
      <c r="J3067" s="4" t="n">
        <v>80.90000000000001</v>
      </c>
      <c r="K3067" s="3" t="inlineStr">
        <is>
          <t>다용도로사용가능.현재사무실및창고용건물존재116.64제곱.금강변인접</t>
        </is>
      </c>
      <c r="L3067" s="6">
        <f>HYPERLINK("https://fin.land.naver.com/articles/2648371246", "매물Link")</f>
        <v/>
      </c>
      <c r="M3067" s="6">
        <f>HYPERLINK("https://map.naver.com/p/search/세종특별자치시 부강면 부강리 717", "지도Link")</f>
        <v/>
      </c>
      <c r="N3067" s="6">
        <f>HYPERLINK("http://www.eum.go.kr/web/ar/lu/luLandDet.jsp?pnu=3611033021107170000&amp;isNoScr=script&amp;mode=search", "토지이음")</f>
        <v/>
      </c>
      <c r="O3067" s="3" t="inlineStr">
        <is>
          <t>돈방석</t>
        </is>
      </c>
      <c r="P3067" s="3" t="n">
        <v>1</v>
      </c>
      <c r="Q3067" s="3" t="n">
        <v>545</v>
      </c>
      <c r="R3067" s="3" t="inlineStr">
        <is>
          <t>지정되지않음</t>
        </is>
      </c>
      <c r="S3067" s="3" t="inlineStr">
        <is>
          <t>주거나지</t>
        </is>
      </c>
      <c r="T3067" s="3" t="inlineStr">
        <is>
          <t>평지</t>
        </is>
      </c>
      <c r="U3067" s="3" t="inlineStr">
        <is>
          <t>세로장방</t>
        </is>
      </c>
      <c r="V3067" s="3" t="inlineStr">
        <is>
          <t>세로한면(가)</t>
        </is>
      </c>
    </row>
    <row r="3068">
      <c r="A3068" s="3" t="inlineStr">
        <is>
          <t>세종특별자치시 부강면 부강리 729</t>
        </is>
      </c>
      <c r="B3068" s="3" t="inlineStr">
        <is>
          <t>계획관리지역</t>
        </is>
      </c>
      <c r="C3068" s="3" t="inlineStr">
        <is>
          <t>대</t>
        </is>
      </c>
      <c r="D3068" s="3" t="inlineStr">
        <is>
          <t>대</t>
        </is>
      </c>
      <c r="E3068" s="3" t="inlineStr">
        <is>
          <t>매매</t>
        </is>
      </c>
      <c r="F3068" s="4" t="n">
        <v>34000</v>
      </c>
      <c r="G3068" s="4" t="n">
        <v>894</v>
      </c>
      <c r="H3068" s="4" t="n">
        <v>270</v>
      </c>
      <c r="I3068" s="5" t="n">
        <v>125.9</v>
      </c>
      <c r="J3068" s="4" t="n">
        <v>77.59999999999999</v>
      </c>
      <c r="K3068" s="3" t="inlineStr">
        <is>
          <t>부강면과 북대전IC간 광역도로 개통 호재 있는 부강면 계획관리 대지 급매</t>
        </is>
      </c>
      <c r="L3068" s="6">
        <f>HYPERLINK("https://fin.land.naver.com/articles/2645608868", "매물Link")</f>
        <v/>
      </c>
      <c r="M3068" s="6">
        <f>HYPERLINK("https://map.naver.com/p/search/세종특별자치시 부강면 부강리 729", "지도Link")</f>
        <v/>
      </c>
      <c r="N3068" s="6">
        <f>HYPERLINK("http://www.eum.go.kr/web/ar/lu/luLandDet.jsp?pnu=3611033021107290000&amp;isNoScr=script&amp;mode=search", "토지이음")</f>
        <v/>
      </c>
      <c r="O3068" s="3" t="inlineStr">
        <is>
          <t>청담</t>
        </is>
      </c>
      <c r="P3068" s="3" t="n">
        <v>1</v>
      </c>
      <c r="Q3068" s="3" t="n">
        <v>600</v>
      </c>
      <c r="R3068" s="3" t="inlineStr">
        <is>
          <t>지정되지않음</t>
        </is>
      </c>
      <c r="S3068" s="3" t="inlineStr">
        <is>
          <t>주거나지</t>
        </is>
      </c>
      <c r="T3068" s="3" t="inlineStr">
        <is>
          <t>평지</t>
        </is>
      </c>
      <c r="U3068" s="3" t="inlineStr">
        <is>
          <t>부정형</t>
        </is>
      </c>
      <c r="V3068" s="3" t="inlineStr">
        <is>
          <t>세로한면(가)</t>
        </is>
      </c>
    </row>
    <row r="3069">
      <c r="A3069" s="3" t="inlineStr">
        <is>
          <t>세종특별자치시 부강면 부강리 745</t>
        </is>
      </c>
      <c r="B3069" s="3" t="inlineStr">
        <is>
          <t>계획관리지역</t>
        </is>
      </c>
      <c r="C3069" s="3" t="inlineStr">
        <is>
          <t>답</t>
        </is>
      </c>
      <c r="D3069" s="3" t="inlineStr">
        <is>
          <t>답</t>
        </is>
      </c>
      <c r="E3069" s="3" t="inlineStr">
        <is>
          <t>매매</t>
        </is>
      </c>
      <c r="F3069" s="4" t="n">
        <v>50000</v>
      </c>
      <c r="G3069" s="4" t="n">
        <v>1421</v>
      </c>
      <c r="H3069" s="4" t="n">
        <v>430</v>
      </c>
      <c r="I3069" s="5" t="n">
        <v>116.3</v>
      </c>
      <c r="J3069" s="4" t="n">
        <v>36.3</v>
      </c>
      <c r="K3069" s="3" t="inlineStr">
        <is>
          <t>세종 부강면 진입로 있는 토지,전기 인입등 투자용 토지</t>
        </is>
      </c>
      <c r="L3069" s="6">
        <f>HYPERLINK("https://fin.land.naver.com/articles/2647002431", "매물Link")</f>
        <v/>
      </c>
      <c r="M3069" s="6">
        <f>HYPERLINK("https://map.naver.com/p/search/세종특별자치시 부강면 부강리 745", "지도Link")</f>
        <v/>
      </c>
      <c r="N3069" s="6">
        <f>HYPERLINK("http://www.eum.go.kr/web/ar/lu/luLandDet.jsp?pnu=3611033021107450000&amp;isNoScr=script&amp;mode=search", "토지이음")</f>
        <v/>
      </c>
      <c r="O3069" s="3" t="inlineStr">
        <is>
          <t>민트</t>
        </is>
      </c>
      <c r="P3069" s="3" t="n">
        <v>1</v>
      </c>
      <c r="Q3069" s="3" t="n">
        <v>1421</v>
      </c>
      <c r="R3069" s="3" t="inlineStr">
        <is>
          <t>지정되지않음</t>
        </is>
      </c>
      <c r="S3069" s="3" t="inlineStr">
        <is>
          <t>전</t>
        </is>
      </c>
      <c r="T3069" s="3" t="inlineStr">
        <is>
          <t>완경사</t>
        </is>
      </c>
      <c r="U3069" s="3" t="inlineStr">
        <is>
          <t>부정형</t>
        </is>
      </c>
      <c r="V3069" s="3" t="inlineStr">
        <is>
          <t>세로한면(불)</t>
        </is>
      </c>
    </row>
    <row r="3070">
      <c r="A3070" s="3" t="inlineStr">
        <is>
          <t>세종특별자치시 부강면 부강리 758</t>
        </is>
      </c>
      <c r="B3070" s="3" t="inlineStr">
        <is>
          <t>계획관리지역</t>
        </is>
      </c>
      <c r="C3070" s="3" t="inlineStr">
        <is>
          <t>전</t>
        </is>
      </c>
      <c r="D3070" s="3" t="inlineStr">
        <is>
          <t>전</t>
        </is>
      </c>
      <c r="E3070" s="3" t="inlineStr">
        <is>
          <t>매매</t>
        </is>
      </c>
      <c r="F3070" s="4" t="n">
        <v>28000</v>
      </c>
      <c r="G3070" s="4" t="n">
        <v>634</v>
      </c>
      <c r="H3070" s="4" t="n">
        <v>192</v>
      </c>
      <c r="I3070" s="5" t="n">
        <v>145.8</v>
      </c>
      <c r="J3070" s="4" t="n">
        <v>40.8</v>
      </c>
      <c r="K3070" s="3" t="inlineStr">
        <is>
          <t>도로 인접</t>
        </is>
      </c>
      <c r="L3070" s="6">
        <f>HYPERLINK("https://fin.land.naver.com/articles/2648271909", "매물Link")</f>
        <v/>
      </c>
      <c r="M3070" s="6">
        <f>HYPERLINK("https://map.naver.com/p/search/세종특별자치시 부강면 부강리 758", "지도Link")</f>
        <v/>
      </c>
      <c r="N3070" s="6">
        <f>HYPERLINK("http://www.eum.go.kr/web/ar/lu/luLandDet.jsp?pnu=3611033021107580000&amp;isNoScr=script&amp;mode=search", "토지이음")</f>
        <v/>
      </c>
      <c r="O3070" s="3" t="inlineStr">
        <is>
          <t>세종제일1</t>
        </is>
      </c>
      <c r="P3070" s="3" t="n">
        <v>3</v>
      </c>
      <c r="Q3070" s="3" t="n">
        <v>631</v>
      </c>
      <c r="R3070" s="3" t="inlineStr">
        <is>
          <t>지정되지않음</t>
        </is>
      </c>
      <c r="S3070" s="3" t="inlineStr">
        <is>
          <t>전</t>
        </is>
      </c>
      <c r="T3070" s="3" t="inlineStr">
        <is>
          <t>완경사</t>
        </is>
      </c>
      <c r="U3070" s="3" t="inlineStr">
        <is>
          <t>부정형</t>
        </is>
      </c>
      <c r="V3070" s="3" t="inlineStr">
        <is>
          <t>세로한면(가)</t>
        </is>
      </c>
    </row>
    <row r="3071">
      <c r="A3071" s="3" t="inlineStr">
        <is>
          <t>세종특별자치시 부강면 부강리 825-4</t>
        </is>
      </c>
      <c r="B3071" s="3" t="inlineStr">
        <is>
          <t>생산녹지지역</t>
        </is>
      </c>
      <c r="C3071" s="3" t="inlineStr">
        <is>
          <t>전</t>
        </is>
      </c>
      <c r="D3071" s="3" t="inlineStr">
        <is>
          <t>전</t>
        </is>
      </c>
      <c r="E3071" s="3" t="inlineStr">
        <is>
          <t>매매</t>
        </is>
      </c>
      <c r="F3071" s="4" t="n">
        <v>45000</v>
      </c>
      <c r="G3071" s="4" t="n">
        <v>1337</v>
      </c>
      <c r="H3071" s="4" t="n">
        <v>404</v>
      </c>
      <c r="I3071" s="5" t="n">
        <v>111.4</v>
      </c>
      <c r="J3071" s="4" t="n">
        <v>30.9</v>
      </c>
      <c r="K3071" s="3" t="inlineStr">
        <is>
          <t>급매,가격협의가능, 대토 또는 투자로 추천</t>
        </is>
      </c>
      <c r="L3071" s="6">
        <f>HYPERLINK("https://fin.land.naver.com/articles/2646090614", "매물Link")</f>
        <v/>
      </c>
      <c r="M3071" s="6">
        <f>HYPERLINK("https://map.naver.com/p/search/세종특별자치시 부강면 부강리 825-4", "지도Link")</f>
        <v/>
      </c>
      <c r="N3071" s="6">
        <f>HYPERLINK("http://www.eum.go.kr/web/ar/lu/luLandDet.jsp?pnu=3611033021108250004&amp;isNoScr=script&amp;mode=search", "토지이음")</f>
        <v/>
      </c>
      <c r="O3071" s="3" t="inlineStr">
        <is>
          <t>담뜰</t>
        </is>
      </c>
      <c r="P3071" s="3" t="n">
        <v>1</v>
      </c>
      <c r="Q3071" s="3" t="n">
        <v>1337</v>
      </c>
      <c r="R3071" s="3" t="inlineStr">
        <is>
          <t>지정되지않음</t>
        </is>
      </c>
      <c r="S3071" s="3" t="inlineStr">
        <is>
          <t>답</t>
        </is>
      </c>
      <c r="T3071" s="3" t="inlineStr">
        <is>
          <t>평지</t>
        </is>
      </c>
      <c r="U3071" s="3" t="inlineStr">
        <is>
          <t>사다리형</t>
        </is>
      </c>
      <c r="V3071" s="3" t="inlineStr">
        <is>
          <t>맹지</t>
        </is>
      </c>
    </row>
    <row r="3072">
      <c r="A3072" s="3" t="inlineStr">
        <is>
          <t>세종특별자치시 부강면 부강리 885</t>
        </is>
      </c>
      <c r="B3072" s="3" t="inlineStr">
        <is>
          <t>생산녹지지역</t>
        </is>
      </c>
      <c r="C3072" s="3" t="inlineStr">
        <is>
          <t>답</t>
        </is>
      </c>
      <c r="D3072" s="3" t="inlineStr">
        <is>
          <t>답</t>
        </is>
      </c>
      <c r="E3072" s="3" t="inlineStr">
        <is>
          <t>매매</t>
        </is>
      </c>
      <c r="F3072" s="4" t="n">
        <v>279000</v>
      </c>
      <c r="G3072" s="4" t="n">
        <v>3075</v>
      </c>
      <c r="H3072" s="4" t="n">
        <v>930</v>
      </c>
      <c r="I3072" s="5" t="n">
        <v>300</v>
      </c>
      <c r="J3072" s="4" t="n">
        <v>34.4</v>
      </c>
      <c r="K3072" s="3" t="inlineStr">
        <is>
          <t>도시지역,2차선접,땅모양좋아요</t>
        </is>
      </c>
      <c r="L3072" s="6">
        <f>HYPERLINK("https://fin.land.naver.com/articles/2644050906", "매물Link")</f>
        <v/>
      </c>
      <c r="M3072" s="6">
        <f>HYPERLINK("https://map.naver.com/p/search/세종특별자치시 부강면 부강리 885", "지도Link")</f>
        <v/>
      </c>
      <c r="N3072" s="6">
        <f>HYPERLINK("http://www.eum.go.kr/web/ar/lu/luLandDet.jsp?pnu=3611033021108850000&amp;isNoScr=script&amp;mode=search", "토지이음")</f>
        <v/>
      </c>
      <c r="O3072" s="3" t="inlineStr">
        <is>
          <t>힐스테이트행복</t>
        </is>
      </c>
      <c r="P3072" s="3" t="n">
        <v>1</v>
      </c>
      <c r="Q3072" s="3" t="n">
        <v>833</v>
      </c>
      <c r="R3072" s="3" t="inlineStr">
        <is>
          <t>지정되지않음</t>
        </is>
      </c>
      <c r="S3072" s="3" t="inlineStr">
        <is>
          <t>답</t>
        </is>
      </c>
      <c r="T3072" s="3" t="inlineStr">
        <is>
          <t>평지</t>
        </is>
      </c>
      <c r="U3072" s="3" t="inlineStr">
        <is>
          <t>부정형</t>
        </is>
      </c>
      <c r="V3072" s="3" t="inlineStr">
        <is>
          <t>세로한면(불)</t>
        </is>
      </c>
    </row>
    <row r="3073">
      <c r="A3073" s="3" t="inlineStr">
        <is>
          <t>세종특별자치시 부강면 부강리 894</t>
        </is>
      </c>
      <c r="B3073" s="3" t="inlineStr">
        <is>
          <t>생산녹지지역</t>
        </is>
      </c>
      <c r="C3073" s="3" t="inlineStr">
        <is>
          <t>답</t>
        </is>
      </c>
      <c r="D3073" s="3" t="inlineStr">
        <is>
          <t>답</t>
        </is>
      </c>
      <c r="E3073" s="3" t="inlineStr">
        <is>
          <t>매매</t>
        </is>
      </c>
      <c r="F3073" s="4" t="n">
        <v>28000</v>
      </c>
      <c r="G3073" s="4" t="n">
        <v>733</v>
      </c>
      <c r="H3073" s="4" t="n">
        <v>222</v>
      </c>
      <c r="I3073" s="5" t="n">
        <v>126.1</v>
      </c>
      <c r="J3073" s="4" t="n">
        <v>40.9</v>
      </c>
      <c r="K3073" s="3" t="inlineStr">
        <is>
          <t>소액으로 투자할수있는 가격저렴한 작은토지로 최상</t>
        </is>
      </c>
      <c r="L3073" s="6">
        <f>HYPERLINK("https://fin.land.naver.com/articles/2650178056", "매물Link")</f>
        <v/>
      </c>
      <c r="M3073" s="6">
        <f>HYPERLINK("https://map.naver.com/p/search/세종특별자치시 부강면 부강리 894", "지도Link")</f>
        <v/>
      </c>
      <c r="N3073" s="6">
        <f>HYPERLINK("http://www.eum.go.kr/web/ar/lu/luLandDet.jsp?pnu=3611033021108940000&amp;isNoScr=script&amp;mode=search", "토지이음")</f>
        <v/>
      </c>
      <c r="O3073" s="3" t="inlineStr">
        <is>
          <t>연동스카이</t>
        </is>
      </c>
      <c r="P3073" s="3" t="n">
        <v>1</v>
      </c>
      <c r="Q3073" s="3" t="n">
        <v>735</v>
      </c>
      <c r="R3073" s="3" t="inlineStr">
        <is>
          <t>지정되지않음</t>
        </is>
      </c>
      <c r="S3073" s="3" t="inlineStr">
        <is>
          <t>답</t>
        </is>
      </c>
      <c r="T3073" s="3" t="inlineStr">
        <is>
          <t>평지</t>
        </is>
      </c>
      <c r="U3073" s="3" t="inlineStr">
        <is>
          <t>가로장방</t>
        </is>
      </c>
      <c r="V3073" s="3" t="inlineStr">
        <is>
          <t>세로한면(불)</t>
        </is>
      </c>
    </row>
    <row r="3074">
      <c r="A3074" s="3" t="inlineStr">
        <is>
          <t>세종특별자치시 부강면 부강리 933-7</t>
        </is>
      </c>
      <c r="B3074" s="3" t="inlineStr">
        <is>
          <t>생산녹지지역</t>
        </is>
      </c>
      <c r="C3074" s="3" t="inlineStr">
        <is>
          <t>답</t>
        </is>
      </c>
      <c r="D3074" s="3" t="inlineStr">
        <is>
          <t>답</t>
        </is>
      </c>
      <c r="E3074" s="3" t="inlineStr">
        <is>
          <t>매매</t>
        </is>
      </c>
      <c r="F3074" s="4" t="n">
        <v>85000</v>
      </c>
      <c r="G3074" s="4" t="n">
        <v>697</v>
      </c>
      <c r="H3074" s="4" t="n">
        <v>211</v>
      </c>
      <c r="I3074" s="5" t="n">
        <v>402.8</v>
      </c>
      <c r="J3074" s="4" t="n">
        <v>53.1</v>
      </c>
      <c r="K3074" s="3" t="inlineStr">
        <is>
          <t>nan</t>
        </is>
      </c>
      <c r="L3074" s="6">
        <f>HYPERLINK("https://fin.land.naver.com/articles/2649292999", "매물Link")</f>
        <v/>
      </c>
      <c r="M3074" s="6">
        <f>HYPERLINK("https://map.naver.com/p/search/세종특별자치시 부강면 부강리 933-7", "지도Link")</f>
        <v/>
      </c>
      <c r="N3074" s="6">
        <f>HYPERLINK("http://www.eum.go.kr/web/ar/lu/luLandDet.jsp?pnu=3611033021109330007&amp;isNoScr=script&amp;mode=search", "토지이음")</f>
        <v/>
      </c>
      <c r="O3074" s="3" t="inlineStr">
        <is>
          <t>해밀마을공간</t>
        </is>
      </c>
      <c r="P3074" s="3" t="n">
        <v>1</v>
      </c>
      <c r="Q3074" s="3" t="n">
        <v>696</v>
      </c>
      <c r="R3074" s="3" t="inlineStr">
        <is>
          <t>지정되지않음</t>
        </is>
      </c>
      <c r="S3074" s="3" t="inlineStr">
        <is>
          <t>답</t>
        </is>
      </c>
      <c r="T3074" s="3" t="inlineStr">
        <is>
          <t>평지</t>
        </is>
      </c>
      <c r="U3074" s="3" t="inlineStr">
        <is>
          <t>사다리형</t>
        </is>
      </c>
      <c r="V3074" s="3" t="inlineStr">
        <is>
          <t>중로한면</t>
        </is>
      </c>
    </row>
    <row r="3075">
      <c r="A3075" s="3" t="inlineStr">
        <is>
          <t>세종특별자치시 부강면 부강리 951</t>
        </is>
      </c>
      <c r="B3075" s="3" t="inlineStr">
        <is>
          <t>제2종일반주거지역</t>
        </is>
      </c>
      <c r="C3075" s="3" t="inlineStr">
        <is>
          <t>답</t>
        </is>
      </c>
      <c r="D3075" s="3" t="inlineStr">
        <is>
          <t>답</t>
        </is>
      </c>
      <c r="E3075" s="3" t="inlineStr">
        <is>
          <t>매매</t>
        </is>
      </c>
      <c r="F3075" s="4" t="n">
        <v>35000</v>
      </c>
      <c r="G3075" s="4" t="n">
        <v>288</v>
      </c>
      <c r="H3075" s="4" t="n">
        <v>87</v>
      </c>
      <c r="I3075" s="5" t="n">
        <v>402.3</v>
      </c>
      <c r="J3075" s="4" t="n">
        <v>172.3</v>
      </c>
      <c r="K3075" s="3" t="inlineStr">
        <is>
          <t>급매, 절충가능한 다가구 주택 부지로 적합한 제2종일반주거지역의 토지</t>
        </is>
      </c>
      <c r="L3075" s="6">
        <f>HYPERLINK("https://fin.land.naver.com/articles/2647476137", "매물Link")</f>
        <v/>
      </c>
      <c r="M3075" s="6">
        <f>HYPERLINK("https://map.naver.com/p/search/세종특별자치시 부강면 부강리 951", "지도Link")</f>
        <v/>
      </c>
      <c r="N3075" s="6">
        <f>HYPERLINK("http://www.eum.go.kr/web/ar/lu/luLandDet.jsp?pnu=3611033021109510000&amp;isNoScr=script&amp;mode=search", "토지이음")</f>
        <v/>
      </c>
      <c r="O3075" s="3" t="inlineStr">
        <is>
          <t>스마일세종</t>
        </is>
      </c>
      <c r="P3075" s="3" t="n">
        <v>1</v>
      </c>
      <c r="Q3075" s="3" t="n">
        <v>288</v>
      </c>
      <c r="R3075" s="3" t="inlineStr">
        <is>
          <t>지정되지않음</t>
        </is>
      </c>
      <c r="S3075" s="3" t="inlineStr">
        <is>
          <t>주거나지</t>
        </is>
      </c>
      <c r="T3075" s="3" t="inlineStr">
        <is>
          <t>평지</t>
        </is>
      </c>
      <c r="U3075" s="3" t="inlineStr">
        <is>
          <t>부정형</t>
        </is>
      </c>
      <c r="V3075" s="3" t="inlineStr">
        <is>
          <t>세로한면(가)</t>
        </is>
      </c>
    </row>
    <row r="3076">
      <c r="A3076" s="3" t="inlineStr">
        <is>
          <t>세종특별자치시 부강면 부강리 955-1</t>
        </is>
      </c>
      <c r="B3076" s="3" t="inlineStr">
        <is>
          <t>생산녹지지역</t>
        </is>
      </c>
      <c r="C3076" s="3" t="inlineStr">
        <is>
          <t>답</t>
        </is>
      </c>
      <c r="D3076" s="3" t="inlineStr">
        <is>
          <t>답</t>
        </is>
      </c>
      <c r="E3076" s="3" t="inlineStr">
        <is>
          <t>매매</t>
        </is>
      </c>
      <c r="F3076" s="4" t="n">
        <v>85000</v>
      </c>
      <c r="G3076" s="4" t="n">
        <v>1002</v>
      </c>
      <c r="H3076" s="4" t="n">
        <v>303</v>
      </c>
      <c r="I3076" s="5" t="n">
        <v>280.5</v>
      </c>
      <c r="J3076" s="4" t="n">
        <v>50.6</v>
      </c>
      <c r="K3076" s="3" t="inlineStr">
        <is>
          <t>nan</t>
        </is>
      </c>
      <c r="L3076" s="6">
        <f>HYPERLINK("https://fin.land.naver.com/articles/2650177835", "매물Link")</f>
        <v/>
      </c>
      <c r="M3076" s="6">
        <f>HYPERLINK("https://map.naver.com/p/search/세종특별자치시 부강면 부강리 955-1", "지도Link")</f>
        <v/>
      </c>
      <c r="N3076" s="6">
        <f>HYPERLINK("http://www.eum.go.kr/web/ar/lu/luLandDet.jsp?pnu=3611033021109550001&amp;isNoScr=script&amp;mode=search", "토지이음")</f>
        <v/>
      </c>
      <c r="O3076" s="3" t="inlineStr">
        <is>
          <t>연동스카이</t>
        </is>
      </c>
      <c r="P3076" s="3" t="n">
        <v>1</v>
      </c>
      <c r="Q3076" s="3" t="n">
        <v>1002</v>
      </c>
      <c r="R3076" s="3" t="inlineStr">
        <is>
          <t>지정되지않음</t>
        </is>
      </c>
      <c r="S3076" s="3" t="inlineStr">
        <is>
          <t>답</t>
        </is>
      </c>
      <c r="T3076" s="3" t="inlineStr">
        <is>
          <t>평지</t>
        </is>
      </c>
      <c r="U3076" s="3" t="inlineStr">
        <is>
          <t>부정형</t>
        </is>
      </c>
      <c r="V3076" s="3" t="inlineStr">
        <is>
          <t>중로한면</t>
        </is>
      </c>
    </row>
    <row r="3077">
      <c r="A3077" s="3" t="inlineStr">
        <is>
          <t>세종특별자치시 부강면 부강리 961-1</t>
        </is>
      </c>
      <c r="B3077" s="3" t="inlineStr">
        <is>
          <t>제2종일반주거지역</t>
        </is>
      </c>
      <c r="C3077" s="3" t="inlineStr">
        <is>
          <t>전</t>
        </is>
      </c>
      <c r="D3077" s="3" t="inlineStr">
        <is>
          <t>전</t>
        </is>
      </c>
      <c r="E3077" s="3" t="inlineStr">
        <is>
          <t>매매</t>
        </is>
      </c>
      <c r="F3077" s="4" t="n">
        <v>200000</v>
      </c>
      <c r="G3077" s="4" t="n">
        <v>1220</v>
      </c>
      <c r="H3077" s="4" t="n">
        <v>369</v>
      </c>
      <c r="I3077" s="5" t="n">
        <v>542</v>
      </c>
      <c r="J3077" s="4" t="n">
        <v>172.3</v>
      </c>
      <c r="K3077" s="3" t="inlineStr">
        <is>
          <t>부강리 제2종일반주거지역으로 다가구 주택을 지으면 수익율 좋은 토지입니다</t>
        </is>
      </c>
      <c r="L3077" s="6">
        <f>HYPERLINK("https://fin.land.naver.com/articles/2646322612", "매물Link")</f>
        <v/>
      </c>
      <c r="M3077" s="6">
        <f>HYPERLINK("https://map.naver.com/p/search/세종특별자치시 부강면 부강리 961-1", "지도Link")</f>
        <v/>
      </c>
      <c r="N3077" s="6">
        <f>HYPERLINK("http://www.eum.go.kr/web/ar/lu/luLandDet.jsp?pnu=3611033021109610001&amp;isNoScr=script&amp;mode=search", "토지이음")</f>
        <v/>
      </c>
      <c r="O3077" s="3" t="inlineStr">
        <is>
          <t>스마일세종</t>
        </is>
      </c>
      <c r="P3077" s="3" t="n">
        <v>1</v>
      </c>
      <c r="Q3077" s="3" t="n">
        <v>1049</v>
      </c>
      <c r="R3077" s="3" t="inlineStr">
        <is>
          <t>지정되지않음</t>
        </is>
      </c>
      <c r="S3077" s="3" t="inlineStr">
        <is>
          <t>주거나지</t>
        </is>
      </c>
      <c r="T3077" s="3" t="inlineStr">
        <is>
          <t>평지</t>
        </is>
      </c>
      <c r="U3077" s="3" t="inlineStr">
        <is>
          <t>부정형</t>
        </is>
      </c>
      <c r="V3077" s="3" t="inlineStr">
        <is>
          <t>세로한면(가)</t>
        </is>
      </c>
    </row>
    <row r="3078">
      <c r="A3078" s="3" t="inlineStr">
        <is>
          <t>세종특별자치시 부강면 부강리 967-4</t>
        </is>
      </c>
      <c r="B3078" s="3" t="inlineStr">
        <is>
          <t>제2종일반주거지역</t>
        </is>
      </c>
      <c r="C3078" s="3" t="inlineStr">
        <is>
          <t>답</t>
        </is>
      </c>
      <c r="D3078" s="3" t="inlineStr">
        <is>
          <t>답</t>
        </is>
      </c>
      <c r="E3078" s="3" t="inlineStr">
        <is>
          <t>매매</t>
        </is>
      </c>
      <c r="F3078" s="4" t="n">
        <v>120000</v>
      </c>
      <c r="G3078" s="4" t="n">
        <v>990</v>
      </c>
      <c r="H3078" s="4" t="n">
        <v>299</v>
      </c>
      <c r="I3078" s="5" t="n">
        <v>401.3</v>
      </c>
      <c r="J3078" s="4" t="n">
        <v>179.6</v>
      </c>
      <c r="K3078" s="3" t="inlineStr">
        <is>
          <t>nan</t>
        </is>
      </c>
      <c r="L3078" s="6">
        <f>HYPERLINK("https://fin.land.naver.com/articles/2647515151", "매물Link")</f>
        <v/>
      </c>
      <c r="M3078" s="6">
        <f>HYPERLINK("https://map.naver.com/p/search/세종특별자치시 부강면 부강리 967-4", "지도Link")</f>
        <v/>
      </c>
      <c r="N3078" s="6">
        <f>HYPERLINK("http://www.eum.go.kr/web/ar/lu/luLandDet.jsp?pnu=3611033021109670004&amp;isNoScr=script&amp;mode=search", "토지이음")</f>
        <v/>
      </c>
      <c r="O3078" s="3" t="inlineStr">
        <is>
          <t>안성대로</t>
        </is>
      </c>
      <c r="P3078" s="3" t="n">
        <v>1</v>
      </c>
      <c r="Q3078" s="3" t="n">
        <v>990</v>
      </c>
      <c r="R3078" s="3" t="inlineStr">
        <is>
          <t>지정되지않음</t>
        </is>
      </c>
      <c r="S3078" s="3" t="inlineStr">
        <is>
          <t>주거나지</t>
        </is>
      </c>
      <c r="T3078" s="3" t="inlineStr">
        <is>
          <t>평지</t>
        </is>
      </c>
      <c r="U3078" s="3" t="inlineStr">
        <is>
          <t>사다리형</t>
        </is>
      </c>
      <c r="V3078" s="3" t="inlineStr">
        <is>
          <t>세로한면(가)</t>
        </is>
      </c>
    </row>
    <row r="3079">
      <c r="A3079" s="3" t="inlineStr">
        <is>
          <t>세종특별자치시 부강면 부강리 973-26</t>
        </is>
      </c>
      <c r="B3079" s="3" t="inlineStr">
        <is>
          <t>제2종일반주거지역</t>
        </is>
      </c>
      <c r="C3079" s="3" t="inlineStr">
        <is>
          <t>답</t>
        </is>
      </c>
      <c r="D3079" s="3" t="inlineStr">
        <is>
          <t>답</t>
        </is>
      </c>
      <c r="E3079" s="3" t="inlineStr">
        <is>
          <t>매매</t>
        </is>
      </c>
      <c r="F3079" s="4" t="n">
        <v>40000</v>
      </c>
      <c r="G3079" s="4" t="n">
        <v>331</v>
      </c>
      <c r="H3079" s="4" t="n">
        <v>100</v>
      </c>
      <c r="I3079" s="5" t="n">
        <v>400</v>
      </c>
      <c r="J3079" s="4" t="n">
        <v>179.6</v>
      </c>
      <c r="K3079" s="3" t="inlineStr">
        <is>
          <t>8미터 계획도로접한 2종일반주거 다가구,상가 건축가능 오배수연결완료됨</t>
        </is>
      </c>
      <c r="L3079" s="6">
        <f>HYPERLINK("https://fin.land.naver.com/articles/2646745570", "매물Link")</f>
        <v/>
      </c>
      <c r="M3079" s="6">
        <f>HYPERLINK("https://map.naver.com/p/search/세종특별자치시 부강면 부강리 973-26", "지도Link")</f>
        <v/>
      </c>
      <c r="N3079" s="6">
        <f>HYPERLINK("http://www.eum.go.kr/web/ar/lu/luLandDet.jsp?pnu=3611033021109730026&amp;isNoScr=script&amp;mode=search", "토지이음")</f>
        <v/>
      </c>
      <c r="O3079" s="3" t="inlineStr">
        <is>
          <t>향기나는방</t>
        </is>
      </c>
      <c r="P3079" s="3" t="n">
        <v>1</v>
      </c>
      <c r="Q3079" s="3" t="n">
        <v>311</v>
      </c>
      <c r="R3079" s="3" t="inlineStr">
        <is>
          <t>지정되지않음</t>
        </is>
      </c>
      <c r="S3079" s="3" t="inlineStr">
        <is>
          <t>주거나지</t>
        </is>
      </c>
      <c r="T3079" s="3" t="inlineStr">
        <is>
          <t>평지</t>
        </is>
      </c>
      <c r="U3079" s="3" t="inlineStr">
        <is>
          <t>사다리형</t>
        </is>
      </c>
      <c r="V3079" s="3" t="inlineStr">
        <is>
          <t>세로한면(가)</t>
        </is>
      </c>
    </row>
    <row r="3080">
      <c r="A3080" s="3" t="inlineStr">
        <is>
          <t>세종특별자치시 부강면 부강리 973-3</t>
        </is>
      </c>
      <c r="B3080" s="3" t="inlineStr">
        <is>
          <t>제2종일반주거지역</t>
        </is>
      </c>
      <c r="C3080" s="3" t="inlineStr">
        <is>
          <t>답</t>
        </is>
      </c>
      <c r="D3080" s="3" t="inlineStr">
        <is>
          <t>답</t>
        </is>
      </c>
      <c r="E3080" s="3" t="inlineStr">
        <is>
          <t>매매</t>
        </is>
      </c>
      <c r="F3080" s="4" t="n">
        <v>35000</v>
      </c>
      <c r="G3080" s="4" t="n">
        <v>263</v>
      </c>
      <c r="H3080" s="4" t="n">
        <v>80</v>
      </c>
      <c r="I3080" s="5" t="n">
        <v>437.5</v>
      </c>
      <c r="J3080" s="4" t="n">
        <v>179.6</v>
      </c>
      <c r="K3080" s="3" t="inlineStr">
        <is>
          <t>8미터 계획도로접한 2종일반주거 다가구,상가 건축가능 오배수연결완료됨</t>
        </is>
      </c>
      <c r="L3080" s="6">
        <f>HYPERLINK("https://fin.land.naver.com/articles/2646745166", "매물Link")</f>
        <v/>
      </c>
      <c r="M3080" s="6">
        <f>HYPERLINK("https://map.naver.com/p/search/세종특별자치시 부강면 부강리 973-3", "지도Link")</f>
        <v/>
      </c>
      <c r="N3080" s="6">
        <f>HYPERLINK("http://www.eum.go.kr/web/ar/lu/luLandDet.jsp?pnu=3611033021109730003&amp;isNoScr=script&amp;mode=search", "토지이음")</f>
        <v/>
      </c>
      <c r="O3080" s="3" t="inlineStr">
        <is>
          <t>향기나는방</t>
        </is>
      </c>
      <c r="P3080" s="3" t="n">
        <v>1</v>
      </c>
      <c r="Q3080" s="3" t="n">
        <v>263</v>
      </c>
      <c r="R3080" s="3" t="inlineStr">
        <is>
          <t>지정되지않음</t>
        </is>
      </c>
      <c r="S3080" s="3" t="inlineStr">
        <is>
          <t>주거나지</t>
        </is>
      </c>
      <c r="T3080" s="3" t="inlineStr">
        <is>
          <t>평지</t>
        </is>
      </c>
      <c r="U3080" s="3" t="inlineStr">
        <is>
          <t>사다리형</t>
        </is>
      </c>
      <c r="V3080" s="3" t="inlineStr">
        <is>
          <t>세로한면(가)</t>
        </is>
      </c>
    </row>
    <row r="3081">
      <c r="A3081" s="3" t="inlineStr">
        <is>
          <t>세종특별자치시 부강면 산수리 128</t>
        </is>
      </c>
      <c r="B3081" s="3" t="inlineStr">
        <is>
          <t>계획관리지역</t>
        </is>
      </c>
      <c r="C3081" s="3" t="inlineStr">
        <is>
          <t>대</t>
        </is>
      </c>
      <c r="D3081" s="3" t="inlineStr">
        <is>
          <t>대</t>
        </is>
      </c>
      <c r="E3081" s="3" t="inlineStr">
        <is>
          <t>매매</t>
        </is>
      </c>
      <c r="F3081" s="4" t="n">
        <v>42500</v>
      </c>
      <c r="G3081" s="4" t="n">
        <v>934</v>
      </c>
      <c r="H3081" s="4" t="n">
        <v>283</v>
      </c>
      <c r="I3081" s="5" t="n">
        <v>150.2</v>
      </c>
      <c r="J3081" s="4" t="n">
        <v>53.5</v>
      </c>
      <c r="K3081" s="3" t="inlineStr">
        <is>
          <t>계획관리 대지 전원주택용 투자처로 추천</t>
        </is>
      </c>
      <c r="L3081" s="6">
        <f>HYPERLINK("https://fin.land.naver.com/articles/2647087633", "매물Link")</f>
        <v/>
      </c>
      <c r="M3081" s="6">
        <f>HYPERLINK("https://map.naver.com/p/search/세종특별자치시 부강면 산수리 128", "지도Link")</f>
        <v/>
      </c>
      <c r="N3081" s="6">
        <f>HYPERLINK("http://www.eum.go.kr/web/ar/lu/luLandDet.jsp?pnu=3611033023101280000&amp;isNoScr=script&amp;mode=search", "토지이음")</f>
        <v/>
      </c>
      <c r="O3081" s="3" t="inlineStr">
        <is>
          <t>뉴엘리트탑</t>
        </is>
      </c>
      <c r="P3081" s="3" t="n">
        <v>1</v>
      </c>
      <c r="Q3081" s="3" t="n">
        <v>934</v>
      </c>
      <c r="R3081" s="3" t="inlineStr">
        <is>
          <t>지정되지않음</t>
        </is>
      </c>
      <c r="S3081" s="3" t="inlineStr">
        <is>
          <t>단독</t>
        </is>
      </c>
      <c r="T3081" s="3" t="inlineStr">
        <is>
          <t>평지</t>
        </is>
      </c>
      <c r="U3081" s="3" t="inlineStr">
        <is>
          <t>부정형</t>
        </is>
      </c>
      <c r="V3081" s="3" t="inlineStr">
        <is>
          <t>세로한면(가)</t>
        </is>
      </c>
    </row>
    <row r="3082">
      <c r="A3082" s="3" t="inlineStr">
        <is>
          <t>세종특별자치시 부강면 산수리 207</t>
        </is>
      </c>
      <c r="B3082" s="3" t="inlineStr">
        <is>
          <t>계획관리지역</t>
        </is>
      </c>
      <c r="C3082" s="3" t="inlineStr">
        <is>
          <t>전</t>
        </is>
      </c>
      <c r="D3082" s="3" t="inlineStr">
        <is>
          <t>전</t>
        </is>
      </c>
      <c r="E3082" s="3" t="inlineStr">
        <is>
          <t>매매</t>
        </is>
      </c>
      <c r="F3082" s="4" t="n">
        <v>38000</v>
      </c>
      <c r="G3082" s="4" t="n">
        <v>943</v>
      </c>
      <c r="H3082" s="4" t="n">
        <v>285</v>
      </c>
      <c r="I3082" s="5" t="n">
        <v>133.3</v>
      </c>
      <c r="J3082" s="4" t="n">
        <v>32.8</v>
      </c>
      <c r="K3082" s="3" t="inlineStr">
        <is>
          <t>계획관리 투자 또는 전원생활 최적지로 강력 추천</t>
        </is>
      </c>
      <c r="L3082" s="6">
        <f>HYPERLINK("https://fin.land.naver.com/articles/2648544454", "매물Link")</f>
        <v/>
      </c>
      <c r="M3082" s="6">
        <f>HYPERLINK("https://map.naver.com/p/search/세종특별자치시 부강면 산수리 207", "지도Link")</f>
        <v/>
      </c>
      <c r="N3082" s="6">
        <f>HYPERLINK("http://www.eum.go.kr/web/ar/lu/luLandDet.jsp?pnu=3611033023102070000&amp;isNoScr=script&amp;mode=search", "토지이음")</f>
        <v/>
      </c>
      <c r="O3082" s="3" t="inlineStr">
        <is>
          <t>뉴엘리트탑</t>
        </is>
      </c>
      <c r="P3082" s="3" t="n">
        <v>1</v>
      </c>
      <c r="Q3082" s="3" t="n">
        <v>943</v>
      </c>
      <c r="R3082" s="3" t="inlineStr">
        <is>
          <t>지정되지않음</t>
        </is>
      </c>
      <c r="S3082" s="3" t="inlineStr">
        <is>
          <t>답</t>
        </is>
      </c>
      <c r="T3082" s="3" t="inlineStr">
        <is>
          <t>평지</t>
        </is>
      </c>
      <c r="U3082" s="3" t="inlineStr">
        <is>
          <t>부정형</t>
        </is>
      </c>
      <c r="V3082" s="3" t="inlineStr">
        <is>
          <t>세로각지(불)</t>
        </is>
      </c>
    </row>
    <row r="3083">
      <c r="A3083" s="3" t="inlineStr">
        <is>
          <t>세종특별자치시 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HYPERLINK("https://map.naver.com/p/search/세종특별자치시 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세종특별자치시 부강면 산수리 243</t>
        </is>
      </c>
      <c r="B3084" s="3" t="inlineStr">
        <is>
          <t>계획관리지역</t>
        </is>
      </c>
      <c r="C3084" s="3" t="inlineStr">
        <is>
          <t>대</t>
        </is>
      </c>
      <c r="D3084" s="3" t="inlineStr">
        <is>
          <t>대</t>
        </is>
      </c>
      <c r="E3084" s="3" t="inlineStr">
        <is>
          <t>매매</t>
        </is>
      </c>
      <c r="F3084" s="4" t="n">
        <v>100000</v>
      </c>
      <c r="G3084" s="4" t="n">
        <v>5421</v>
      </c>
      <c r="H3084" s="4" t="n">
        <v>1640</v>
      </c>
      <c r="I3084" s="5" t="n">
        <v>61</v>
      </c>
      <c r="J3084" s="4" t="n">
        <v>64.59999999999999</v>
      </c>
      <c r="K3084" s="3" t="inlineStr">
        <is>
          <t>주택허가축사경작지 일괄, 축산승계귀농농장 추천</t>
        </is>
      </c>
      <c r="L3084" s="6">
        <f>HYPERLINK("https://fin.land.naver.com/articles/2649836388", "매물Link")</f>
        <v/>
      </c>
      <c r="M3084" s="6">
        <f>HYPERLINK("https://map.naver.com/p/search/세종특별자치시 부강면 산수리 243", "지도Link")</f>
        <v/>
      </c>
      <c r="N3084" s="6">
        <f>HYPERLINK("http://www.eum.go.kr/web/ar/lu/luLandDet.jsp?pnu=3611033023102430000&amp;isNoScr=script&amp;mode=search", "토지이음")</f>
        <v/>
      </c>
      <c r="O3084" s="3" t="inlineStr">
        <is>
          <t>세종소담황금</t>
        </is>
      </c>
      <c r="P3084" s="3" t="n">
        <v>1</v>
      </c>
      <c r="Q3084" s="3" t="n">
        <v>660</v>
      </c>
      <c r="R3084" s="3" t="inlineStr">
        <is>
          <t>지정되지않음</t>
        </is>
      </c>
      <c r="S3084" s="3" t="inlineStr">
        <is>
          <t>단독</t>
        </is>
      </c>
      <c r="T3084" s="3" t="inlineStr">
        <is>
          <t>평지</t>
        </is>
      </c>
      <c r="U3084" s="3" t="inlineStr">
        <is>
          <t>가로장방</t>
        </is>
      </c>
      <c r="V3084" s="3" t="inlineStr">
        <is>
          <t>세로한면(가)</t>
        </is>
      </c>
    </row>
    <row r="3085">
      <c r="A3085" s="3" t="inlineStr">
        <is>
          <t>세종특별자치시 부강면 산수리 243-2</t>
        </is>
      </c>
      <c r="B3085" s="3" t="inlineStr">
        <is>
          <t>계획관리지역</t>
        </is>
      </c>
      <c r="C3085" s="3" t="inlineStr">
        <is>
          <t>목장용지</t>
        </is>
      </c>
      <c r="D3085" s="3" t="inlineStr">
        <is>
          <t>목장용지</t>
        </is>
      </c>
      <c r="E3085" s="3" t="inlineStr">
        <is>
          <t>매매</t>
        </is>
      </c>
      <c r="F3085" s="4" t="n">
        <v>147600</v>
      </c>
      <c r="G3085" s="4" t="n">
        <v>5421</v>
      </c>
      <c r="H3085" s="4" t="n">
        <v>1640</v>
      </c>
      <c r="I3085" s="5" t="n">
        <v>90</v>
      </c>
      <c r="J3085" s="4" t="n">
        <v>33.6</v>
      </c>
      <c r="K3085" s="3" t="inlineStr">
        <is>
          <t>투자유망 세종관내 목장, 주택등 매매</t>
        </is>
      </c>
      <c r="L3085" s="6">
        <f>HYPERLINK("https://fin.land.naver.com/articles/2648634114", "매물Link")</f>
        <v/>
      </c>
      <c r="M3085" s="6">
        <f>HYPERLINK("https://map.naver.com/p/search/세종특별자치시 부강면 산수리 243-2", "지도Link")</f>
        <v/>
      </c>
      <c r="N3085" s="6">
        <f>HYPERLINK("http://www.eum.go.kr/web/ar/lu/luLandDet.jsp?pnu=3611033023102430002&amp;isNoScr=script&amp;mode=search", "토지이음")</f>
        <v/>
      </c>
      <c r="O3085" s="3" t="inlineStr">
        <is>
          <t>대하</t>
        </is>
      </c>
      <c r="P3085" s="3" t="n">
        <v>1</v>
      </c>
      <c r="Q3085" s="3" t="n">
        <v>2503</v>
      </c>
      <c r="R3085" s="3" t="inlineStr">
        <is>
          <t>지정되지않음</t>
        </is>
      </c>
      <c r="S3085" s="3" t="inlineStr">
        <is>
          <t>전축사</t>
        </is>
      </c>
      <c r="T3085" s="3" t="inlineStr">
        <is>
          <t>평지</t>
        </is>
      </c>
      <c r="U3085" s="3" t="inlineStr">
        <is>
          <t>부정형</t>
        </is>
      </c>
      <c r="V3085" s="3" t="inlineStr">
        <is>
          <t>세로한면(가)</t>
        </is>
      </c>
    </row>
    <row r="3086">
      <c r="A3086" s="3" t="inlineStr">
        <is>
          <t>세종특별자치시 부강면 산수리 35-7</t>
        </is>
      </c>
      <c r="B3086" s="3" t="inlineStr">
        <is>
          <t>농림지역</t>
        </is>
      </c>
      <c r="C3086" s="3" t="inlineStr">
        <is>
          <t>창고용지</t>
        </is>
      </c>
      <c r="D3086" s="3" t="inlineStr">
        <is>
          <t>창고용지</t>
        </is>
      </c>
      <c r="E3086" s="3" t="inlineStr">
        <is>
          <t>매매</t>
        </is>
      </c>
      <c r="F3086" s="4" t="n">
        <v>56000</v>
      </c>
      <c r="G3086" s="4" t="n">
        <v>1237</v>
      </c>
      <c r="H3086" s="4" t="n">
        <v>374</v>
      </c>
      <c r="I3086" s="5" t="n">
        <v>149.7</v>
      </c>
      <c r="J3086" s="4" t="n">
        <v>24.3</v>
      </c>
      <c r="K3086" s="3" t="inlineStr">
        <is>
          <t>농림지역, 현 창고 ,산수삼거리 인접, 창고, 편의점, 소매, 고물상추천</t>
        </is>
      </c>
      <c r="L3086" s="6">
        <f>HYPERLINK("https://fin.land.naver.com/articles/2643998878", "매물Link")</f>
        <v/>
      </c>
      <c r="M3086" s="6">
        <f>HYPERLINK("https://map.naver.com/p/search/세종특별자치시 부강면 산수리 35-7", "지도Link")</f>
        <v/>
      </c>
      <c r="N3086" s="6">
        <f>HYPERLINK("http://www.eum.go.kr/web/ar/lu/luLandDet.jsp?pnu=3611033023100350007&amp;isNoScr=script&amp;mode=search", "토지이음")</f>
        <v/>
      </c>
      <c r="O3086" s="3" t="inlineStr">
        <is>
          <t>청주모충사모1/2LH트릴로채명성</t>
        </is>
      </c>
      <c r="P3086" s="3" t="n">
        <v>1</v>
      </c>
      <c r="Q3086" s="3" t="n">
        <v>1237</v>
      </c>
      <c r="R3086" s="3" t="inlineStr">
        <is>
          <t>지정되지않음</t>
        </is>
      </c>
      <c r="S3086" s="3" t="inlineStr">
        <is>
          <t>전창고</t>
        </is>
      </c>
      <c r="T3086" s="3" t="inlineStr">
        <is>
          <t>평지</t>
        </is>
      </c>
      <c r="U3086" s="3" t="inlineStr">
        <is>
          <t>사다리형</t>
        </is>
      </c>
      <c r="V3086" s="3" t="inlineStr">
        <is>
          <t>소로한면</t>
        </is>
      </c>
    </row>
    <row r="3087">
      <c r="A3087" s="3" t="inlineStr">
        <is>
          <t>세종특별자치시 부강면 산수리 366</t>
        </is>
      </c>
      <c r="B3087" s="3" t="inlineStr">
        <is>
          <t>농림지역</t>
        </is>
      </c>
      <c r="C3087" s="3" t="inlineStr">
        <is>
          <t>답</t>
        </is>
      </c>
      <c r="D3087" s="3" t="inlineStr">
        <is>
          <t>답</t>
        </is>
      </c>
      <c r="E3087" s="3" t="inlineStr">
        <is>
          <t>매매</t>
        </is>
      </c>
      <c r="F3087" s="4" t="n">
        <v>40000</v>
      </c>
      <c r="G3087" s="4" t="n">
        <v>3719</v>
      </c>
      <c r="H3087" s="4" t="n">
        <v>1125</v>
      </c>
      <c r="I3087" s="5" t="n">
        <v>35.6</v>
      </c>
      <c r="J3087" s="4" t="n">
        <v>17.6</v>
      </c>
      <c r="K3087" s="3" t="inlineStr">
        <is>
          <t>nan</t>
        </is>
      </c>
      <c r="L3087" s="6">
        <f>HYPERLINK("https://fin.land.naver.com/articles/2649606859", "매물Link")</f>
        <v/>
      </c>
      <c r="M3087" s="6">
        <f>HYPERLINK("https://map.naver.com/p/search/세종특별자치시 부강면 산수리 366", "지도Link")</f>
        <v/>
      </c>
      <c r="N3087" s="6">
        <f>HYPERLINK("http://www.eum.go.kr/web/ar/lu/luLandDet.jsp?pnu=3611033023103660000&amp;isNoScr=script&amp;mode=search", "토지이음")</f>
        <v/>
      </c>
      <c r="O3087" s="3" t="inlineStr">
        <is>
          <t>행복가득한</t>
        </is>
      </c>
      <c r="P3087" s="3" t="n">
        <v>1</v>
      </c>
      <c r="Q3087" s="3" t="n">
        <v>3719.7</v>
      </c>
      <c r="R3087" s="3" t="inlineStr">
        <is>
          <t>지정되지않음</t>
        </is>
      </c>
      <c r="S3087" s="3" t="inlineStr">
        <is>
          <t>답</t>
        </is>
      </c>
      <c r="T3087" s="3" t="inlineStr">
        <is>
          <t>평지</t>
        </is>
      </c>
      <c r="U3087" s="3" t="inlineStr">
        <is>
          <t>세로장방</t>
        </is>
      </c>
      <c r="V3087" s="3" t="inlineStr">
        <is>
          <t>세로한면(불)</t>
        </is>
      </c>
    </row>
    <row r="3088">
      <c r="A3088" s="3" t="inlineStr">
        <is>
          <t>세종특별자치시 부강면 산수리 397</t>
        </is>
      </c>
      <c r="B3088" s="3" t="inlineStr">
        <is>
          <t>농림지역</t>
        </is>
      </c>
      <c r="C3088" s="3" t="inlineStr">
        <is>
          <t>답</t>
        </is>
      </c>
      <c r="D3088" s="3" t="inlineStr">
        <is>
          <t>답</t>
        </is>
      </c>
      <c r="E3088" s="3" t="inlineStr">
        <is>
          <t>매매</t>
        </is>
      </c>
      <c r="F3088" s="4" t="n">
        <v>31000</v>
      </c>
      <c r="G3088" s="4" t="n">
        <v>3650</v>
      </c>
      <c r="H3088" s="4" t="n">
        <v>1104</v>
      </c>
      <c r="I3088" s="5" t="n">
        <v>28.1</v>
      </c>
      <c r="J3088" s="4" t="n">
        <v>18</v>
      </c>
      <c r="K3088" s="3" t="inlineStr">
        <is>
          <t>농지 급매  세종시 농지 매도합니다. 대토 추천</t>
        </is>
      </c>
      <c r="L3088" s="6">
        <f>HYPERLINK("https://fin.land.naver.com/articles/2649906361", "매물Link")</f>
        <v/>
      </c>
      <c r="M3088" s="6">
        <f>HYPERLINK("https://map.naver.com/p/search/세종특별자치시 부강면 산수리 397", "지도Link")</f>
        <v/>
      </c>
      <c r="N3088" s="6">
        <f>HYPERLINK("http://www.eum.go.kr/web/ar/lu/luLandDet.jsp?pnu=3611033023103970000&amp;isNoScr=script&amp;mode=search", "토지이음")</f>
        <v/>
      </c>
      <c r="O3088" s="3" t="inlineStr">
        <is>
          <t>미스터홈즈강남지사</t>
        </is>
      </c>
      <c r="P3088" s="3" t="n">
        <v>1</v>
      </c>
      <c r="Q3088" s="3" t="n">
        <v>3650.9</v>
      </c>
      <c r="R3088" s="3" t="inlineStr">
        <is>
          <t>지정되지않음</t>
        </is>
      </c>
      <c r="S3088" s="3" t="inlineStr">
        <is>
          <t>답</t>
        </is>
      </c>
      <c r="T3088" s="3" t="inlineStr">
        <is>
          <t>평지</t>
        </is>
      </c>
      <c r="U3088" s="3" t="inlineStr">
        <is>
          <t>사다리형</t>
        </is>
      </c>
      <c r="V3088" s="3" t="inlineStr">
        <is>
          <t>세로한면(가)</t>
        </is>
      </c>
    </row>
    <row r="3089">
      <c r="A3089" s="3" t="inlineStr">
        <is>
          <t>세종특별자치시 부강면 산수리 539</t>
        </is>
      </c>
      <c r="B3089" s="3" t="inlineStr">
        <is>
          <t>농림지역</t>
        </is>
      </c>
      <c r="C3089" s="3" t="inlineStr">
        <is>
          <t>답</t>
        </is>
      </c>
      <c r="D3089" s="3" t="inlineStr">
        <is>
          <t>답</t>
        </is>
      </c>
      <c r="E3089" s="3" t="inlineStr">
        <is>
          <t>매매</t>
        </is>
      </c>
      <c r="F3089" s="4" t="n">
        <v>40000</v>
      </c>
      <c r="G3089" s="4" t="n">
        <v>2201</v>
      </c>
      <c r="H3089" s="4" t="n">
        <v>666</v>
      </c>
      <c r="I3089" s="5" t="n">
        <v>60.1</v>
      </c>
      <c r="J3089" s="4" t="n">
        <v>17.9</v>
      </c>
      <c r="K3089" s="3" t="inlineStr">
        <is>
          <t>세종시 부강면에 위치한 토지 매매</t>
        </is>
      </c>
      <c r="L3089" s="6">
        <f>HYPERLINK("https://fin.land.naver.com/articles/2647590296", "매물Link")</f>
        <v/>
      </c>
      <c r="M3089" s="6">
        <f>HYPERLINK("https://map.naver.com/p/search/세종특별자치시 부강면 산수리 539", "지도Link")</f>
        <v/>
      </c>
      <c r="N3089" s="6">
        <f>HYPERLINK("http://www.eum.go.kr/web/ar/lu/luLandDet.jsp?pnu=3611033023105390000&amp;isNoScr=script&amp;mode=search", "토지이음")</f>
        <v/>
      </c>
      <c r="O3089" s="3" t="inlineStr">
        <is>
          <t>대지</t>
        </is>
      </c>
      <c r="P3089" s="3" t="n">
        <v>1</v>
      </c>
      <c r="Q3089" s="3" t="n">
        <v>2201</v>
      </c>
      <c r="R3089" s="3" t="inlineStr">
        <is>
          <t>지정되지않음</t>
        </is>
      </c>
      <c r="S3089" s="3" t="inlineStr">
        <is>
          <t>답</t>
        </is>
      </c>
      <c r="T3089" s="3" t="inlineStr">
        <is>
          <t>평지</t>
        </is>
      </c>
      <c r="U3089" s="3" t="inlineStr">
        <is>
          <t>세로장방</t>
        </is>
      </c>
      <c r="V3089" s="3" t="inlineStr">
        <is>
          <t>세로한면(가)</t>
        </is>
      </c>
    </row>
    <row r="3090">
      <c r="A3090" s="3" t="inlineStr">
        <is>
          <t>세종특별자치시 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HYPERLINK("https://map.naver.com/p/search/세종특별자치시 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세종특별자치시 부강면 산수리 92-2</t>
        </is>
      </c>
      <c r="B3091" s="3" t="inlineStr">
        <is>
          <t>계획관리지역</t>
        </is>
      </c>
      <c r="C3091" s="3" t="inlineStr">
        <is>
          <t>전</t>
        </is>
      </c>
      <c r="D3091" s="3" t="inlineStr">
        <is>
          <t>대</t>
        </is>
      </c>
      <c r="E3091" s="3" t="inlineStr">
        <is>
          <t>매매</t>
        </is>
      </c>
      <c r="F3091" s="4" t="n">
        <v>35000</v>
      </c>
      <c r="G3091" s="4" t="n">
        <v>1352</v>
      </c>
      <c r="H3091" s="4" t="n">
        <v>409</v>
      </c>
      <c r="I3091" s="5" t="n">
        <v>85.59999999999999</v>
      </c>
      <c r="J3091" s="4" t="n">
        <v>37.2</v>
      </c>
      <c r="K3091" s="3" t="inlineStr">
        <is>
          <t>산수리 계획관리지역 대지 전 매매</t>
        </is>
      </c>
      <c r="L3091" s="6">
        <f>HYPERLINK("https://fin.land.naver.com/articles/2646598391", "매물Link")</f>
        <v/>
      </c>
      <c r="M3091" s="6">
        <f>HYPERLINK("https://map.naver.com/p/search/세종특별자치시 부강면 산수리 92-2", "지도Link")</f>
        <v/>
      </c>
      <c r="N3091" s="6">
        <f>HYPERLINK("http://www.eum.go.kr/web/ar/lu/luLandDet.jsp?pnu=3611033023100920002&amp;isNoScr=script&amp;mode=search", "토지이음")</f>
        <v/>
      </c>
      <c r="O3091" s="3" t="inlineStr">
        <is>
          <t>진성</t>
        </is>
      </c>
      <c r="P3091" s="3" t="n">
        <v>1</v>
      </c>
      <c r="Q3091" s="3" t="n">
        <v>939</v>
      </c>
      <c r="R3091" s="3" t="inlineStr">
        <is>
          <t>지정되지않음</t>
        </is>
      </c>
      <c r="S3091" s="3" t="inlineStr">
        <is>
          <t>전</t>
        </is>
      </c>
      <c r="T3091" s="3" t="inlineStr">
        <is>
          <t>평지</t>
        </is>
      </c>
      <c r="U3091" s="3" t="inlineStr">
        <is>
          <t>부정형</t>
        </is>
      </c>
      <c r="V3091" s="3" t="inlineStr">
        <is>
          <t>세로한면(가)</t>
        </is>
      </c>
    </row>
    <row r="3092">
      <c r="A3092" s="3" t="inlineStr">
        <is>
          <t>세종특별자치시 부강면 행산리 118-11</t>
        </is>
      </c>
      <c r="B3092" s="3" t="inlineStr">
        <is>
          <t>계획관리지역</t>
        </is>
      </c>
      <c r="C3092" s="3" t="inlineStr">
        <is>
          <t>대</t>
        </is>
      </c>
      <c r="D3092" s="3" t="inlineStr">
        <is>
          <t>대</t>
        </is>
      </c>
      <c r="E3092" s="3" t="inlineStr">
        <is>
          <t>매매</t>
        </is>
      </c>
      <c r="F3092" s="4" t="n">
        <v>16000</v>
      </c>
      <c r="G3092" s="4" t="n">
        <v>155</v>
      </c>
      <c r="H3092" s="4" t="n">
        <v>47</v>
      </c>
      <c r="I3092" s="5" t="n">
        <v>340.4</v>
      </c>
      <c r="J3092" s="4" t="n">
        <v>53.8</v>
      </c>
      <c r="K3092" s="3" t="inlineStr">
        <is>
          <t>nan</t>
        </is>
      </c>
      <c r="L3092" s="6">
        <f>HYPERLINK("https://fin.land.naver.com/articles/2647287235", "매물Link")</f>
        <v/>
      </c>
      <c r="M3092" s="6">
        <f>HYPERLINK("https://map.naver.com/p/search/세종특별자치시 부강면 행산리 118-11", "지도Link")</f>
        <v/>
      </c>
      <c r="N3092" s="6">
        <f>HYPERLINK("http://www.eum.go.kr/web/ar/lu/luLandDet.jsp?pnu=3611033022101180011&amp;isNoScr=script&amp;mode=search", "토지이음")</f>
        <v/>
      </c>
      <c r="O3092" s="3" t="inlineStr">
        <is>
          <t>세종제일1</t>
        </is>
      </c>
      <c r="P3092" s="3" t="n">
        <v>1</v>
      </c>
      <c r="Q3092" s="3" t="n">
        <v>155</v>
      </c>
      <c r="R3092" s="3" t="inlineStr">
        <is>
          <t>지정되지않음</t>
        </is>
      </c>
      <c r="S3092" s="3" t="inlineStr">
        <is>
          <t>단독</t>
        </is>
      </c>
      <c r="T3092" s="3" t="inlineStr">
        <is>
          <t>평지</t>
        </is>
      </c>
      <c r="U3092" s="3" t="inlineStr">
        <is>
          <t>사다리형</t>
        </is>
      </c>
      <c r="V3092" s="3" t="inlineStr">
        <is>
          <t>세로한면(가)</t>
        </is>
      </c>
    </row>
    <row r="3093">
      <c r="A3093" s="3" t="inlineStr">
        <is>
          <t>세종특별자치시 부강면 행산리 141-11</t>
        </is>
      </c>
      <c r="B3093" s="3" t="inlineStr">
        <is>
          <t>계획관리지역</t>
        </is>
      </c>
      <c r="C3093" s="3" t="inlineStr">
        <is>
          <t>전</t>
        </is>
      </c>
      <c r="D3093" s="3" t="inlineStr">
        <is>
          <t>전</t>
        </is>
      </c>
      <c r="E3093" s="3" t="inlineStr">
        <is>
          <t>매매</t>
        </is>
      </c>
      <c r="F3093" s="4" t="n">
        <v>33900</v>
      </c>
      <c r="G3093" s="4" t="n">
        <v>1130</v>
      </c>
      <c r="H3093" s="4" t="n">
        <v>342</v>
      </c>
      <c r="I3093" s="5" t="n">
        <v>99.09999999999999</v>
      </c>
      <c r="J3093" s="4" t="n">
        <v>25</v>
      </c>
      <c r="K3093" s="3" t="inlineStr">
        <is>
          <t>농사짓는 도로 인접</t>
        </is>
      </c>
      <c r="L3093" s="6">
        <f>HYPERLINK("https://fin.land.naver.com/articles/2647287581", "매물Link")</f>
        <v/>
      </c>
      <c r="M3093" s="6">
        <f>HYPERLINK("https://map.naver.com/p/search/세종특별자치시 부강면 행산리 141-11", "지도Link")</f>
        <v/>
      </c>
      <c r="N3093" s="6">
        <f>HYPERLINK("http://www.eum.go.kr/web/ar/lu/luLandDet.jsp?pnu=3611033022101410011&amp;isNoScr=script&amp;mode=search", "토지이음")</f>
        <v/>
      </c>
      <c r="O3093" s="3" t="inlineStr">
        <is>
          <t>세종제일1</t>
        </is>
      </c>
      <c r="P3093" s="3" t="n">
        <v>1</v>
      </c>
      <c r="Q3093" s="3" t="n">
        <v>1130</v>
      </c>
      <c r="R3093" s="3" t="inlineStr">
        <is>
          <t>지정되지않음</t>
        </is>
      </c>
      <c r="S3093" s="3" t="inlineStr">
        <is>
          <t>전</t>
        </is>
      </c>
      <c r="T3093" s="3" t="inlineStr">
        <is>
          <t>평지</t>
        </is>
      </c>
      <c r="U3093" s="3" t="inlineStr">
        <is>
          <t>부정형</t>
        </is>
      </c>
      <c r="V3093" s="3" t="inlineStr">
        <is>
          <t>맹지</t>
        </is>
      </c>
    </row>
    <row r="3094">
      <c r="A3094" s="3" t="inlineStr">
        <is>
          <t>세종특별자치시 부강면 행산리 162-3</t>
        </is>
      </c>
      <c r="B3094" s="3" t="inlineStr">
        <is>
          <t>계획관리지역</t>
        </is>
      </c>
      <c r="C3094" s="3" t="inlineStr">
        <is>
          <t>과수원</t>
        </is>
      </c>
      <c r="D3094" s="3" t="inlineStr">
        <is>
          <t>과수원</t>
        </is>
      </c>
      <c r="E3094" s="3" t="inlineStr">
        <is>
          <t>매매</t>
        </is>
      </c>
      <c r="F3094" s="4" t="n">
        <v>526000</v>
      </c>
      <c r="G3094" s="4" t="n">
        <v>11751</v>
      </c>
      <c r="H3094" s="4" t="n">
        <v>3555</v>
      </c>
      <c r="I3094" s="5" t="n">
        <v>148</v>
      </c>
      <c r="J3094" s="4" t="n">
        <v>41.2</v>
      </c>
      <c r="K3094" s="3" t="inlineStr">
        <is>
          <t>세종시 부근에서 공장부지로 최상</t>
        </is>
      </c>
      <c r="L3094" s="6">
        <f>HYPERLINK("https://fin.land.naver.com/articles/2646866931", "매물Link")</f>
        <v/>
      </c>
      <c r="M3094" s="6">
        <f>HYPERLINK("https://map.naver.com/p/search/세종특별자치시 부강면 행산리 162-3", "지도Link")</f>
        <v/>
      </c>
      <c r="N3094" s="6">
        <f>HYPERLINK("http://www.eum.go.kr/web/ar/lu/luLandDet.jsp?pnu=3611033022101620003&amp;isNoScr=script&amp;mode=search", "토지이음")</f>
        <v/>
      </c>
      <c r="O3094" s="3" t="inlineStr">
        <is>
          <t>금화</t>
        </is>
      </c>
      <c r="P3094" s="3" t="n">
        <v>1</v>
      </c>
      <c r="Q3094" s="3" t="n">
        <v>8024</v>
      </c>
      <c r="R3094" s="3" t="inlineStr">
        <is>
          <t>지정되지않음</t>
        </is>
      </c>
      <c r="S3094" s="3" t="inlineStr">
        <is>
          <t>과수원</t>
        </is>
      </c>
      <c r="T3094" s="3" t="inlineStr">
        <is>
          <t>완경사</t>
        </is>
      </c>
      <c r="U3094" s="3" t="inlineStr">
        <is>
          <t>부정형</t>
        </is>
      </c>
      <c r="V3094" s="3" t="inlineStr">
        <is>
          <t>소로한면</t>
        </is>
      </c>
    </row>
    <row r="3095">
      <c r="A3095" s="3" t="inlineStr">
        <is>
          <t>세종특별자치시 부강면 행산리 163</t>
        </is>
      </c>
      <c r="B3095" s="3" t="inlineStr">
        <is>
          <t>계획관리지역</t>
        </is>
      </c>
      <c r="C3095" s="3" t="inlineStr">
        <is>
          <t>전</t>
        </is>
      </c>
      <c r="D3095" s="3" t="inlineStr">
        <is>
          <t>전</t>
        </is>
      </c>
      <c r="E3095" s="3" t="inlineStr">
        <is>
          <t>매매</t>
        </is>
      </c>
      <c r="F3095" s="4" t="n">
        <v>33000</v>
      </c>
      <c r="G3095" s="4" t="n">
        <v>1359</v>
      </c>
      <c r="H3095" s="4" t="n">
        <v>411</v>
      </c>
      <c r="I3095" s="5" t="n">
        <v>80.3</v>
      </c>
      <c r="J3095" s="4" t="n">
        <v>38</v>
      </c>
      <c r="K3095" s="3" t="inlineStr">
        <is>
          <t>청주전용도로 부근의 작고 아담한 계획관리 토지</t>
        </is>
      </c>
      <c r="L3095" s="6">
        <f>HYPERLINK("https://fin.land.naver.com/articles/2650177374", "매물Link")</f>
        <v/>
      </c>
      <c r="M3095" s="6">
        <f>HYPERLINK("https://map.naver.com/p/search/세종특별자치시 부강면 행산리 163", "지도Link")</f>
        <v/>
      </c>
      <c r="N3095" s="6">
        <f>HYPERLINK("http://www.eum.go.kr/web/ar/lu/luLandDet.jsp?pnu=3611033022101630000&amp;isNoScr=script&amp;mode=search", "토지이음")</f>
        <v/>
      </c>
      <c r="O3095" s="3" t="inlineStr">
        <is>
          <t>연동스카이</t>
        </is>
      </c>
      <c r="P3095" s="3" t="n">
        <v>2</v>
      </c>
      <c r="Q3095" s="3" t="n">
        <v>1359</v>
      </c>
      <c r="R3095" s="3" t="inlineStr">
        <is>
          <t>농림지역</t>
        </is>
      </c>
      <c r="S3095" s="3" t="inlineStr">
        <is>
          <t>전</t>
        </is>
      </c>
      <c r="T3095" s="3" t="inlineStr">
        <is>
          <t>평지</t>
        </is>
      </c>
      <c r="U3095" s="3" t="inlineStr">
        <is>
          <t>부정형</t>
        </is>
      </c>
      <c r="V3095" s="3" t="inlineStr">
        <is>
          <t>세로한면(가)</t>
        </is>
      </c>
    </row>
    <row r="3096">
      <c r="A3096" s="3" t="inlineStr">
        <is>
          <t>세종특별자치시 부강면 행산리 223</t>
        </is>
      </c>
      <c r="B3096" s="3" t="inlineStr">
        <is>
          <t>계획관리지역</t>
        </is>
      </c>
      <c r="C3096" s="3" t="inlineStr">
        <is>
          <t>전</t>
        </is>
      </c>
      <c r="D3096" s="3" t="inlineStr">
        <is>
          <t>전</t>
        </is>
      </c>
      <c r="E3096" s="3" t="inlineStr">
        <is>
          <t>매매</t>
        </is>
      </c>
      <c r="F3096" s="4" t="n">
        <v>64000</v>
      </c>
      <c r="G3096" s="4" t="n">
        <v>3034</v>
      </c>
      <c r="H3096" s="4" t="n">
        <v>918</v>
      </c>
      <c r="I3096" s="5" t="n">
        <v>69.7</v>
      </c>
      <c r="J3096" s="4" t="n">
        <v>26.8</v>
      </c>
      <c r="K3096" s="3" t="inlineStr">
        <is>
          <t>2차선 도로에서 30m 떨어진 계획관리토지로 공장이나 창고추천</t>
        </is>
      </c>
      <c r="L3096" s="6">
        <f>HYPERLINK("https://fin.land.naver.com/articles/2648255658", "매물Link")</f>
        <v/>
      </c>
      <c r="M3096" s="6">
        <f>HYPERLINK("https://map.naver.com/p/search/세종특별자치시 부강면 행산리 223", "지도Link")</f>
        <v/>
      </c>
      <c r="N3096" s="6">
        <f>HYPERLINK("http://www.eum.go.kr/web/ar/lu/luLandDet.jsp?pnu=3611033022102230000&amp;isNoScr=script&amp;mode=search", "토지이음")</f>
        <v/>
      </c>
      <c r="O3096" s="3" t="inlineStr">
        <is>
          <t>연동스카이</t>
        </is>
      </c>
      <c r="P3096" s="3" t="n">
        <v>1</v>
      </c>
      <c r="Q3096" s="3" t="n">
        <v>2066</v>
      </c>
      <c r="R3096" s="3" t="inlineStr">
        <is>
          <t>지정되지않음</t>
        </is>
      </c>
      <c r="S3096" s="3" t="inlineStr">
        <is>
          <t>전</t>
        </is>
      </c>
      <c r="T3096" s="3" t="inlineStr">
        <is>
          <t>완경사</t>
        </is>
      </c>
      <c r="U3096" s="3" t="inlineStr">
        <is>
          <t>부정형</t>
        </is>
      </c>
      <c r="V3096" s="3" t="inlineStr">
        <is>
          <t>세로한면(불)</t>
        </is>
      </c>
    </row>
    <row r="3097">
      <c r="A3097" s="3" t="inlineStr">
        <is>
          <t>세종특별자치시 부강면 행산리 224</t>
        </is>
      </c>
      <c r="B3097" s="3" t="inlineStr">
        <is>
          <t>계획관리지역</t>
        </is>
      </c>
      <c r="C3097" s="3" t="inlineStr">
        <is>
          <t>답</t>
        </is>
      </c>
      <c r="D3097" s="3" t="inlineStr">
        <is>
          <t>답</t>
        </is>
      </c>
      <c r="E3097" s="3" t="inlineStr">
        <is>
          <t>매매</t>
        </is>
      </c>
      <c r="F3097" s="4" t="n">
        <v>85000</v>
      </c>
      <c r="G3097" s="4" t="n">
        <v>1660</v>
      </c>
      <c r="H3097" s="4" t="n">
        <v>502</v>
      </c>
      <c r="I3097" s="5" t="n">
        <v>169.3</v>
      </c>
      <c r="J3097" s="4" t="n">
        <v>34.1</v>
      </c>
      <c r="K3097" s="3" t="inlineStr">
        <is>
          <t>세종시 부강면 행산리 2차선 도로변  토지 매매</t>
        </is>
      </c>
      <c r="L3097" s="6">
        <f>HYPERLINK("https://fin.land.naver.com/articles/2643920138", "매물Link")</f>
        <v/>
      </c>
      <c r="M3097" s="6">
        <f>HYPERLINK("https://map.naver.com/p/search/세종특별자치시 부강면 행산리 224", "지도Link")</f>
        <v/>
      </c>
      <c r="N3097" s="6">
        <f>HYPERLINK("http://www.eum.go.kr/web/ar/lu/luLandDet.jsp?pnu=3611033022102240000&amp;isNoScr=script&amp;mode=search", "토지이음")</f>
        <v/>
      </c>
      <c r="O3097" s="3" t="inlineStr">
        <is>
          <t>세종행복한</t>
        </is>
      </c>
      <c r="P3097" s="3" t="n">
        <v>1</v>
      </c>
      <c r="Q3097" s="3" t="n">
        <v>1660</v>
      </c>
      <c r="R3097" s="3" t="inlineStr">
        <is>
          <t>지정되지않음</t>
        </is>
      </c>
      <c r="S3097" s="3" t="inlineStr">
        <is>
          <t>답</t>
        </is>
      </c>
      <c r="T3097" s="3" t="inlineStr">
        <is>
          <t>완경사</t>
        </is>
      </c>
      <c r="U3097" s="3" t="inlineStr">
        <is>
          <t>부정형</t>
        </is>
      </c>
      <c r="V3097" s="3" t="inlineStr">
        <is>
          <t>소로한면</t>
        </is>
      </c>
    </row>
    <row r="3098">
      <c r="A3098" s="3" t="inlineStr">
        <is>
          <t>세종특별자치시 부강면 행산리 296</t>
        </is>
      </c>
      <c r="B3098" s="3" t="inlineStr">
        <is>
          <t>계획관리지역</t>
        </is>
      </c>
      <c r="C3098" s="3" t="inlineStr">
        <is>
          <t>목장용지</t>
        </is>
      </c>
      <c r="D3098" s="3" t="inlineStr">
        <is>
          <t>목장용지</t>
        </is>
      </c>
      <c r="E3098" s="3" t="inlineStr">
        <is>
          <t>매매</t>
        </is>
      </c>
      <c r="F3098" s="4" t="n">
        <v>196500</v>
      </c>
      <c r="G3098" s="4" t="n">
        <v>2713</v>
      </c>
      <c r="H3098" s="4" t="n">
        <v>821</v>
      </c>
      <c r="I3098" s="5" t="n">
        <v>239.3</v>
      </c>
      <c r="J3098" s="4" t="n">
        <v>71.5</v>
      </c>
      <c r="K3098" s="3" t="inlineStr">
        <is>
          <t>부강면 계획관리지역 목장용지, 토지 5,143.4제곱미터 매매</t>
        </is>
      </c>
      <c r="L3098" s="6">
        <f>HYPERLINK("https://fin.land.naver.com/articles/2648919249", "매물Link")</f>
        <v/>
      </c>
      <c r="M3098" s="6">
        <f>HYPERLINK("https://map.naver.com/p/search/세종특별자치시 부강면 행산리 296", "지도Link")</f>
        <v/>
      </c>
      <c r="N3098" s="6">
        <f>HYPERLINK("http://www.eum.go.kr/web/ar/lu/luLandDet.jsp?pnu=3611033022102960000&amp;isNoScr=script&amp;mode=search", "토지이음")</f>
        <v/>
      </c>
      <c r="O3098" s="3" t="inlineStr">
        <is>
          <t>진행</t>
        </is>
      </c>
      <c r="P3098" s="3" t="n">
        <v>2</v>
      </c>
      <c r="Q3098" s="3" t="n">
        <v>2713</v>
      </c>
      <c r="R3098" s="3" t="inlineStr">
        <is>
          <t>지정되지않음</t>
        </is>
      </c>
      <c r="S3098" s="3" t="inlineStr">
        <is>
          <t>단독</t>
        </is>
      </c>
      <c r="T3098" s="3" t="inlineStr">
        <is>
          <t>평지</t>
        </is>
      </c>
      <c r="U3098" s="3" t="inlineStr">
        <is>
          <t>사다리형</t>
        </is>
      </c>
      <c r="V3098" s="3" t="inlineStr">
        <is>
          <t>소로한면</t>
        </is>
      </c>
    </row>
    <row r="3099">
      <c r="A3099" s="3" t="inlineStr">
        <is>
          <t>세종특별자치시 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HYPERLINK("https://map.naver.com/p/search/세종특별자치시 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세종특별자치시 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HYPERLINK("https://map.naver.com/p/search/세종특별자치시 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세종특별자치시 부강면 행산리 389</t>
        </is>
      </c>
      <c r="B3101" s="3" t="inlineStr">
        <is>
          <t>계획관리지역</t>
        </is>
      </c>
      <c r="C3101" s="3" t="inlineStr">
        <is>
          <t>과수원</t>
        </is>
      </c>
      <c r="D3101" s="3" t="inlineStr">
        <is>
          <t>과수원</t>
        </is>
      </c>
      <c r="E3101" s="3" t="inlineStr">
        <is>
          <t>매매</t>
        </is>
      </c>
      <c r="F3101" s="4" t="n">
        <v>90000</v>
      </c>
      <c r="G3101" s="4" t="n">
        <v>2998</v>
      </c>
      <c r="H3101" s="4" t="n">
        <v>907</v>
      </c>
      <c r="I3101" s="5" t="n">
        <v>99.2</v>
      </c>
      <c r="J3101" s="4" t="n">
        <v>24.8</v>
      </c>
      <c r="K3101" s="3" t="inlineStr">
        <is>
          <t>세종시 부강면 5생활권 10분거리 각 3필지(149, 235, 522)</t>
        </is>
      </c>
      <c r="L3101" s="6">
        <f>HYPERLINK("https://fin.land.naver.com/articles/2649158860", "매물Link")</f>
        <v/>
      </c>
      <c r="M3101" s="6">
        <f>HYPERLINK("https://map.naver.com/p/search/세종특별자치시 부강면 행산리 389", "지도Link")</f>
        <v/>
      </c>
      <c r="N3101" s="6">
        <f>HYPERLINK("http://www.eum.go.kr/web/ar/lu/luLandDet.jsp?pnu=3611033022103890000&amp;isNoScr=script&amp;mode=search", "토지이음")</f>
        <v/>
      </c>
      <c r="O3101" s="3" t="inlineStr">
        <is>
          <t>오송k랜드</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세종특별자치시 부강면 행산리 389</t>
        </is>
      </c>
      <c r="B3102" s="3" t="inlineStr">
        <is>
          <t>계획관리지역</t>
        </is>
      </c>
      <c r="C3102" s="3" t="inlineStr">
        <is>
          <t>과수원</t>
        </is>
      </c>
      <c r="D3102" s="3" t="inlineStr">
        <is>
          <t>과수원</t>
        </is>
      </c>
      <c r="E3102" s="3" t="inlineStr">
        <is>
          <t>매매</t>
        </is>
      </c>
      <c r="F3102" s="4" t="n">
        <v>52200</v>
      </c>
      <c r="G3102" s="4" t="n">
        <v>1725</v>
      </c>
      <c r="H3102" s="4" t="n">
        <v>522</v>
      </c>
      <c r="I3102" s="5" t="n">
        <v>100</v>
      </c>
      <c r="J3102" s="4" t="n">
        <v>24.8</v>
      </c>
      <c r="K3102" s="3" t="inlineStr">
        <is>
          <t>자연취락지구 포함 전원주택 귀촌형 부지 검토</t>
        </is>
      </c>
      <c r="L3102" s="6">
        <f>HYPERLINK("https://fin.land.naver.com/articles/2648843558", "매물Link")</f>
        <v/>
      </c>
      <c r="M3102" s="6">
        <f>HYPERLINK("https://map.naver.com/p/search/세종특별자치시 부강면 행산리 389", "지도Link")</f>
        <v/>
      </c>
      <c r="N3102" s="6">
        <f>HYPERLINK("http://www.eum.go.kr/web/ar/lu/luLandDet.jsp?pnu=3611033022103890000&amp;isNoScr=script&amp;mode=search", "토지이음")</f>
        <v/>
      </c>
      <c r="O3102" s="3" t="inlineStr">
        <is>
          <t>세종소담황금</t>
        </is>
      </c>
      <c r="P3102" s="3" t="n">
        <v>1</v>
      </c>
      <c r="Q3102" s="3" t="n">
        <v>1725</v>
      </c>
      <c r="R3102" s="3" t="inlineStr">
        <is>
          <t>지정되지않음</t>
        </is>
      </c>
      <c r="S3102" s="3" t="inlineStr">
        <is>
          <t>과수원</t>
        </is>
      </c>
      <c r="T3102" s="3" t="inlineStr">
        <is>
          <t>완경사</t>
        </is>
      </c>
      <c r="U3102" s="3" t="inlineStr">
        <is>
          <t>부정형</t>
        </is>
      </c>
      <c r="V3102" s="3" t="inlineStr">
        <is>
          <t>세로한면(가)</t>
        </is>
      </c>
    </row>
    <row r="3103">
      <c r="A3103" s="3" t="inlineStr">
        <is>
          <t>세종특별자치시 부강면 행산리 389-3</t>
        </is>
      </c>
      <c r="B3103" s="3" t="inlineStr">
        <is>
          <t>계획관리지역</t>
        </is>
      </c>
      <c r="C3103" s="3" t="inlineStr">
        <is>
          <t>과수원</t>
        </is>
      </c>
      <c r="D3103" s="3" t="inlineStr">
        <is>
          <t>과수원</t>
        </is>
      </c>
      <c r="E3103" s="3" t="inlineStr">
        <is>
          <t>매매</t>
        </is>
      </c>
      <c r="F3103" s="4" t="n">
        <v>38500</v>
      </c>
      <c r="G3103" s="4" t="n">
        <v>1273</v>
      </c>
      <c r="H3103" s="4" t="n">
        <v>385</v>
      </c>
      <c r="I3103" s="5" t="n">
        <v>100</v>
      </c>
      <c r="J3103" s="4" t="n">
        <v>24.8</v>
      </c>
      <c r="K3103" s="3" t="inlineStr">
        <is>
          <t>감나무 블루베리 등이 식재되어 5생활권 5분거리 과수원</t>
        </is>
      </c>
      <c r="L3103" s="6">
        <f>HYPERLINK("https://fin.land.naver.com/articles/2646808438", "매물Link")</f>
        <v/>
      </c>
      <c r="M3103" s="6">
        <f>HYPERLINK("https://map.naver.com/p/search/세종특별자치시 부강면 행산리 389-3", "지도Link")</f>
        <v/>
      </c>
      <c r="N3103" s="6">
        <f>HYPERLINK("http://www.eum.go.kr/web/ar/lu/luLandDet.jsp?pnu=3611033022103890003&amp;isNoScr=script&amp;mode=search", "토지이음")</f>
        <v/>
      </c>
      <c r="O3103" s="3" t="inlineStr">
        <is>
          <t>지성</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세종특별자치시 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계획관리지역의 과수원으로 농촌 체류형 쉼터나 공방 및 전원주택지로 좋은</t>
        </is>
      </c>
      <c r="L3104" s="6">
        <f>HYPERLINK("https://fin.land.naver.com/articles/2645376576", "매물Link")</f>
        <v/>
      </c>
      <c r="M3104" s="6">
        <f>HYPERLINK("https://map.naver.com/p/search/세종특별자치시 부강면 행산리 389-3", "지도Link")</f>
        <v/>
      </c>
      <c r="N3104" s="6">
        <f>HYPERLINK("http://www.eum.go.kr/web/ar/lu/luLandDet.jsp?pnu=3611033022103890003&amp;isNoScr=script&amp;mode=search", "토지이음")</f>
        <v/>
      </c>
      <c r="O3104" s="3" t="inlineStr">
        <is>
          <t>스마일세종</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세종특별자치시 부강면 행산리 389-3</t>
        </is>
      </c>
      <c r="B3105" s="3" t="inlineStr">
        <is>
          <t>계획관리지역</t>
        </is>
      </c>
      <c r="C3105" s="3" t="inlineStr">
        <is>
          <t>과수원</t>
        </is>
      </c>
      <c r="D3105" s="3" t="inlineStr">
        <is>
          <t>과수원</t>
        </is>
      </c>
      <c r="E3105" s="3" t="inlineStr">
        <is>
          <t>매매</t>
        </is>
      </c>
      <c r="F3105" s="4" t="n">
        <v>23600</v>
      </c>
      <c r="G3105" s="4" t="n">
        <v>779</v>
      </c>
      <c r="H3105" s="4" t="n">
        <v>236</v>
      </c>
      <c r="I3105" s="5" t="n">
        <v>100</v>
      </c>
      <c r="J3105" s="4" t="n">
        <v>24.8</v>
      </c>
      <c r="K3105" s="3" t="inlineStr">
        <is>
          <t>급매,도로접한 계획관리지역,다용도 사용목적 가능,투자용 추천</t>
        </is>
      </c>
      <c r="L3105" s="6">
        <f>HYPERLINK("https://fin.land.naver.com/articles/2649114293", "매물Link")</f>
        <v/>
      </c>
      <c r="M3105" s="6">
        <f>HYPERLINK("https://map.naver.com/p/search/세종특별자치시 부강면 행산리 389-3", "지도Link")</f>
        <v/>
      </c>
      <c r="N3105" s="6">
        <f>HYPERLINK("http://www.eum.go.kr/web/ar/lu/luLandDet.jsp?pnu=3611033022103890003&amp;isNoScr=script&amp;mode=search", "토지이음")</f>
        <v/>
      </c>
      <c r="O3105" s="3" t="inlineStr">
        <is>
          <t>고운맘</t>
        </is>
      </c>
      <c r="P3105" s="3" t="n">
        <v>1</v>
      </c>
      <c r="Q3105" s="3" t="n">
        <v>779</v>
      </c>
      <c r="R3105" s="3" t="inlineStr">
        <is>
          <t>지정되지않음</t>
        </is>
      </c>
      <c r="S3105" s="3" t="inlineStr">
        <is>
          <t>과수원</t>
        </is>
      </c>
      <c r="T3105" s="3" t="inlineStr">
        <is>
          <t>완경사</t>
        </is>
      </c>
      <c r="U3105" s="3" t="inlineStr">
        <is>
          <t>부정형</t>
        </is>
      </c>
      <c r="V3105" s="3" t="inlineStr">
        <is>
          <t>세로한면(가)</t>
        </is>
      </c>
    </row>
    <row r="3106">
      <c r="A3106" s="3" t="inlineStr">
        <is>
          <t>세종특별자치시 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HYPERLINK("https://map.naver.com/p/search/세종특별자치시 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세종특별자치시 부강면 행산리 389-4</t>
        </is>
      </c>
      <c r="B3107" s="3" t="inlineStr">
        <is>
          <t>계획관리지역</t>
        </is>
      </c>
      <c r="C3107" s="3" t="inlineStr">
        <is>
          <t>과수원</t>
        </is>
      </c>
      <c r="D3107" s="3" t="inlineStr">
        <is>
          <t>과수원</t>
        </is>
      </c>
      <c r="E3107" s="3" t="inlineStr">
        <is>
          <t>매매</t>
        </is>
      </c>
      <c r="F3107" s="4" t="n">
        <v>15000</v>
      </c>
      <c r="G3107" s="4" t="n">
        <v>494</v>
      </c>
      <c r="H3107" s="4" t="n">
        <v>149</v>
      </c>
      <c r="I3107" s="5" t="n">
        <v>100.7</v>
      </c>
      <c r="J3107" s="4" t="n">
        <v>24.8</v>
      </c>
      <c r="K3107" s="3" t="inlineStr">
        <is>
          <t>급매,도로접한 계획관리지역,다용도 사용목적 가능,투자용 추천</t>
        </is>
      </c>
      <c r="L3107" s="6">
        <f>HYPERLINK("https://fin.land.naver.com/articles/2649114004", "매물Link")</f>
        <v/>
      </c>
      <c r="M3107" s="6">
        <f>HYPERLINK("https://map.naver.com/p/search/세종특별자치시 부강면 행산리 389-4", "지도Link")</f>
        <v/>
      </c>
      <c r="N3107" s="6">
        <f>HYPERLINK("http://www.eum.go.kr/web/ar/lu/luLandDet.jsp?pnu=3611033022103890004&amp;isNoScr=script&amp;mode=search", "토지이음")</f>
        <v/>
      </c>
      <c r="O3107" s="3" t="inlineStr">
        <is>
          <t>고운맘</t>
        </is>
      </c>
      <c r="P3107" s="3" t="n">
        <v>1</v>
      </c>
      <c r="Q3107" s="3" t="n">
        <v>494</v>
      </c>
      <c r="R3107" s="3" t="inlineStr">
        <is>
          <t>지정되지않음</t>
        </is>
      </c>
      <c r="S3107" s="3" t="inlineStr">
        <is>
          <t>과수원</t>
        </is>
      </c>
      <c r="T3107" s="3" t="inlineStr">
        <is>
          <t>완경사</t>
        </is>
      </c>
      <c r="U3107" s="3" t="inlineStr">
        <is>
          <t>부정형</t>
        </is>
      </c>
      <c r="V3107" s="3" t="inlineStr">
        <is>
          <t>세로한면(가)</t>
        </is>
      </c>
    </row>
    <row r="3108">
      <c r="A3108" s="3" t="inlineStr">
        <is>
          <t>세종특별자치시 부강면 행산리 393</t>
        </is>
      </c>
      <c r="B3108" s="3" t="inlineStr">
        <is>
          <t>계획관리지역</t>
        </is>
      </c>
      <c r="C3108" s="3" t="inlineStr">
        <is>
          <t>답</t>
        </is>
      </c>
      <c r="D3108" s="3" t="inlineStr">
        <is>
          <t>답</t>
        </is>
      </c>
      <c r="E3108" s="3" t="inlineStr">
        <is>
          <t>매매</t>
        </is>
      </c>
      <c r="F3108" s="4" t="n">
        <v>82000</v>
      </c>
      <c r="G3108" s="4" t="n">
        <v>8984</v>
      </c>
      <c r="H3108" s="4" t="n">
        <v>2718</v>
      </c>
      <c r="I3108" s="5" t="n">
        <v>30.2</v>
      </c>
      <c r="J3108" s="4" t="n">
        <v>19.6</v>
      </c>
      <c r="K3108" s="3" t="inlineStr">
        <is>
          <t>nan</t>
        </is>
      </c>
      <c r="L3108" s="6">
        <f>HYPERLINK("https://fin.land.naver.com/articles/2650179359", "매물Link")</f>
        <v/>
      </c>
      <c r="M3108" s="6">
        <f>HYPERLINK("https://map.naver.com/p/search/세종특별자치시 부강면 행산리 393", "지도Link")</f>
        <v/>
      </c>
      <c r="N3108" s="6">
        <f>HYPERLINK("http://www.eum.go.kr/web/ar/lu/luLandDet.jsp?pnu=3611033022103930000&amp;isNoScr=script&amp;mode=search", "토지이음")</f>
        <v/>
      </c>
      <c r="O3108" s="3" t="inlineStr">
        <is>
          <t>연동스카이</t>
        </is>
      </c>
      <c r="P3108" s="3" t="n">
        <v>1</v>
      </c>
      <c r="Q3108" s="3" t="n">
        <v>3269</v>
      </c>
      <c r="R3108" s="3" t="inlineStr">
        <is>
          <t>지정되지않음</t>
        </is>
      </c>
      <c r="S3108" s="3" t="inlineStr">
        <is>
          <t>답</t>
        </is>
      </c>
      <c r="T3108" s="3" t="inlineStr">
        <is>
          <t>완경사</t>
        </is>
      </c>
      <c r="U3108" s="3" t="inlineStr">
        <is>
          <t>부정형</t>
        </is>
      </c>
      <c r="V3108" s="3" t="inlineStr">
        <is>
          <t>세로한면(가)</t>
        </is>
      </c>
    </row>
    <row r="3109">
      <c r="A3109" s="3" t="inlineStr">
        <is>
          <t>세종특별자치시 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HYPERLINK("https://map.naver.com/p/search/세종특별자치시 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세종특별자치시 부강면 행산리 447</t>
        </is>
      </c>
      <c r="B3110" s="3" t="inlineStr">
        <is>
          <t>농림지역</t>
        </is>
      </c>
      <c r="C3110" s="3" t="inlineStr">
        <is>
          <t>답</t>
        </is>
      </c>
      <c r="D3110" s="3" t="inlineStr">
        <is>
          <t>답</t>
        </is>
      </c>
      <c r="E3110" s="3" t="inlineStr">
        <is>
          <t>매매</t>
        </is>
      </c>
      <c r="F3110" s="4" t="n">
        <v>24800</v>
      </c>
      <c r="G3110" s="4" t="n">
        <v>1490</v>
      </c>
      <c r="H3110" s="4" t="n">
        <v>451</v>
      </c>
      <c r="I3110" s="5" t="n">
        <v>55</v>
      </c>
      <c r="J3110" s="4" t="n">
        <v>18.3</v>
      </c>
      <c r="K3110" s="3" t="inlineStr">
        <is>
          <t>대토농지로 추천</t>
        </is>
      </c>
      <c r="L3110" s="6">
        <f>HYPERLINK("https://fin.land.naver.com/articles/2646383096", "매물Link")</f>
        <v/>
      </c>
      <c r="M3110" s="6">
        <f>HYPERLINK("https://map.naver.com/p/search/세종특별자치시 부강면 행산리 447", "지도Link")</f>
        <v/>
      </c>
      <c r="N3110" s="6">
        <f>HYPERLINK("http://www.eum.go.kr/web/ar/lu/luLandDet.jsp?pnu=3611033022104470000&amp;isNoScr=script&amp;mode=search", "토지이음")</f>
        <v/>
      </c>
      <c r="O3110" s="3" t="inlineStr">
        <is>
          <t>담뜰</t>
        </is>
      </c>
      <c r="P3110" s="3" t="n">
        <v>1</v>
      </c>
      <c r="Q3110" s="3" t="n">
        <v>1490.7</v>
      </c>
      <c r="R3110" s="3" t="inlineStr">
        <is>
          <t>지정되지않음</t>
        </is>
      </c>
      <c r="S3110" s="3" t="inlineStr">
        <is>
          <t>답</t>
        </is>
      </c>
      <c r="T3110" s="3" t="inlineStr">
        <is>
          <t>평지</t>
        </is>
      </c>
      <c r="U3110" s="3" t="inlineStr">
        <is>
          <t>세로장방</t>
        </is>
      </c>
      <c r="V3110" s="3" t="inlineStr">
        <is>
          <t>세로한면(가)</t>
        </is>
      </c>
    </row>
    <row r="3111">
      <c r="A3111" s="3" t="inlineStr">
        <is>
          <t>세종특별자치시 부강면 행산리 448</t>
        </is>
      </c>
      <c r="B3111" s="3" t="inlineStr">
        <is>
          <t>농림지역</t>
        </is>
      </c>
      <c r="C3111" s="3" t="inlineStr">
        <is>
          <t>답</t>
        </is>
      </c>
      <c r="D3111" s="3" t="inlineStr">
        <is>
          <t>답</t>
        </is>
      </c>
      <c r="E3111" s="3" t="inlineStr">
        <is>
          <t>매매</t>
        </is>
      </c>
      <c r="F3111" s="4" t="n">
        <v>129600</v>
      </c>
      <c r="G3111" s="4" t="n">
        <v>7791</v>
      </c>
      <c r="H3111" s="4" t="n">
        <v>2357</v>
      </c>
      <c r="I3111" s="5" t="n">
        <v>55</v>
      </c>
      <c r="J3111" s="4" t="n">
        <v>18.3</v>
      </c>
      <c r="K3111" s="3" t="inlineStr">
        <is>
          <t>행산리 농림지역 대토 농지 논 답</t>
        </is>
      </c>
      <c r="L3111" s="6">
        <f>HYPERLINK("https://fin.land.naver.com/articles/2644414298", "매물Link")</f>
        <v/>
      </c>
      <c r="M3111" s="6">
        <f>HYPERLINK("https://map.naver.com/p/search/세종특별자치시 부강면 행산리 448", "지도Link")</f>
        <v/>
      </c>
      <c r="N3111" s="6">
        <f>HYPERLINK("http://www.eum.go.kr/web/ar/lu/luLandDet.jsp?pnu=3611033022104480000&amp;isNoScr=script&amp;mode=search", "토지이음")</f>
        <v/>
      </c>
      <c r="O3111" s="3" t="inlineStr">
        <is>
          <t>로데오상가</t>
        </is>
      </c>
      <c r="P3111" s="3" t="n">
        <v>2</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세종특별자치시 부강면 행산리 448</t>
        </is>
      </c>
      <c r="B3112" s="3" t="inlineStr">
        <is>
          <t>농림지역</t>
        </is>
      </c>
      <c r="C3112" s="3" t="inlineStr">
        <is>
          <t>답</t>
        </is>
      </c>
      <c r="D3112" s="3" t="inlineStr">
        <is>
          <t>답</t>
        </is>
      </c>
      <c r="E3112" s="3" t="inlineStr">
        <is>
          <t>매매</t>
        </is>
      </c>
      <c r="F3112" s="4" t="n">
        <v>141000</v>
      </c>
      <c r="G3112" s="4" t="n">
        <v>7790</v>
      </c>
      <c r="H3112" s="4" t="n">
        <v>2356</v>
      </c>
      <c r="I3112" s="5" t="n">
        <v>59.8</v>
      </c>
      <c r="J3112" s="4" t="n">
        <v>18.3</v>
      </c>
      <c r="K3112" s="3" t="inlineStr">
        <is>
          <t>2차선 도로 인접 토지 매매</t>
        </is>
      </c>
      <c r="L3112" s="6">
        <f>HYPERLINK("https://fin.land.naver.com/articles/2647502475", "매물Link")</f>
        <v/>
      </c>
      <c r="M3112" s="6">
        <f>HYPERLINK("https://map.naver.com/p/search/세종특별자치시 부강면 행산리 448", "지도Link")</f>
        <v/>
      </c>
      <c r="N3112" s="6">
        <f>HYPERLINK("http://www.eum.go.kr/web/ar/lu/luLandDet.jsp?pnu=3611033022104480000&amp;isNoScr=script&amp;mode=search", "토지이음")</f>
        <v/>
      </c>
      <c r="O3112" s="3" t="inlineStr">
        <is>
          <t>주식회사넥서스</t>
        </is>
      </c>
      <c r="P3112" s="3" t="n">
        <v>3</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세종특별자치시 부강면 행산리 448</t>
        </is>
      </c>
      <c r="B3113" s="3" t="inlineStr">
        <is>
          <t>농림지역</t>
        </is>
      </c>
      <c r="C3113" s="3" t="inlineStr">
        <is>
          <t>답</t>
        </is>
      </c>
      <c r="D3113" s="3" t="inlineStr">
        <is>
          <t>답</t>
        </is>
      </c>
      <c r="E3113" s="3" t="inlineStr">
        <is>
          <t>매매</t>
        </is>
      </c>
      <c r="F3113" s="4" t="n">
        <v>130000</v>
      </c>
      <c r="G3113" s="4" t="n">
        <v>7791</v>
      </c>
      <c r="H3113" s="4" t="n">
        <v>2357</v>
      </c>
      <c r="I3113" s="5" t="n">
        <v>55.2</v>
      </c>
      <c r="J3113" s="4" t="n">
        <v>18.3</v>
      </c>
      <c r="K3113" s="3" t="inlineStr">
        <is>
          <t>세종시5생활권입접.대규모농지.인접447번지와동시매매가능.장기투자목적</t>
        </is>
      </c>
      <c r="L3113" s="6">
        <f>HYPERLINK("https://fin.land.naver.com/articles/2649221277", "매물Link")</f>
        <v/>
      </c>
      <c r="M3113" s="6">
        <f>HYPERLINK("https://map.naver.com/p/search/세종특별자치시 부강면 행산리 448", "지도Link")</f>
        <v/>
      </c>
      <c r="N3113" s="6">
        <f>HYPERLINK("http://www.eum.go.kr/web/ar/lu/luLandDet.jsp?pnu=3611033022104480000&amp;isNoScr=script&amp;mode=search", "토지이음")</f>
        <v/>
      </c>
      <c r="O3113" s="3" t="inlineStr">
        <is>
          <t>돈방석</t>
        </is>
      </c>
      <c r="P3113" s="3" t="n">
        <v>3</v>
      </c>
      <c r="Q3113" s="3" t="n">
        <v>7790.7</v>
      </c>
      <c r="R3113" s="3" t="inlineStr">
        <is>
          <t>지정되지않음</t>
        </is>
      </c>
      <c r="S3113" s="3" t="inlineStr">
        <is>
          <t>답</t>
        </is>
      </c>
      <c r="T3113" s="3" t="inlineStr">
        <is>
          <t>평지</t>
        </is>
      </c>
      <c r="U3113" s="3" t="inlineStr">
        <is>
          <t>세로장방</t>
        </is>
      </c>
      <c r="V3113" s="3" t="inlineStr">
        <is>
          <t>세로한면(가)</t>
        </is>
      </c>
    </row>
    <row r="3114">
      <c r="A3114" s="3" t="inlineStr">
        <is>
          <t>세종특별자치시 부강면 행산리 552</t>
        </is>
      </c>
      <c r="B3114" s="3" t="inlineStr">
        <is>
          <t>농림지역</t>
        </is>
      </c>
      <c r="C3114" s="3" t="inlineStr">
        <is>
          <t>답</t>
        </is>
      </c>
      <c r="D3114" s="3" t="inlineStr">
        <is>
          <t>답</t>
        </is>
      </c>
      <c r="E3114" s="3" t="inlineStr">
        <is>
          <t>매매</t>
        </is>
      </c>
      <c r="F3114" s="4" t="n">
        <v>38000</v>
      </c>
      <c r="G3114" s="4" t="n">
        <v>2853</v>
      </c>
      <c r="H3114" s="4" t="n">
        <v>863</v>
      </c>
      <c r="I3114" s="5" t="n">
        <v>44</v>
      </c>
      <c r="J3114" s="4" t="n">
        <v>16.9</v>
      </c>
      <c r="K3114" s="3" t="inlineStr">
        <is>
          <t>급매물 입니다 평당 45만원 입니다.</t>
        </is>
      </c>
      <c r="L3114" s="6">
        <f>HYPERLINK("https://fin.land.naver.com/articles/2649632999", "매물Link")</f>
        <v/>
      </c>
      <c r="M3114" s="6">
        <f>HYPERLINK("https://map.naver.com/p/search/세종특별자치시 부강면 행산리 552", "지도Link")</f>
        <v/>
      </c>
      <c r="N3114" s="6">
        <f>HYPERLINK("http://www.eum.go.kr/web/ar/lu/luLandDet.jsp?pnu=3611033022105520000&amp;isNoScr=script&amp;mode=search", "토지이음")</f>
        <v/>
      </c>
      <c r="O3114" s="3" t="inlineStr">
        <is>
          <t>승미</t>
        </is>
      </c>
      <c r="P3114" s="3" t="n">
        <v>2</v>
      </c>
      <c r="Q3114" s="3" t="n">
        <v>2853.3</v>
      </c>
      <c r="R3114" s="3" t="inlineStr">
        <is>
          <t>지정되지않음</t>
        </is>
      </c>
      <c r="S3114" s="3" t="inlineStr">
        <is>
          <t>답</t>
        </is>
      </c>
      <c r="T3114" s="3" t="inlineStr">
        <is>
          <t>평지</t>
        </is>
      </c>
      <c r="U3114" s="3" t="inlineStr">
        <is>
          <t>세로장방</t>
        </is>
      </c>
      <c r="V3114" s="3" t="inlineStr">
        <is>
          <t>세로한면(가)</t>
        </is>
      </c>
    </row>
    <row r="3115">
      <c r="A3115" s="3" t="inlineStr">
        <is>
          <t>세종특별자치시 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농업인주택 및 경작용 토지매매</t>
        </is>
      </c>
      <c r="L3115" s="6">
        <f>HYPERLINK("https://fin.land.naver.com/articles/2646698782", "매물Link")</f>
        <v/>
      </c>
      <c r="M3115" s="6">
        <f>HYPERLINK("https://map.naver.com/p/search/세종특별자치시 부강면 행산리 615", "지도Link")</f>
        <v/>
      </c>
      <c r="N3115" s="6">
        <f>HYPERLINK("http://www.eum.go.kr/web/ar/lu/luLandDet.jsp?pnu=3611033022106150000&amp;isNoScr=script&amp;mode=search", "토지이음")</f>
        <v/>
      </c>
      <c r="O3115" s="3" t="inlineStr">
        <is>
          <t>광장</t>
        </is>
      </c>
      <c r="P3115" s="3" t="n">
        <v>1</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세종특별자치시 부강면 행산리 615</t>
        </is>
      </c>
      <c r="B3116" s="3" t="inlineStr">
        <is>
          <t>농림지역</t>
        </is>
      </c>
      <c r="C3116" s="3" t="inlineStr">
        <is>
          <t>답</t>
        </is>
      </c>
      <c r="D3116" s="3" t="inlineStr">
        <is>
          <t>답</t>
        </is>
      </c>
      <c r="E3116" s="3" t="inlineStr">
        <is>
          <t>매매</t>
        </is>
      </c>
      <c r="F3116" s="4" t="n">
        <v>57000</v>
      </c>
      <c r="G3116" s="4" t="n">
        <v>1871</v>
      </c>
      <c r="H3116" s="4" t="n">
        <v>566</v>
      </c>
      <c r="I3116" s="5" t="n">
        <v>100.7</v>
      </c>
      <c r="J3116" s="4" t="n">
        <v>18.1</v>
      </c>
      <c r="K3116" s="3" t="inlineStr">
        <is>
          <t>2차선변 위치,마을인접,토지바로앞에 버스정류장 있어요</t>
        </is>
      </c>
      <c r="L3116" s="6">
        <f>HYPERLINK("https://fin.land.naver.com/articles/2646799670", "매물Link")</f>
        <v/>
      </c>
      <c r="M3116" s="6">
        <f>HYPERLINK("https://map.naver.com/p/search/세종특별자치시 부강면 행산리 615", "지도Link")</f>
        <v/>
      </c>
      <c r="N3116" s="6">
        <f>HYPERLINK("http://www.eum.go.kr/web/ar/lu/luLandDet.jsp?pnu=3611033022106150000&amp;isNoScr=script&amp;mode=search", "토지이음")</f>
        <v/>
      </c>
      <c r="O3116" s="3" t="inlineStr">
        <is>
          <t>가치잇는</t>
        </is>
      </c>
      <c r="P3116" s="3" t="n">
        <v>6</v>
      </c>
      <c r="Q3116" s="3" t="n">
        <v>1871.1</v>
      </c>
      <c r="R3116" s="3" t="inlineStr">
        <is>
          <t>지정되지않음</t>
        </is>
      </c>
      <c r="S3116" s="3" t="inlineStr">
        <is>
          <t>답</t>
        </is>
      </c>
      <c r="T3116" s="3" t="inlineStr">
        <is>
          <t>평지</t>
        </is>
      </c>
      <c r="U3116" s="3" t="inlineStr">
        <is>
          <t>사다리형</t>
        </is>
      </c>
      <c r="V3116" s="3" t="inlineStr">
        <is>
          <t>세로한면(가)</t>
        </is>
      </c>
    </row>
    <row r="3117">
      <c r="A3117" s="3" t="inlineStr">
        <is>
          <t>세종특별자치시 부강면 행산리 산65</t>
        </is>
      </c>
      <c r="B3117" s="3" t="inlineStr">
        <is>
          <t>보전관리지역</t>
        </is>
      </c>
      <c r="C3117" s="3" t="inlineStr">
        <is>
          <t>임야</t>
        </is>
      </c>
      <c r="D3117" s="3" t="inlineStr">
        <is>
          <t>임야</t>
        </is>
      </c>
      <c r="E3117" s="3" t="inlineStr">
        <is>
          <t>매매</t>
        </is>
      </c>
      <c r="F3117" s="4" t="n">
        <v>18300</v>
      </c>
      <c r="G3117" s="4" t="n">
        <v>6236</v>
      </c>
      <c r="H3117" s="4" t="n">
        <v>1886</v>
      </c>
      <c r="I3117" s="5" t="n">
        <v>9.699999999999999</v>
      </c>
      <c r="J3117" s="4" t="n">
        <v>2.6</v>
      </c>
      <c r="K3117" s="3" t="inlineStr">
        <is>
          <t>현황도로 접, 뽕나무 등 식재, 자연인  이나 휴식용공간으로 추천</t>
        </is>
      </c>
      <c r="L3117" s="6">
        <f>HYPERLINK("https://fin.land.naver.com/articles/2649547090", "매물Link")</f>
        <v/>
      </c>
      <c r="M3117" s="6">
        <f>HYPERLINK("https://map.naver.com/p/search/세종특별자치시 부강면 행산리 산65", "지도Link")</f>
        <v/>
      </c>
      <c r="N3117" s="6">
        <f>HYPERLINK("http://www.eum.go.kr/web/ar/lu/luLandDet.jsp?pnu=3611033022200650000&amp;isNoScr=script&amp;mode=search", "토지이음")</f>
        <v/>
      </c>
      <c r="O3117" s="3" t="inlineStr">
        <is>
          <t>박단아사사무소</t>
        </is>
      </c>
      <c r="P3117" s="3" t="n">
        <v>1</v>
      </c>
      <c r="Q3117" s="3" t="n">
        <v>6236</v>
      </c>
      <c r="R3117" s="3" t="inlineStr">
        <is>
          <t>지정되지않음</t>
        </is>
      </c>
      <c r="S3117" s="3" t="inlineStr">
        <is>
          <t>자연림</t>
        </is>
      </c>
      <c r="T3117" s="3" t="inlineStr">
        <is>
          <t>완경사</t>
        </is>
      </c>
      <c r="U3117" s="3" t="inlineStr">
        <is>
          <t>부정형</t>
        </is>
      </c>
      <c r="V3117" s="3" t="inlineStr">
        <is>
          <t>맹지</t>
        </is>
      </c>
    </row>
    <row r="3118">
      <c r="A3118" s="3" t="inlineStr">
        <is>
          <t>세종특별자치시 산울동 산28</t>
        </is>
      </c>
      <c r="B3118" s="3" t="inlineStr">
        <is>
          <t>제1종전용주거지역</t>
        </is>
      </c>
      <c r="C3118" s="3" t="inlineStr">
        <is>
          <t>임야</t>
        </is>
      </c>
      <c r="D3118" s="3" t="inlineStr">
        <is>
          <t>종교용지</t>
        </is>
      </c>
      <c r="E3118" s="3" t="inlineStr">
        <is>
          <t>매매</t>
        </is>
      </c>
      <c r="F3118" s="4" t="n">
        <v>470000</v>
      </c>
      <c r="G3118" s="4" t="n">
        <v>1672</v>
      </c>
      <c r="H3118" s="4" t="n">
        <v>506</v>
      </c>
      <c r="I3118" s="5" t="n">
        <v>928.9</v>
      </c>
      <c r="J3118" s="4" t="n">
        <v>22.9</v>
      </c>
      <c r="K3118" s="3" t="inlineStr">
        <is>
          <t>nan</t>
        </is>
      </c>
      <c r="L3118" s="6">
        <f>HYPERLINK("https://fin.land.naver.com/articles/2649955074", "매물Link")</f>
        <v/>
      </c>
      <c r="M3118" s="6">
        <f>HYPERLINK("https://map.naver.com/p/search/세종특별자치시 산울동 산28", "지도Link")</f>
        <v/>
      </c>
      <c r="N3118" s="6">
        <f>HYPERLINK("http://www.eum.go.kr/web/ar/lu/luLandDet.jsp?pnu=3611011500200280000&amp;isNoScr=script&amp;mode=search", "토지이음")</f>
        <v/>
      </c>
      <c r="O3118" s="3" t="inlineStr">
        <is>
          <t>세종로또</t>
        </is>
      </c>
      <c r="P3118" s="3" t="n">
        <v>1</v>
      </c>
      <c r="Q3118" s="3" t="n">
        <v>5072</v>
      </c>
      <c r="R3118" s="3" t="inlineStr">
        <is>
          <t>자연녹지지역</t>
        </is>
      </c>
      <c r="S3118" s="3" t="inlineStr">
        <is>
          <t>자연림</t>
        </is>
      </c>
      <c r="T3118" s="3" t="inlineStr">
        <is>
          <t>완경사</t>
        </is>
      </c>
      <c r="U3118" s="3" t="inlineStr">
        <is>
          <t>부정형</t>
        </is>
      </c>
      <c r="V3118" s="3" t="inlineStr">
        <is>
          <t>맹지</t>
        </is>
      </c>
    </row>
    <row r="3119">
      <c r="A3119" s="3" t="inlineStr">
        <is>
          <t>세종특별자치시 소정면 고등리 11</t>
        </is>
      </c>
      <c r="B3119" s="3" t="inlineStr">
        <is>
          <t>계획관리지역</t>
        </is>
      </c>
      <c r="C3119" s="3" t="inlineStr">
        <is>
          <t>전</t>
        </is>
      </c>
      <c r="D3119" s="3" t="inlineStr">
        <is>
          <t>전</t>
        </is>
      </c>
      <c r="E3119" s="3" t="inlineStr">
        <is>
          <t>매매</t>
        </is>
      </c>
      <c r="F3119" s="4" t="n">
        <v>180000</v>
      </c>
      <c r="G3119" s="4" t="n">
        <v>5856</v>
      </c>
      <c r="H3119" s="4" t="n">
        <v>1771</v>
      </c>
      <c r="I3119" s="5" t="n">
        <v>101.6</v>
      </c>
      <c r="J3119" s="4" t="n">
        <v>27.3</v>
      </c>
      <c r="K3119" s="3" t="inlineStr">
        <is>
          <t>세종 스마트그린산업단지 인근 저렴한 창고부지</t>
        </is>
      </c>
      <c r="L3119" s="6">
        <f>HYPERLINK("https://fin.land.naver.com/articles/2645609198", "매물Link")</f>
        <v/>
      </c>
      <c r="M3119" s="6">
        <f>HYPERLINK("https://map.naver.com/p/search/세종특별자치시 소정면 고등리 11", "지도Link")</f>
        <v/>
      </c>
      <c r="N3119" s="6">
        <f>HYPERLINK("http://www.eum.go.kr/web/ar/lu/luLandDet.jsp?pnu=3611039024100110000&amp;isNoScr=script&amp;mode=search", "토지이음")</f>
        <v/>
      </c>
      <c r="O3119" s="3" t="inlineStr">
        <is>
          <t>청담</t>
        </is>
      </c>
      <c r="P3119" s="3" t="n">
        <v>1</v>
      </c>
      <c r="Q3119" s="3" t="n">
        <v>3859</v>
      </c>
      <c r="R3119" s="3" t="inlineStr">
        <is>
          <t>지정되지않음</t>
        </is>
      </c>
      <c r="S3119" s="3" t="inlineStr">
        <is>
          <t>전</t>
        </is>
      </c>
      <c r="T3119" s="3" t="inlineStr">
        <is>
          <t>완경사</t>
        </is>
      </c>
      <c r="U3119" s="3" t="inlineStr">
        <is>
          <t>부정형</t>
        </is>
      </c>
      <c r="V3119" s="3" t="inlineStr">
        <is>
          <t>세로한면(가)</t>
        </is>
      </c>
    </row>
    <row r="3120">
      <c r="A3120" s="3" t="inlineStr">
        <is>
          <t>세종특별자치시 소정면 고등리 230-1</t>
        </is>
      </c>
      <c r="B3120" s="3" t="inlineStr">
        <is>
          <t>계획관리지역</t>
        </is>
      </c>
      <c r="C3120" s="3" t="inlineStr">
        <is>
          <t>목장용지</t>
        </is>
      </c>
      <c r="D3120" s="3" t="inlineStr">
        <is>
          <t>목장용지</t>
        </is>
      </c>
      <c r="E3120" s="3" t="inlineStr">
        <is>
          <t>매매</t>
        </is>
      </c>
      <c r="F3120" s="4" t="n">
        <v>2080000</v>
      </c>
      <c r="G3120" s="4" t="n">
        <v>27530</v>
      </c>
      <c r="H3120" s="4" t="n">
        <v>8328</v>
      </c>
      <c r="I3120" s="5" t="n">
        <v>249.8</v>
      </c>
      <c r="J3120" s="4" t="n">
        <v>26.1</v>
      </c>
      <c r="K3120" s="3" t="inlineStr">
        <is>
          <t>게획관리지역  대형평수 공장부지</t>
        </is>
      </c>
      <c r="L3120" s="6">
        <f>HYPERLINK("https://fin.land.naver.com/articles/2644392431", "매물Link")</f>
        <v/>
      </c>
      <c r="M3120" s="6">
        <f>HYPERLINK("https://map.naver.com/p/search/세종특별자치시 소정면 고등리 230-1", "지도Link")</f>
        <v/>
      </c>
      <c r="N3120" s="6">
        <f>HYPERLINK("http://www.eum.go.kr/web/ar/lu/luLandDet.jsp?pnu=3611039024102300001&amp;isNoScr=script&amp;mode=search", "토지이음")</f>
        <v/>
      </c>
      <c r="O3120" s="3" t="inlineStr">
        <is>
          <t>글로벌</t>
        </is>
      </c>
      <c r="P3120" s="3" t="n">
        <v>1</v>
      </c>
      <c r="Q3120" s="3" t="n">
        <v>19819</v>
      </c>
      <c r="R3120" s="3" t="inlineStr">
        <is>
          <t>지정되지않음</t>
        </is>
      </c>
      <c r="S3120" s="3" t="inlineStr">
        <is>
          <t>전축사</t>
        </is>
      </c>
      <c r="T3120" s="3" t="inlineStr">
        <is>
          <t>급경사</t>
        </is>
      </c>
      <c r="U3120" s="3" t="inlineStr">
        <is>
          <t>사다리형</t>
        </is>
      </c>
      <c r="V3120" s="3" t="inlineStr">
        <is>
          <t>세로한면(가)</t>
        </is>
      </c>
    </row>
    <row r="3121">
      <c r="A3121" s="3" t="inlineStr">
        <is>
          <t>세종특별자치시 소정면 고등리 26-5</t>
        </is>
      </c>
      <c r="B3121" s="3" t="inlineStr">
        <is>
          <t>계획관리지역</t>
        </is>
      </c>
      <c r="C3121" s="3" t="inlineStr">
        <is>
          <t>전</t>
        </is>
      </c>
      <c r="D3121" s="3" t="inlineStr">
        <is>
          <t>전</t>
        </is>
      </c>
      <c r="E3121" s="3" t="inlineStr">
        <is>
          <t>매매</t>
        </is>
      </c>
      <c r="F3121" s="4" t="n">
        <v>296000</v>
      </c>
      <c r="G3121" s="4" t="n">
        <v>6520</v>
      </c>
      <c r="H3121" s="4" t="n">
        <v>1972</v>
      </c>
      <c r="I3121" s="5" t="n">
        <v>150.1</v>
      </c>
      <c r="J3121" s="4" t="n">
        <v>27.5</v>
      </c>
      <c r="K3121" s="3" t="inlineStr">
        <is>
          <t>스마트그린일반산업단지 초인접 4차선도로 접한 계획관리 토지</t>
        </is>
      </c>
      <c r="L3121" s="6">
        <f>HYPERLINK("https://fin.land.naver.com/articles/2647868514", "매물Link")</f>
        <v/>
      </c>
      <c r="M3121" s="6">
        <f>HYPERLINK("https://map.naver.com/p/search/세종특별자치시 소정면 고등리 26-5", "지도Link")</f>
        <v/>
      </c>
      <c r="N3121" s="6">
        <f>HYPERLINK("http://www.eum.go.kr/web/ar/lu/luLandDet.jsp?pnu=3611039024100260005&amp;isNoScr=script&amp;mode=search", "토지이음")</f>
        <v/>
      </c>
      <c r="O3121" s="3" t="inlineStr">
        <is>
          <t>스카이</t>
        </is>
      </c>
      <c r="P3121" s="3" t="n">
        <v>1</v>
      </c>
      <c r="Q3121" s="3" t="n">
        <v>6520</v>
      </c>
      <c r="R3121" s="3" t="inlineStr">
        <is>
          <t>지정되지않음</t>
        </is>
      </c>
      <c r="S3121" s="3" t="inlineStr">
        <is>
          <t>전</t>
        </is>
      </c>
      <c r="T3121" s="3" t="inlineStr">
        <is>
          <t>완경사</t>
        </is>
      </c>
      <c r="U3121" s="3" t="inlineStr">
        <is>
          <t>부정형</t>
        </is>
      </c>
      <c r="V3121" s="3" t="inlineStr">
        <is>
          <t>소로한면</t>
        </is>
      </c>
    </row>
    <row r="3122">
      <c r="A3122" s="3" t="inlineStr">
        <is>
          <t>세종특별자치시 소정면 고등리 408-1</t>
        </is>
      </c>
      <c r="B3122" s="3" t="inlineStr">
        <is>
          <t>계획관리지역</t>
        </is>
      </c>
      <c r="C3122" s="3" t="inlineStr">
        <is>
          <t>전</t>
        </is>
      </c>
      <c r="D3122" s="3" t="inlineStr">
        <is>
          <t>전</t>
        </is>
      </c>
      <c r="E3122" s="3" t="inlineStr">
        <is>
          <t>매매</t>
        </is>
      </c>
      <c r="F3122" s="4" t="n">
        <v>600000</v>
      </c>
      <c r="G3122" s="4" t="n">
        <v>9268</v>
      </c>
      <c r="H3122" s="4" t="n">
        <v>2804</v>
      </c>
      <c r="I3122" s="5" t="n">
        <v>214</v>
      </c>
      <c r="J3122" s="4" t="n">
        <v>40.1</v>
      </c>
      <c r="K3122" s="3" t="inlineStr">
        <is>
          <t>산단 초근접 4차선대로접 계획관리지역(성장관리계획구역)</t>
        </is>
      </c>
      <c r="L3122" s="6">
        <f>HYPERLINK("https://fin.land.naver.com/articles/2645763010", "매물Link")</f>
        <v/>
      </c>
      <c r="M3122" s="6">
        <f>HYPERLINK("https://map.naver.com/p/search/세종특별자치시 소정면 고등리 408-1", "지도Link")</f>
        <v/>
      </c>
      <c r="N3122" s="6">
        <f>HYPERLINK("http://www.eum.go.kr/web/ar/lu/luLandDet.jsp?pnu=3611039024104080001&amp;isNoScr=script&amp;mode=search", "토지이음")</f>
        <v/>
      </c>
      <c r="O3122" s="3" t="inlineStr">
        <is>
          <t>드림</t>
        </is>
      </c>
      <c r="P3122" s="3" t="n">
        <v>1</v>
      </c>
      <c r="Q3122" s="3" t="n">
        <v>3412</v>
      </c>
      <c r="R3122" s="3" t="inlineStr">
        <is>
          <t>지정되지않음</t>
        </is>
      </c>
      <c r="S3122" s="3" t="inlineStr">
        <is>
          <t>답</t>
        </is>
      </c>
      <c r="T3122" s="3" t="inlineStr">
        <is>
          <t>평지</t>
        </is>
      </c>
      <c r="U3122" s="3" t="inlineStr">
        <is>
          <t>부정형</t>
        </is>
      </c>
      <c r="V3122" s="3" t="inlineStr">
        <is>
          <t>소로각지</t>
        </is>
      </c>
    </row>
    <row r="3123">
      <c r="A3123" s="3" t="inlineStr">
        <is>
          <t>세종특별자치시 소정면 고등리 410-10</t>
        </is>
      </c>
      <c r="B3123" s="3" t="inlineStr">
        <is>
          <t>농림지역</t>
        </is>
      </c>
      <c r="C3123" s="3" t="inlineStr">
        <is>
          <t>공장용지</t>
        </is>
      </c>
      <c r="D3123" s="3" t="inlineStr">
        <is>
          <t>공장용지</t>
        </is>
      </c>
      <c r="E3123" s="3" t="inlineStr">
        <is>
          <t>매매</t>
        </is>
      </c>
      <c r="F3123" s="4" t="n">
        <v>25000</v>
      </c>
      <c r="G3123" s="4" t="n">
        <v>378</v>
      </c>
      <c r="H3123" s="4" t="n">
        <v>114</v>
      </c>
      <c r="I3123" s="5" t="n">
        <v>219.3</v>
      </c>
      <c r="J3123" s="4" t="n">
        <v>24.6</v>
      </c>
      <c r="K3123" s="3" t="inlineStr">
        <is>
          <t>세종일반산업단지 근처임,공장용지,대로변 접함,</t>
        </is>
      </c>
      <c r="L3123" s="6">
        <f>HYPERLINK("https://fin.land.naver.com/articles/2647978683", "매물Link")</f>
        <v/>
      </c>
      <c r="M3123" s="6">
        <f>HYPERLINK("https://map.naver.com/p/search/세종특별자치시 소정면 고등리 410-10", "지도Link")</f>
        <v/>
      </c>
      <c r="N3123" s="6">
        <f>HYPERLINK("http://www.eum.go.kr/web/ar/lu/luLandDet.jsp?pnu=3611039024104100010&amp;isNoScr=script&amp;mode=search", "토지이음")</f>
        <v/>
      </c>
      <c r="O3123" s="3" t="inlineStr">
        <is>
          <t>신두정3차</t>
        </is>
      </c>
      <c r="P3123" s="3" t="n">
        <v>2</v>
      </c>
      <c r="Q3123" s="3" t="n">
        <v>378</v>
      </c>
      <c r="R3123" s="3" t="inlineStr">
        <is>
          <t>지정되지않음</t>
        </is>
      </c>
      <c r="S3123" s="3" t="inlineStr">
        <is>
          <t>공업용</t>
        </is>
      </c>
      <c r="T3123" s="3" t="inlineStr">
        <is>
          <t>평지</t>
        </is>
      </c>
      <c r="U3123" s="3" t="inlineStr">
        <is>
          <t>부정형</t>
        </is>
      </c>
      <c r="V3123" s="3" t="inlineStr">
        <is>
          <t>소로한면</t>
        </is>
      </c>
    </row>
    <row r="3124">
      <c r="A3124" s="3" t="inlineStr">
        <is>
          <t>세종특별자치시 소정면 고등리 441</t>
        </is>
      </c>
      <c r="B3124" s="3" t="inlineStr">
        <is>
          <t>계획관리지역</t>
        </is>
      </c>
      <c r="C3124" s="3" t="inlineStr">
        <is>
          <t>전</t>
        </is>
      </c>
      <c r="D3124" s="3" t="inlineStr">
        <is>
          <t>전</t>
        </is>
      </c>
      <c r="E3124" s="3" t="inlineStr">
        <is>
          <t>매매</t>
        </is>
      </c>
      <c r="F3124" s="4" t="n">
        <v>16000</v>
      </c>
      <c r="G3124" s="4" t="n">
        <v>1304</v>
      </c>
      <c r="H3124" s="4" t="n">
        <v>394</v>
      </c>
      <c r="I3124" s="5" t="n">
        <v>40.6</v>
      </c>
      <c r="J3124" s="4" t="n">
        <v>21.4</v>
      </c>
      <c r="K3124" s="3" t="inlineStr">
        <is>
          <t>감정가 이하 급매 스마트그린산업단지 인접 계획관리지역 토지</t>
        </is>
      </c>
      <c r="L3124" s="6">
        <f>HYPERLINK("https://fin.land.naver.com/articles/2646856959", "매물Link")</f>
        <v/>
      </c>
      <c r="M3124" s="6">
        <f>HYPERLINK("https://map.naver.com/p/search/세종특별자치시 소정면 고등리 441", "지도Link")</f>
        <v/>
      </c>
      <c r="N3124" s="6">
        <f>HYPERLINK("http://www.eum.go.kr/web/ar/lu/luLandDet.jsp?pnu=3611039024104410000&amp;isNoScr=script&amp;mode=search", "토지이음")</f>
        <v/>
      </c>
      <c r="O3124" s="3" t="inlineStr">
        <is>
          <t>법조연합은온</t>
        </is>
      </c>
      <c r="P3124" s="3" t="n">
        <v>1</v>
      </c>
      <c r="Q3124" s="3" t="n">
        <v>1304.9</v>
      </c>
      <c r="R3124" s="3" t="inlineStr">
        <is>
          <t>지정되지않음</t>
        </is>
      </c>
      <c r="S3124" s="3" t="inlineStr">
        <is>
          <t>전</t>
        </is>
      </c>
      <c r="T3124" s="3" t="inlineStr">
        <is>
          <t>완경사</t>
        </is>
      </c>
      <c r="U3124" s="3" t="inlineStr">
        <is>
          <t>부정형</t>
        </is>
      </c>
      <c r="V3124" s="3" t="inlineStr">
        <is>
          <t>맹지</t>
        </is>
      </c>
    </row>
    <row r="3125">
      <c r="A3125" s="3" t="inlineStr">
        <is>
          <t>세종특별자치시 소정면 고등리 453</t>
        </is>
      </c>
      <c r="B3125" s="3" t="inlineStr">
        <is>
          <t>계획관리지역</t>
        </is>
      </c>
      <c r="C3125" s="3" t="inlineStr">
        <is>
          <t>전</t>
        </is>
      </c>
      <c r="D3125" s="3" t="inlineStr">
        <is>
          <t>전</t>
        </is>
      </c>
      <c r="E3125" s="3" t="inlineStr">
        <is>
          <t>매매</t>
        </is>
      </c>
      <c r="F3125" s="4" t="n">
        <v>124550</v>
      </c>
      <c r="G3125" s="4" t="n">
        <v>3580</v>
      </c>
      <c r="H3125" s="4" t="n">
        <v>1083</v>
      </c>
      <c r="I3125" s="5" t="n">
        <v>115</v>
      </c>
      <c r="J3125" s="4" t="n">
        <v>25</v>
      </c>
      <c r="K3125" s="3" t="inlineStr">
        <is>
          <t>세종스마트그린일반산업단지 권역 다용도 토지</t>
        </is>
      </c>
      <c r="L3125" s="6">
        <f>HYPERLINK("https://fin.land.naver.com/articles/2644939781", "매물Link")</f>
        <v/>
      </c>
      <c r="M3125" s="6">
        <f>HYPERLINK("https://map.naver.com/p/search/세종특별자치시 소정면 고등리 453", "지도Link")</f>
        <v/>
      </c>
      <c r="N3125" s="6">
        <f>HYPERLINK("http://www.eum.go.kr/web/ar/lu/luLandDet.jsp?pnu=3611039024104530000&amp;isNoScr=script&amp;mode=search", "토지이음")</f>
        <v/>
      </c>
      <c r="O3125" s="3" t="inlineStr">
        <is>
          <t>단촌</t>
        </is>
      </c>
      <c r="P3125" s="3" t="n">
        <v>1</v>
      </c>
      <c r="Q3125" s="3" t="n">
        <v>1193</v>
      </c>
      <c r="R3125" s="3" t="inlineStr">
        <is>
          <t>지정되지않음</t>
        </is>
      </c>
      <c r="S3125" s="3" t="inlineStr">
        <is>
          <t>전기타</t>
        </is>
      </c>
      <c r="T3125" s="3" t="inlineStr">
        <is>
          <t>완경사</t>
        </is>
      </c>
      <c r="U3125" s="3" t="inlineStr">
        <is>
          <t>사다리형</t>
        </is>
      </c>
      <c r="V3125" s="3" t="inlineStr">
        <is>
          <t>세로한면(가)</t>
        </is>
      </c>
    </row>
    <row r="3126">
      <c r="A3126" s="3" t="inlineStr">
        <is>
          <t>세종특별자치시 소정면 고등리 536</t>
        </is>
      </c>
      <c r="B3126" s="3" t="inlineStr">
        <is>
          <t>계획관리지역</t>
        </is>
      </c>
      <c r="C3126" s="3" t="inlineStr">
        <is>
          <t>전</t>
        </is>
      </c>
      <c r="D3126" s="3" t="inlineStr">
        <is>
          <t>전</t>
        </is>
      </c>
      <c r="E3126" s="3" t="inlineStr">
        <is>
          <t>매매</t>
        </is>
      </c>
      <c r="F3126" s="4" t="n">
        <v>148800</v>
      </c>
      <c r="G3126" s="4" t="n">
        <v>5785</v>
      </c>
      <c r="H3126" s="4" t="n">
        <v>1750</v>
      </c>
      <c r="I3126" s="5" t="n">
        <v>85</v>
      </c>
      <c r="J3126" s="4" t="n">
        <v>23.3</v>
      </c>
      <c r="K3126" s="3" t="inlineStr">
        <is>
          <t>세종스마트그린일반산업단지 권역 다용도 토지</t>
        </is>
      </c>
      <c r="L3126" s="6">
        <f>HYPERLINK("https://fin.land.naver.com/articles/2644939896", "매물Link")</f>
        <v/>
      </c>
      <c r="M3126" s="6">
        <f>HYPERLINK("https://map.naver.com/p/search/세종특별자치시 소정면 고등리 536", "지도Link")</f>
        <v/>
      </c>
      <c r="N3126" s="6">
        <f>HYPERLINK("http://www.eum.go.kr/web/ar/lu/luLandDet.jsp?pnu=3611039024105360000&amp;isNoScr=script&amp;mode=search", "토지이음")</f>
        <v/>
      </c>
      <c r="O3126" s="3" t="inlineStr">
        <is>
          <t>단촌</t>
        </is>
      </c>
      <c r="P3126" s="3" t="n">
        <v>1</v>
      </c>
      <c r="Q3126" s="3" t="n">
        <v>4768.7</v>
      </c>
      <c r="R3126" s="3" t="inlineStr">
        <is>
          <t>지정되지않음</t>
        </is>
      </c>
      <c r="S3126" s="3" t="inlineStr">
        <is>
          <t>전</t>
        </is>
      </c>
      <c r="T3126" s="3" t="inlineStr">
        <is>
          <t>완경사</t>
        </is>
      </c>
      <c r="U3126" s="3" t="inlineStr">
        <is>
          <t>부정형</t>
        </is>
      </c>
      <c r="V3126" s="3" t="inlineStr">
        <is>
          <t>세로한면(가)</t>
        </is>
      </c>
    </row>
    <row r="3127">
      <c r="A3127" s="3" t="inlineStr">
        <is>
          <t>세종특별자치시 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산업단지 바로 건너평에 있는 토지로 공장또는 창고용으로 추천함</t>
        </is>
      </c>
      <c r="L3127" s="6">
        <f>HYPERLINK("https://fin.land.naver.com/articles/2648518809", "매물Link")</f>
        <v/>
      </c>
      <c r="M3127" s="6">
        <f>HYPERLINK("https://map.naver.com/p/search/세종특별자치시 소정면 고등리 579", "지도Link")</f>
        <v/>
      </c>
      <c r="N3127" s="6">
        <f>HYPERLINK("http://www.eum.go.kr/web/ar/lu/luLandDet.jsp?pnu=3611039024105790000&amp;isNoScr=script&amp;mode=search", "토지이음")</f>
        <v/>
      </c>
      <c r="O3127" s="3" t="inlineStr">
        <is>
          <t>세종리츠</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세종특별자치시 소정면 고등리 579</t>
        </is>
      </c>
      <c r="B3128" s="3" t="inlineStr">
        <is>
          <t>계획관리지역</t>
        </is>
      </c>
      <c r="C3128" s="3" t="inlineStr">
        <is>
          <t>답</t>
        </is>
      </c>
      <c r="D3128" s="3" t="inlineStr">
        <is>
          <t>답</t>
        </is>
      </c>
      <c r="E3128" s="3" t="inlineStr">
        <is>
          <t>매매</t>
        </is>
      </c>
      <c r="F3128" s="4" t="n">
        <v>58000</v>
      </c>
      <c r="G3128" s="4" t="n">
        <v>1818</v>
      </c>
      <c r="H3128" s="4" t="n">
        <v>550</v>
      </c>
      <c r="I3128" s="5" t="n">
        <v>105.5</v>
      </c>
      <c r="J3128" s="4" t="n">
        <v>23.3</v>
      </c>
      <c r="K3128" s="3" t="inlineStr">
        <is>
          <t>소정면 고등리 계획관리 도로접 토지매매</t>
        </is>
      </c>
      <c r="L3128" s="6">
        <f>HYPERLINK("https://fin.land.naver.com/articles/2646376211", "매물Link")</f>
        <v/>
      </c>
      <c r="M3128" s="6">
        <f>HYPERLINK("https://map.naver.com/p/search/세종특별자치시 소정면 고등리 579", "지도Link")</f>
        <v/>
      </c>
      <c r="N3128" s="6">
        <f>HYPERLINK("http://www.eum.go.kr/web/ar/lu/luLandDet.jsp?pnu=3611039024105790000&amp;isNoScr=script&amp;mode=search", "토지이음")</f>
        <v/>
      </c>
      <c r="O3128" s="3" t="inlineStr">
        <is>
          <t>재화</t>
        </is>
      </c>
      <c r="P3128" s="3" t="n">
        <v>1</v>
      </c>
      <c r="Q3128" s="3" t="n">
        <v>1818</v>
      </c>
      <c r="R3128" s="3" t="inlineStr">
        <is>
          <t>지정되지않음</t>
        </is>
      </c>
      <c r="S3128" s="3" t="inlineStr">
        <is>
          <t>답</t>
        </is>
      </c>
      <c r="T3128" s="3" t="inlineStr">
        <is>
          <t>완경사</t>
        </is>
      </c>
      <c r="U3128" s="3" t="inlineStr">
        <is>
          <t>부정형</t>
        </is>
      </c>
      <c r="V3128" s="3" t="inlineStr">
        <is>
          <t>세로한면(가)</t>
        </is>
      </c>
    </row>
    <row r="3129">
      <c r="A3129" s="3" t="inlineStr">
        <is>
          <t>세종특별자치시 소정면 고등리 612</t>
        </is>
      </c>
      <c r="B3129" s="3" t="inlineStr">
        <is>
          <t>계획관리지역</t>
        </is>
      </c>
      <c r="C3129" s="3" t="inlineStr">
        <is>
          <t>답</t>
        </is>
      </c>
      <c r="D3129" s="3" t="inlineStr">
        <is>
          <t>답</t>
        </is>
      </c>
      <c r="E3129" s="3" t="inlineStr">
        <is>
          <t>매매</t>
        </is>
      </c>
      <c r="F3129" s="4" t="n">
        <v>250000</v>
      </c>
      <c r="G3129" s="4" t="n">
        <v>7995</v>
      </c>
      <c r="H3129" s="4" t="n">
        <v>2418</v>
      </c>
      <c r="I3129" s="5" t="n">
        <v>103.4</v>
      </c>
      <c r="J3129" s="4" t="n">
        <v>26.1</v>
      </c>
      <c r="K3129" s="3" t="inlineStr">
        <is>
          <t>nan</t>
        </is>
      </c>
      <c r="L3129" s="6">
        <f>HYPERLINK("https://fin.land.naver.com/articles/2645766738", "매물Link")</f>
        <v/>
      </c>
      <c r="M3129" s="6">
        <f>HYPERLINK("https://map.naver.com/p/search/세종특별자치시 소정면 고등리 612", "지도Link")</f>
        <v/>
      </c>
      <c r="N3129" s="6">
        <f>HYPERLINK("http://www.eum.go.kr/web/ar/lu/luLandDet.jsp?pnu=3611039024106120000&amp;isNoScr=script&amp;mode=search", "토지이음")</f>
        <v/>
      </c>
      <c r="O3129" s="3" t="inlineStr">
        <is>
          <t>드림</t>
        </is>
      </c>
      <c r="P3129" s="3" t="n">
        <v>1</v>
      </c>
      <c r="Q3129" s="3" t="n">
        <v>4101</v>
      </c>
      <c r="R3129" s="3" t="inlineStr">
        <is>
          <t>지정되지않음</t>
        </is>
      </c>
      <c r="S3129" s="3" t="inlineStr">
        <is>
          <t>답</t>
        </is>
      </c>
      <c r="T3129" s="3" t="inlineStr">
        <is>
          <t>완경사</t>
        </is>
      </c>
      <c r="U3129" s="3" t="inlineStr">
        <is>
          <t>부정형</t>
        </is>
      </c>
      <c r="V3129" s="3" t="inlineStr">
        <is>
          <t>세로한면(가)</t>
        </is>
      </c>
    </row>
    <row r="3130">
      <c r="A3130" s="3" t="inlineStr">
        <is>
          <t>세종특별자치시 소정면 고등리 622-6</t>
        </is>
      </c>
      <c r="B3130" s="3" t="inlineStr">
        <is>
          <t>계획관리지역</t>
        </is>
      </c>
      <c r="C3130" s="3" t="inlineStr">
        <is>
          <t>답</t>
        </is>
      </c>
      <c r="D3130" s="3" t="inlineStr">
        <is>
          <t>답</t>
        </is>
      </c>
      <c r="E3130" s="3" t="inlineStr">
        <is>
          <t>매매</t>
        </is>
      </c>
      <c r="F3130" s="4" t="n">
        <v>35000</v>
      </c>
      <c r="G3130" s="4" t="n">
        <v>1444</v>
      </c>
      <c r="H3130" s="4" t="n">
        <v>437</v>
      </c>
      <c r="I3130" s="5" t="n">
        <v>80.09999999999999</v>
      </c>
      <c r="J3130" s="4" t="n">
        <v>21.4</v>
      </c>
      <c r="K3130" s="3" t="inlineStr">
        <is>
          <t>nan</t>
        </is>
      </c>
      <c r="L3130" s="6">
        <f>HYPERLINK("https://fin.land.naver.com/articles/2645043559", "매물Link")</f>
        <v/>
      </c>
      <c r="M3130" s="6">
        <f>HYPERLINK("https://map.naver.com/p/search/세종특별자치시 소정면 고등리 622-6", "지도Link")</f>
        <v/>
      </c>
      <c r="N3130" s="6">
        <f>HYPERLINK("http://www.eum.go.kr/web/ar/lu/luLandDet.jsp?pnu=3611039024106220006&amp;isNoScr=script&amp;mode=search", "토지이음")</f>
        <v/>
      </c>
      <c r="O3130" s="3" t="inlineStr">
        <is>
          <t>올라</t>
        </is>
      </c>
      <c r="P3130" s="3" t="n">
        <v>1</v>
      </c>
      <c r="Q3130" s="3" t="n">
        <v>1444.4</v>
      </c>
      <c r="R3130" s="3" t="inlineStr">
        <is>
          <t>지정되지않음</t>
        </is>
      </c>
      <c r="S3130" s="3" t="inlineStr">
        <is>
          <t>답</t>
        </is>
      </c>
      <c r="T3130" s="3" t="inlineStr">
        <is>
          <t>완경사</t>
        </is>
      </c>
      <c r="U3130" s="3" t="inlineStr">
        <is>
          <t>부정형</t>
        </is>
      </c>
      <c r="V3130" s="3" t="inlineStr">
        <is>
          <t>세로한면(불)</t>
        </is>
      </c>
    </row>
    <row r="3131">
      <c r="A3131" s="3" t="inlineStr">
        <is>
          <t>세종특별자치시 소정면 고등리 698-1</t>
        </is>
      </c>
      <c r="B3131" s="3" t="inlineStr">
        <is>
          <t>일반공업지역</t>
        </is>
      </c>
      <c r="C3131" s="3" t="inlineStr">
        <is>
          <t>공장용지</t>
        </is>
      </c>
      <c r="D3131" s="3" t="inlineStr">
        <is>
          <t>공장용지</t>
        </is>
      </c>
      <c r="E3131" s="3" t="inlineStr">
        <is>
          <t>매매</t>
        </is>
      </c>
      <c r="F3131" s="4" t="n">
        <v>230000</v>
      </c>
      <c r="G3131" s="4" t="n">
        <v>5438</v>
      </c>
      <c r="H3131" s="4" t="n">
        <v>1645</v>
      </c>
      <c r="I3131" s="5" t="n">
        <v>139.8</v>
      </c>
      <c r="J3131" s="4" t="n">
        <v>104.9</v>
      </c>
      <c r="K3131" s="3" t="inlineStr">
        <is>
          <t>세종첨단 일반 산업단지, 식품,화학, 의료,플라스틱 등 제조가능</t>
        </is>
      </c>
      <c r="L3131" s="6">
        <f>HYPERLINK("https://fin.land.naver.com/articles/2644802717", "매물Link")</f>
        <v/>
      </c>
      <c r="M3131" s="6">
        <f>HYPERLINK("https://map.naver.com/p/search/세종특별자치시 소정면 고등리 698-1", "지도Link")</f>
        <v/>
      </c>
      <c r="N3131" s="6">
        <f>HYPERLINK("http://www.eum.go.kr/web/ar/lu/luLandDet.jsp?pnu=3611039024106980001&amp;isNoScr=script&amp;mode=search", "토지이음")</f>
        <v/>
      </c>
      <c r="O3131" s="3" t="inlineStr">
        <is>
          <t>플러스자이합동</t>
        </is>
      </c>
      <c r="P3131" s="3" t="n">
        <v>1</v>
      </c>
      <c r="Q3131" s="3" t="n">
        <v>5438.5</v>
      </c>
      <c r="R3131" s="3" t="inlineStr">
        <is>
          <t>지정되지않음</t>
        </is>
      </c>
      <c r="S3131" s="3" t="inlineStr">
        <is>
          <t>공업용</t>
        </is>
      </c>
      <c r="T3131" s="3" t="inlineStr">
        <is>
          <t>평지</t>
        </is>
      </c>
      <c r="U3131" s="3" t="inlineStr">
        <is>
          <t>사다리형</t>
        </is>
      </c>
      <c r="V3131" s="3" t="inlineStr">
        <is>
          <t>중로한면</t>
        </is>
      </c>
    </row>
    <row r="3132">
      <c r="A3132" s="3" t="inlineStr">
        <is>
          <t>세종특별자치시 소정면 고등리 760</t>
        </is>
      </c>
      <c r="B3132" s="3" t="inlineStr">
        <is>
          <t>준공업지역</t>
        </is>
      </c>
      <c r="C3132" s="3" t="inlineStr">
        <is>
          <t>대</t>
        </is>
      </c>
      <c r="D3132" s="3" t="inlineStr">
        <is>
          <t>대</t>
        </is>
      </c>
      <c r="E3132" s="3" t="inlineStr">
        <is>
          <t>매매</t>
        </is>
      </c>
      <c r="F3132" s="4" t="n">
        <v>70000</v>
      </c>
      <c r="G3132" s="4" t="n">
        <v>594</v>
      </c>
      <c r="H3132" s="4" t="n">
        <v>180</v>
      </c>
      <c r="I3132" s="5" t="n">
        <v>388.9</v>
      </c>
      <c r="J3132" s="4" t="n">
        <v>132.5</v>
      </c>
      <c r="K3132" s="3" t="inlineStr">
        <is>
          <t>소정면 세종첨단산업일반단지 도로접한 나대지</t>
        </is>
      </c>
      <c r="L3132" s="6">
        <f>HYPERLINK("https://fin.land.naver.com/articles/2649934140", "매물Link")</f>
        <v/>
      </c>
      <c r="M3132" s="6">
        <f>HYPERLINK("https://map.naver.com/p/search/세종특별자치시 소정면 고등리 760", "지도Link")</f>
        <v/>
      </c>
      <c r="N3132" s="6">
        <f>HYPERLINK("http://www.eum.go.kr/web/ar/lu/luLandDet.jsp?pnu=3611039024107600000&amp;isNoScr=script&amp;mode=search", "토지이음")</f>
        <v/>
      </c>
      <c r="O3132" s="3" t="inlineStr">
        <is>
          <t>세종잘하는</t>
        </is>
      </c>
      <c r="P3132" s="3" t="n">
        <v>1</v>
      </c>
      <c r="Q3132" s="3" t="n">
        <v>293.9</v>
      </c>
      <c r="R3132" s="3" t="inlineStr">
        <is>
          <t>지정되지않음</t>
        </is>
      </c>
      <c r="S3132" s="3" t="inlineStr">
        <is>
          <t>상업나지</t>
        </is>
      </c>
      <c r="T3132" s="3" t="inlineStr">
        <is>
          <t>평지</t>
        </is>
      </c>
      <c r="U3132" s="3" t="inlineStr">
        <is>
          <t>가로장방</t>
        </is>
      </c>
      <c r="V3132" s="3" t="inlineStr">
        <is>
          <t>중로각지</t>
        </is>
      </c>
    </row>
    <row r="3133">
      <c r="A3133" s="3" t="inlineStr">
        <is>
          <t>세종특별자치시 소정면 대곡리 10-21</t>
        </is>
      </c>
      <c r="B3133" s="3" t="inlineStr">
        <is>
          <t>농림지역</t>
        </is>
      </c>
      <c r="C3133" s="3" t="inlineStr">
        <is>
          <t>임야</t>
        </is>
      </c>
      <c r="D3133" s="3" t="inlineStr">
        <is>
          <t>임야</t>
        </is>
      </c>
      <c r="E3133" s="3" t="inlineStr">
        <is>
          <t>매매</t>
        </is>
      </c>
      <c r="F3133" s="4" t="n">
        <v>26000</v>
      </c>
      <c r="G3133" s="4" t="n">
        <v>5732</v>
      </c>
      <c r="H3133" s="4" t="n">
        <v>1734</v>
      </c>
      <c r="I3133" s="5" t="n">
        <v>15</v>
      </c>
      <c r="J3133" s="4" t="n">
        <v>1.4</v>
      </c>
      <c r="K3133" s="3" t="inlineStr">
        <is>
          <t>추천소정대곡리 임야 농림지역 투자용5732㎡ 2차선접 세종첨단산업단지</t>
        </is>
      </c>
      <c r="L3133" s="6">
        <f>HYPERLINK("https://fin.land.naver.com/articles/2644395758", "매물Link")</f>
        <v/>
      </c>
      <c r="M3133" s="6">
        <f>HYPERLINK("https://map.naver.com/p/search/세종특별자치시 소정면 대곡리 10-21", "지도Link")</f>
        <v/>
      </c>
      <c r="N3133" s="6">
        <f>HYPERLINK("http://www.eum.go.kr/web/ar/lu/luLandDet.jsp?pnu=3611039023100100021&amp;isNoScr=script&amp;mode=search", "토지이음")</f>
        <v/>
      </c>
      <c r="O3133" s="3" t="inlineStr">
        <is>
          <t>천안삼거리</t>
        </is>
      </c>
      <c r="P3133" s="3" t="n">
        <v>1</v>
      </c>
      <c r="Q3133" s="3" t="n">
        <v>5732</v>
      </c>
      <c r="R3133" s="3" t="inlineStr">
        <is>
          <t>지정되지않음</t>
        </is>
      </c>
      <c r="S3133" s="3" t="inlineStr">
        <is>
          <t>자연림</t>
        </is>
      </c>
      <c r="T3133" s="3" t="inlineStr">
        <is>
          <t>급경사</t>
        </is>
      </c>
      <c r="U3133" s="3" t="inlineStr">
        <is>
          <t>사다리형</t>
        </is>
      </c>
      <c r="V3133" s="3" t="inlineStr">
        <is>
          <t>맹지</t>
        </is>
      </c>
    </row>
    <row r="3134">
      <c r="A3134" s="3" t="inlineStr">
        <is>
          <t>세종특별자치시 소정면 대곡리 116</t>
        </is>
      </c>
      <c r="B3134" s="3" t="inlineStr">
        <is>
          <t>계획관리지역</t>
        </is>
      </c>
      <c r="C3134" s="3" t="inlineStr">
        <is>
          <t>답</t>
        </is>
      </c>
      <c r="D3134" s="3" t="inlineStr">
        <is>
          <t>답</t>
        </is>
      </c>
      <c r="E3134" s="3" t="inlineStr">
        <is>
          <t>매매</t>
        </is>
      </c>
      <c r="F3134" s="4" t="n">
        <v>55000</v>
      </c>
      <c r="G3134" s="4" t="n">
        <v>3306</v>
      </c>
      <c r="H3134" s="4" t="n">
        <v>1000</v>
      </c>
      <c r="I3134" s="5" t="n">
        <v>55</v>
      </c>
      <c r="J3134" s="4" t="n">
        <v>20.7</v>
      </c>
      <c r="K3134" s="3" t="inlineStr">
        <is>
          <t>3m농로 접한 계획관리 토지</t>
        </is>
      </c>
      <c r="L3134" s="6">
        <f>HYPERLINK("https://fin.land.naver.com/articles/2645606450", "매물Link")</f>
        <v/>
      </c>
      <c r="M3134" s="6">
        <f>HYPERLINK("https://map.naver.com/p/search/세종특별자치시 소정면 대곡리 116", "지도Link")</f>
        <v/>
      </c>
      <c r="N3134" s="6">
        <f>HYPERLINK("http://www.eum.go.kr/web/ar/lu/luLandDet.jsp?pnu=3611039023101160000&amp;isNoScr=script&amp;mode=search", "토지이음")</f>
        <v/>
      </c>
      <c r="O3134" s="3" t="inlineStr">
        <is>
          <t>미스터홈즈강남지사</t>
        </is>
      </c>
      <c r="P3134" s="3" t="n">
        <v>1</v>
      </c>
      <c r="Q3134" s="3" t="n">
        <v>3306</v>
      </c>
      <c r="R3134" s="3" t="inlineStr">
        <is>
          <t>지정되지않음</t>
        </is>
      </c>
      <c r="S3134" s="3" t="inlineStr">
        <is>
          <t>답</t>
        </is>
      </c>
      <c r="T3134" s="3" t="inlineStr">
        <is>
          <t>완경사</t>
        </is>
      </c>
      <c r="U3134" s="3" t="inlineStr">
        <is>
          <t>부정형</t>
        </is>
      </c>
      <c r="V3134" s="3" t="inlineStr">
        <is>
          <t>세로한면(불)</t>
        </is>
      </c>
    </row>
    <row r="3135">
      <c r="A3135" s="3" t="inlineStr">
        <is>
          <t>세종특별자치시 소정면 대곡리 180-1</t>
        </is>
      </c>
      <c r="B3135" s="3" t="inlineStr">
        <is>
          <t>계획관리지역</t>
        </is>
      </c>
      <c r="C3135" s="3" t="inlineStr">
        <is>
          <t>대</t>
        </is>
      </c>
      <c r="D3135" s="3" t="inlineStr">
        <is>
          <t>대</t>
        </is>
      </c>
      <c r="E3135" s="3" t="inlineStr">
        <is>
          <t>매매</t>
        </is>
      </c>
      <c r="F3135" s="4" t="n">
        <v>14000</v>
      </c>
      <c r="G3135" s="4" t="n">
        <v>489</v>
      </c>
      <c r="H3135" s="4" t="n">
        <v>148</v>
      </c>
      <c r="I3135" s="5" t="n">
        <v>94.59999999999999</v>
      </c>
      <c r="J3135" s="4" t="n">
        <v>44.6</v>
      </c>
      <c r="K3135" s="3" t="inlineStr">
        <is>
          <t>소정면 대곡리 주택 매매</t>
        </is>
      </c>
      <c r="L3135" s="6">
        <f>HYPERLINK("https://fin.land.naver.com/articles/2644036861", "매물Link")</f>
        <v/>
      </c>
      <c r="M3135" s="6">
        <f>HYPERLINK("https://map.naver.com/p/search/세종특별자치시 소정면 대곡리 180-1", "지도Link")</f>
        <v/>
      </c>
      <c r="N3135" s="6">
        <f>HYPERLINK("http://www.eum.go.kr/web/ar/lu/luLandDet.jsp?pnu=3611039023101800001&amp;isNoScr=script&amp;mode=search", "토지이음")</f>
        <v/>
      </c>
      <c r="O3135" s="3" t="inlineStr">
        <is>
          <t>재화</t>
        </is>
      </c>
      <c r="P3135" s="3" t="n">
        <v>1</v>
      </c>
      <c r="Q3135" s="3" t="n">
        <v>489</v>
      </c>
      <c r="R3135" s="3" t="inlineStr">
        <is>
          <t>지정되지않음</t>
        </is>
      </c>
      <c r="S3135" s="3" t="inlineStr">
        <is>
          <t>단독</t>
        </is>
      </c>
      <c r="T3135" s="3" t="inlineStr">
        <is>
          <t>평지</t>
        </is>
      </c>
      <c r="U3135" s="3" t="inlineStr">
        <is>
          <t>부정형</t>
        </is>
      </c>
      <c r="V3135" s="3" t="inlineStr">
        <is>
          <t>세로한면(가)</t>
        </is>
      </c>
    </row>
    <row r="3136">
      <c r="A3136" s="3" t="inlineStr">
        <is>
          <t>세종특별자치시 소정면 대곡리 184</t>
        </is>
      </c>
      <c r="B3136" s="3" t="inlineStr">
        <is>
          <t>계획관리지역</t>
        </is>
      </c>
      <c r="C3136" s="3" t="inlineStr">
        <is>
          <t>전</t>
        </is>
      </c>
      <c r="D3136" s="3" t="inlineStr">
        <is>
          <t>전</t>
        </is>
      </c>
      <c r="E3136" s="3" t="inlineStr">
        <is>
          <t>매매</t>
        </is>
      </c>
      <c r="F3136" s="4" t="n">
        <v>30000</v>
      </c>
      <c r="G3136" s="4" t="n">
        <v>1696</v>
      </c>
      <c r="H3136" s="4" t="n">
        <v>513</v>
      </c>
      <c r="I3136" s="5" t="n">
        <v>58.5</v>
      </c>
      <c r="J3136" s="4" t="n">
        <v>25.3</v>
      </c>
      <c r="K3136" s="3" t="inlineStr">
        <is>
          <t>도로접한 토지,마을 안쪽 토지로 전원주택지로 좋음,조용하고 전망좋음</t>
        </is>
      </c>
      <c r="L3136" s="6">
        <f>HYPERLINK("https://fin.land.naver.com/articles/2644295162", "매물Link")</f>
        <v/>
      </c>
      <c r="M3136" s="6">
        <f>HYPERLINK("https://map.naver.com/p/search/세종특별자치시 소정면 대곡리 184", "지도Link")</f>
        <v/>
      </c>
      <c r="N3136" s="6">
        <f>HYPERLINK("http://www.eum.go.kr/web/ar/lu/luLandDet.jsp?pnu=3611039023101840000&amp;isNoScr=script&amp;mode=search", "토지이음")</f>
        <v/>
      </c>
      <c r="O3136" s="3" t="inlineStr">
        <is>
          <t>담뜰</t>
        </is>
      </c>
      <c r="P3136" s="3" t="n">
        <v>1</v>
      </c>
      <c r="Q3136" s="3" t="n">
        <v>1696</v>
      </c>
      <c r="R3136" s="3" t="inlineStr">
        <is>
          <t>지정되지않음</t>
        </is>
      </c>
      <c r="S3136" s="3" t="inlineStr">
        <is>
          <t>전</t>
        </is>
      </c>
      <c r="T3136" s="3" t="inlineStr">
        <is>
          <t>완경사</t>
        </is>
      </c>
      <c r="U3136" s="3" t="inlineStr">
        <is>
          <t>부정형</t>
        </is>
      </c>
      <c r="V3136" s="3" t="inlineStr">
        <is>
          <t>세로한면(가)</t>
        </is>
      </c>
    </row>
    <row r="3137">
      <c r="A3137" s="3" t="inlineStr">
        <is>
          <t>세종특별자치시 소정면 대곡리 188-1</t>
        </is>
      </c>
      <c r="B3137" s="3" t="inlineStr">
        <is>
          <t>계획관리지역</t>
        </is>
      </c>
      <c r="C3137" s="3" t="inlineStr">
        <is>
          <t>대</t>
        </is>
      </c>
      <c r="D3137" s="3" t="inlineStr">
        <is>
          <t>대</t>
        </is>
      </c>
      <c r="E3137" s="3" t="inlineStr">
        <is>
          <t>매매</t>
        </is>
      </c>
      <c r="F3137" s="4" t="n">
        <v>42000</v>
      </c>
      <c r="G3137" s="4" t="n">
        <v>871</v>
      </c>
      <c r="H3137" s="4" t="n">
        <v>263</v>
      </c>
      <c r="I3137" s="5" t="n">
        <v>159.7</v>
      </c>
      <c r="J3137" s="4" t="n">
        <v>37</v>
      </c>
      <c r="K3137" s="3" t="inlineStr">
        <is>
          <t>nan</t>
        </is>
      </c>
      <c r="L3137" s="6">
        <f>HYPERLINK("https://fin.land.naver.com/articles/2644818444", "매물Link")</f>
        <v/>
      </c>
      <c r="M3137" s="6">
        <f>HYPERLINK("https://map.naver.com/p/search/세종특별자치시 소정면 대곡리 188-1", "지도Link")</f>
        <v/>
      </c>
      <c r="N3137" s="6">
        <f>HYPERLINK("http://www.eum.go.kr/web/ar/lu/luLandDet.jsp?pnu=3611039023101880001&amp;isNoScr=script&amp;mode=search", "토지이음")</f>
        <v/>
      </c>
      <c r="O3137" s="3" t="inlineStr">
        <is>
          <t>코아루</t>
        </is>
      </c>
      <c r="P3137" s="3" t="n">
        <v>1</v>
      </c>
      <c r="Q3137" s="3" t="n">
        <v>871</v>
      </c>
      <c r="R3137" s="3" t="inlineStr">
        <is>
          <t>지정되지않음</t>
        </is>
      </c>
      <c r="S3137" s="3" t="inlineStr">
        <is>
          <t>단독</t>
        </is>
      </c>
      <c r="T3137" s="3" t="inlineStr">
        <is>
          <t>완경사</t>
        </is>
      </c>
      <c r="U3137" s="3" t="inlineStr">
        <is>
          <t>부정형</t>
        </is>
      </c>
      <c r="V3137" s="3" t="inlineStr">
        <is>
          <t>세로한면(가)</t>
        </is>
      </c>
    </row>
    <row r="3138">
      <c r="A3138" s="3" t="inlineStr">
        <is>
          <t>세종특별자치시 소정면 대곡리 212</t>
        </is>
      </c>
      <c r="B3138" s="3" t="inlineStr">
        <is>
          <t>계획관리지역</t>
        </is>
      </c>
      <c r="C3138" s="3" t="inlineStr">
        <is>
          <t>답</t>
        </is>
      </c>
      <c r="D3138" s="3" t="inlineStr">
        <is>
          <t>답</t>
        </is>
      </c>
      <c r="E3138" s="3" t="inlineStr">
        <is>
          <t>매매</t>
        </is>
      </c>
      <c r="F3138" s="4" t="n">
        <v>32000</v>
      </c>
      <c r="G3138" s="4" t="n">
        <v>1455</v>
      </c>
      <c r="H3138" s="4" t="n">
        <v>440</v>
      </c>
      <c r="I3138" s="5" t="n">
        <v>72.7</v>
      </c>
      <c r="J3138" s="4" t="n">
        <v>30.4</v>
      </c>
      <c r="K3138" s="3" t="inlineStr">
        <is>
          <t>세종,천안 더블 생활권 산업단지 인근 소정리역 인근 관리잘된 예쁜토지</t>
        </is>
      </c>
      <c r="L3138" s="6">
        <f>HYPERLINK("https://fin.land.naver.com/articles/2645973325", "매물Link")</f>
        <v/>
      </c>
      <c r="M3138" s="6">
        <f>HYPERLINK("https://map.naver.com/p/search/세종특별자치시 소정면 대곡리 212", "지도Link")</f>
        <v/>
      </c>
      <c r="N3138" s="6">
        <f>HYPERLINK("http://www.eum.go.kr/web/ar/lu/luLandDet.jsp?pnu=3611039023102120000&amp;isNoScr=script&amp;mode=search", "토지이음")</f>
        <v/>
      </c>
      <c r="O3138" s="3" t="inlineStr">
        <is>
          <t>아임</t>
        </is>
      </c>
      <c r="P3138" s="3" t="n">
        <v>1</v>
      </c>
      <c r="Q3138" s="3" t="n">
        <v>1455</v>
      </c>
      <c r="R3138" s="3" t="inlineStr">
        <is>
          <t>지정되지않음</t>
        </is>
      </c>
      <c r="S3138" s="3" t="inlineStr">
        <is>
          <t>답</t>
        </is>
      </c>
      <c r="T3138" s="3" t="inlineStr">
        <is>
          <t>평지</t>
        </is>
      </c>
      <c r="U3138" s="3" t="inlineStr">
        <is>
          <t>사다리형</t>
        </is>
      </c>
      <c r="V3138" s="3" t="inlineStr">
        <is>
          <t>세로한면(가)</t>
        </is>
      </c>
    </row>
    <row r="3139">
      <c r="A3139" s="3" t="inlineStr">
        <is>
          <t>세종특별자치시 소정면 대곡리 223-1</t>
        </is>
      </c>
      <c r="B3139" s="3" t="inlineStr">
        <is>
          <t>계획관리지역</t>
        </is>
      </c>
      <c r="C3139" s="3" t="inlineStr">
        <is>
          <t>전</t>
        </is>
      </c>
      <c r="D3139" s="3" t="inlineStr">
        <is>
          <t>대</t>
        </is>
      </c>
      <c r="E3139" s="3" t="inlineStr">
        <is>
          <t>매매</t>
        </is>
      </c>
      <c r="F3139" s="4" t="n">
        <v>14800</v>
      </c>
      <c r="G3139" s="4" t="n">
        <v>912</v>
      </c>
      <c r="H3139" s="4" t="n">
        <v>276</v>
      </c>
      <c r="I3139" s="5" t="n">
        <v>53.6</v>
      </c>
      <c r="J3139" s="4" t="n">
        <v>30.2</v>
      </c>
      <c r="K3139" s="3" t="inlineStr">
        <is>
          <t>IC·산단 접근 좋은 계획관리 소규모 실사용 토지</t>
        </is>
      </c>
      <c r="L3139" s="6">
        <f>HYPERLINK("https://fin.land.naver.com/articles/2648856450", "매물Link")</f>
        <v/>
      </c>
      <c r="M3139" s="6">
        <f>HYPERLINK("https://map.naver.com/p/search/세종특별자치시 소정면 대곡리 223-1", "지도Link")</f>
        <v/>
      </c>
      <c r="N3139" s="6">
        <f>HYPERLINK("http://www.eum.go.kr/web/ar/lu/luLandDet.jsp?pnu=3611039023102230001&amp;isNoScr=script&amp;mode=search", "토지이음")</f>
        <v/>
      </c>
      <c r="O3139" s="3" t="inlineStr">
        <is>
          <t>세종소담황금</t>
        </is>
      </c>
      <c r="P3139" s="3" t="n">
        <v>1</v>
      </c>
      <c r="Q3139" s="3" t="n">
        <v>576</v>
      </c>
      <c r="R3139" s="3" t="inlineStr">
        <is>
          <t>지정되지않음</t>
        </is>
      </c>
      <c r="S3139" s="3" t="inlineStr">
        <is>
          <t>전</t>
        </is>
      </c>
      <c r="T3139" s="3" t="inlineStr">
        <is>
          <t>평지</t>
        </is>
      </c>
      <c r="U3139" s="3" t="inlineStr">
        <is>
          <t>부정형</t>
        </is>
      </c>
      <c r="V3139" s="3" t="inlineStr">
        <is>
          <t>세로한면(가)</t>
        </is>
      </c>
    </row>
    <row r="3140">
      <c r="A3140" s="3" t="inlineStr">
        <is>
          <t>세종특별자치시 소정면 대곡리 280-14</t>
        </is>
      </c>
      <c r="B3140" s="3" t="inlineStr">
        <is>
          <t>계획관리지역</t>
        </is>
      </c>
      <c r="C3140" s="3" t="inlineStr">
        <is>
          <t>전</t>
        </is>
      </c>
      <c r="D3140" s="3" t="inlineStr">
        <is>
          <t>전</t>
        </is>
      </c>
      <c r="E3140" s="3" t="inlineStr">
        <is>
          <t>매매</t>
        </is>
      </c>
      <c r="F3140" s="4" t="n">
        <v>105000</v>
      </c>
      <c r="G3140" s="4" t="n">
        <v>9986</v>
      </c>
      <c r="H3140" s="4" t="n">
        <v>3021</v>
      </c>
      <c r="I3140" s="5" t="n">
        <v>34.8</v>
      </c>
      <c r="J3140" s="4" t="n">
        <v>21.8</v>
      </c>
      <c r="K3140" s="3" t="inlineStr">
        <is>
          <t>2차선 대로변 접  녋은토지</t>
        </is>
      </c>
      <c r="L3140" s="6">
        <f>HYPERLINK("https://fin.land.naver.com/articles/2644389635", "매물Link")</f>
        <v/>
      </c>
      <c r="M3140" s="6">
        <f>HYPERLINK("https://map.naver.com/p/search/세종특별자치시 소정면 대곡리 280-14", "지도Link")</f>
        <v/>
      </c>
      <c r="N3140" s="6">
        <f>HYPERLINK("http://www.eum.go.kr/web/ar/lu/luLandDet.jsp?pnu=3611039023102800014&amp;isNoScr=script&amp;mode=search", "토지이음")</f>
        <v/>
      </c>
      <c r="O3140" s="3" t="inlineStr">
        <is>
          <t>글로벌</t>
        </is>
      </c>
      <c r="P3140" s="3" t="n">
        <v>1</v>
      </c>
      <c r="Q3140" s="3" t="n">
        <v>4204</v>
      </c>
      <c r="R3140" s="3" t="inlineStr">
        <is>
          <t>지정되지않음</t>
        </is>
      </c>
      <c r="S3140" s="3" t="inlineStr">
        <is>
          <t>전</t>
        </is>
      </c>
      <c r="T3140" s="3" t="inlineStr">
        <is>
          <t>급경사</t>
        </is>
      </c>
      <c r="U3140" s="3" t="inlineStr">
        <is>
          <t>부정형</t>
        </is>
      </c>
      <c r="V3140" s="3" t="inlineStr">
        <is>
          <t>소로한면</t>
        </is>
      </c>
    </row>
    <row r="3141">
      <c r="A3141" s="3" t="inlineStr">
        <is>
          <t>세종특별자치시 소정면 대곡리 31</t>
        </is>
      </c>
      <c r="B3141" s="3" t="inlineStr">
        <is>
          <t>계획관리지역</t>
        </is>
      </c>
      <c r="C3141" s="3" t="inlineStr">
        <is>
          <t>과수원</t>
        </is>
      </c>
      <c r="D3141" s="3" t="inlineStr">
        <is>
          <t>전</t>
        </is>
      </c>
      <c r="E3141" s="3" t="inlineStr">
        <is>
          <t>매매</t>
        </is>
      </c>
      <c r="F3141" s="4" t="n">
        <v>40000</v>
      </c>
      <c r="G3141" s="4" t="n">
        <v>1563</v>
      </c>
      <c r="H3141" s="4" t="n">
        <v>473</v>
      </c>
      <c r="I3141" s="5" t="n">
        <v>84.59999999999999</v>
      </c>
      <c r="J3141" s="4" t="n">
        <v>26.1</v>
      </c>
      <c r="K3141" s="3" t="inlineStr">
        <is>
          <t>계획관리 토지매매개발가능</t>
        </is>
      </c>
      <c r="L3141" s="6">
        <f>HYPERLINK("https://fin.land.naver.com/articles/2648813658", "매물Link")</f>
        <v/>
      </c>
      <c r="M3141" s="6">
        <f>HYPERLINK("https://map.naver.com/p/search/세종특별자치시 소정면 대곡리 31", "지도Link")</f>
        <v/>
      </c>
      <c r="N3141" s="6">
        <f>HYPERLINK("http://www.eum.go.kr/web/ar/lu/luLandDet.jsp?pnu=3611039023100310000&amp;isNoScr=script&amp;mode=search", "토지이음")</f>
        <v/>
      </c>
      <c r="O3141" s="3" t="inlineStr">
        <is>
          <t>세종대박</t>
        </is>
      </c>
      <c r="P3141" s="3" t="n">
        <v>1</v>
      </c>
      <c r="Q3141" s="3" t="n">
        <v>1563</v>
      </c>
      <c r="R3141" s="3" t="inlineStr">
        <is>
          <t>지정되지않음</t>
        </is>
      </c>
      <c r="S3141" s="3" t="inlineStr">
        <is>
          <t>과수원</t>
        </is>
      </c>
      <c r="T3141" s="3" t="inlineStr">
        <is>
          <t>완경사</t>
        </is>
      </c>
      <c r="U3141" s="3" t="inlineStr">
        <is>
          <t>부정형</t>
        </is>
      </c>
      <c r="V3141" s="3" t="inlineStr">
        <is>
          <t>세로한면(가)</t>
        </is>
      </c>
    </row>
    <row r="3142">
      <c r="A3142" s="3" t="inlineStr">
        <is>
          <t>세종특별자치시 소정면 대곡리 322-18</t>
        </is>
      </c>
      <c r="B3142" s="3" t="inlineStr">
        <is>
          <t>계획관리지역</t>
        </is>
      </c>
      <c r="C3142" s="3" t="inlineStr">
        <is>
          <t>답</t>
        </is>
      </c>
      <c r="D3142" s="3" t="inlineStr">
        <is>
          <t>답</t>
        </is>
      </c>
      <c r="E3142" s="3" t="inlineStr">
        <is>
          <t>매매</t>
        </is>
      </c>
      <c r="F3142" s="4" t="n">
        <v>552970</v>
      </c>
      <c r="G3142" s="4" t="n">
        <v>16618</v>
      </c>
      <c r="H3142" s="4" t="n">
        <v>5027</v>
      </c>
      <c r="I3142" s="5" t="n">
        <v>110</v>
      </c>
      <c r="J3142" s="4" t="n">
        <v>40.2</v>
      </c>
      <c r="K3142" s="3" t="inlineStr">
        <is>
          <t>1번국도 접한 대형 토지매매 전체 계획관리지역</t>
        </is>
      </c>
      <c r="L3142" s="6">
        <f>HYPERLINK("https://fin.land.naver.com/articles/2648122200", "매물Link")</f>
        <v/>
      </c>
      <c r="M3142" s="6">
        <f>HYPERLINK("https://map.naver.com/p/search/세종특별자치시 소정면 대곡리 322-18", "지도Link")</f>
        <v/>
      </c>
      <c r="N3142" s="6">
        <f>HYPERLINK("http://www.eum.go.kr/web/ar/lu/luLandDet.jsp?pnu=3611039023103220018&amp;isNoScr=script&amp;mode=search", "토지이음")</f>
        <v/>
      </c>
      <c r="O3142" s="3" t="inlineStr">
        <is>
          <t>성우</t>
        </is>
      </c>
      <c r="P3142" s="3" t="n">
        <v>1</v>
      </c>
      <c r="Q3142" s="3" t="n">
        <v>121</v>
      </c>
      <c r="R3142" s="3" t="inlineStr">
        <is>
          <t>지정되지않음</t>
        </is>
      </c>
      <c r="S3142" s="3" t="inlineStr">
        <is>
          <t>답</t>
        </is>
      </c>
      <c r="T3142" s="3" t="inlineStr">
        <is>
          <t>평지</t>
        </is>
      </c>
      <c r="U3142" s="3" t="inlineStr">
        <is>
          <t>부정형</t>
        </is>
      </c>
      <c r="V3142" s="3" t="inlineStr">
        <is>
          <t>중로한면</t>
        </is>
      </c>
    </row>
    <row r="3143">
      <c r="A3143" s="3" t="inlineStr">
        <is>
          <t>세종특별자치시 소정면 대곡리 327</t>
        </is>
      </c>
      <c r="B3143" s="3" t="inlineStr">
        <is>
          <t>계획관리지역</t>
        </is>
      </c>
      <c r="C3143" s="3" t="inlineStr">
        <is>
          <t>답</t>
        </is>
      </c>
      <c r="D3143" s="3" t="inlineStr">
        <is>
          <t>답</t>
        </is>
      </c>
      <c r="E3143" s="3" t="inlineStr">
        <is>
          <t>매매</t>
        </is>
      </c>
      <c r="F3143" s="4" t="n">
        <v>45000</v>
      </c>
      <c r="G3143" s="4" t="n">
        <v>1533</v>
      </c>
      <c r="H3143" s="4" t="n">
        <v>464</v>
      </c>
      <c r="I3143" s="5" t="n">
        <v>97</v>
      </c>
      <c r="J3143" s="4" t="n">
        <v>26.8</v>
      </c>
      <c r="K3143" s="3" t="inlineStr">
        <is>
          <t>1번국도인근  창고,제조시설,카페등</t>
        </is>
      </c>
      <c r="L3143" s="6">
        <f>HYPERLINK("https://fin.land.naver.com/articles/2647416225", "매물Link")</f>
        <v/>
      </c>
      <c r="M3143" s="6">
        <f>HYPERLINK("https://map.naver.com/p/search/세종특별자치시 소정면 대곡리 327", "지도Link")</f>
        <v/>
      </c>
      <c r="N3143" s="6">
        <f>HYPERLINK("http://www.eum.go.kr/web/ar/lu/luLandDet.jsp?pnu=3611039023103270000&amp;isNoScr=script&amp;mode=search", "토지이음")</f>
        <v/>
      </c>
      <c r="O3143" s="3" t="inlineStr">
        <is>
          <t>도시</t>
        </is>
      </c>
      <c r="P3143" s="3" t="n">
        <v>1</v>
      </c>
      <c r="Q3143" s="3" t="n">
        <v>1533</v>
      </c>
      <c r="R3143" s="3" t="inlineStr">
        <is>
          <t>지정되지않음</t>
        </is>
      </c>
      <c r="S3143" s="3" t="inlineStr">
        <is>
          <t>답</t>
        </is>
      </c>
      <c r="T3143" s="3" t="inlineStr">
        <is>
          <t>평지</t>
        </is>
      </c>
      <c r="U3143" s="3" t="inlineStr">
        <is>
          <t>부정형</t>
        </is>
      </c>
      <c r="V3143" s="3" t="inlineStr">
        <is>
          <t>세로한면(불)</t>
        </is>
      </c>
    </row>
    <row r="3144">
      <c r="A3144" s="3" t="inlineStr">
        <is>
          <t>세종특별자치시 소정면 대곡리 349-2</t>
        </is>
      </c>
      <c r="B3144" s="3" t="inlineStr">
        <is>
          <t>계획관리지역</t>
        </is>
      </c>
      <c r="C3144" s="3" t="inlineStr">
        <is>
          <t>답</t>
        </is>
      </c>
      <c r="D3144" s="3" t="inlineStr">
        <is>
          <t>답</t>
        </is>
      </c>
      <c r="E3144" s="3" t="inlineStr">
        <is>
          <t>매매</t>
        </is>
      </c>
      <c r="F3144" s="4" t="n">
        <v>550000</v>
      </c>
      <c r="G3144" s="4" t="n">
        <v>16618</v>
      </c>
      <c r="H3144" s="4" t="n">
        <v>5027</v>
      </c>
      <c r="I3144" s="5" t="n">
        <v>109.4</v>
      </c>
      <c r="J3144" s="4" t="n">
        <v>27.6</v>
      </c>
      <c r="K3144" s="3" t="inlineStr">
        <is>
          <t>세종시 소정면 대도로변에 위치한 계획관리 토지 매매</t>
        </is>
      </c>
      <c r="L3144" s="6">
        <f>HYPERLINK("https://fin.land.naver.com/articles/2646832444", "매물Link")</f>
        <v/>
      </c>
      <c r="M3144" s="6">
        <f>HYPERLINK("https://map.naver.com/p/search/세종특별자치시 소정면 대곡리 349-2", "지도Link")</f>
        <v/>
      </c>
      <c r="N3144" s="6">
        <f>HYPERLINK("http://www.eum.go.kr/web/ar/lu/luLandDet.jsp?pnu=3611039023103490002&amp;isNoScr=script&amp;mode=search", "토지이음")</f>
        <v/>
      </c>
      <c r="O3144" s="3" t="inlineStr">
        <is>
          <t>뉴스카이</t>
        </is>
      </c>
      <c r="P3144" s="3" t="n">
        <v>1</v>
      </c>
      <c r="Q3144" s="3" t="n">
        <v>2615</v>
      </c>
      <c r="R3144" s="3" t="inlineStr">
        <is>
          <t>지정되지않음</t>
        </is>
      </c>
      <c r="S3144" s="3" t="inlineStr">
        <is>
          <t>답</t>
        </is>
      </c>
      <c r="T3144" s="3" t="inlineStr">
        <is>
          <t>평지</t>
        </is>
      </c>
      <c r="U3144" s="3" t="inlineStr">
        <is>
          <t>부정형</t>
        </is>
      </c>
      <c r="V3144" s="3" t="inlineStr">
        <is>
          <t>맹지</t>
        </is>
      </c>
    </row>
    <row r="3145">
      <c r="A3145" s="3" t="inlineStr">
        <is>
          <t>세종특별자치시 소정면 대곡리 414-2</t>
        </is>
      </c>
      <c r="B3145" s="3" t="inlineStr">
        <is>
          <t>계획관리지역</t>
        </is>
      </c>
      <c r="C3145" s="3" t="inlineStr">
        <is>
          <t>답</t>
        </is>
      </c>
      <c r="D3145" s="3" t="inlineStr">
        <is>
          <t>답</t>
        </is>
      </c>
      <c r="E3145" s="3" t="inlineStr">
        <is>
          <t>매매</t>
        </is>
      </c>
      <c r="F3145" s="4" t="n">
        <v>150000</v>
      </c>
      <c r="G3145" s="4" t="n">
        <v>3831</v>
      </c>
      <c r="H3145" s="4" t="n">
        <v>1159</v>
      </c>
      <c r="I3145" s="5" t="n">
        <v>129.4</v>
      </c>
      <c r="J3145" s="4" t="n">
        <v>27.1</v>
      </c>
      <c r="K3145" s="3" t="inlineStr">
        <is>
          <t>세종상용차물류단지 예정지인근 계획관리지역4필지 2,500P 27.5억</t>
        </is>
      </c>
      <c r="L3145" s="6">
        <f>HYPERLINK("https://fin.land.naver.com/articles/2644210608", "매물Link")</f>
        <v/>
      </c>
      <c r="M3145" s="6">
        <f>HYPERLINK("https://map.naver.com/p/search/세종특별자치시 소정면 대곡리 414-2", "지도Link")</f>
        <v/>
      </c>
      <c r="N3145" s="6">
        <f>HYPERLINK("http://www.eum.go.kr/web/ar/lu/luLandDet.jsp?pnu=3611039023104140002&amp;isNoScr=script&amp;mode=search", "토지이음")</f>
        <v/>
      </c>
      <c r="O3145" s="3" t="inlineStr">
        <is>
          <t>이화</t>
        </is>
      </c>
      <c r="P3145" s="3" t="n">
        <v>1</v>
      </c>
      <c r="Q3145" s="3" t="n">
        <v>3831</v>
      </c>
      <c r="R3145" s="3" t="inlineStr">
        <is>
          <t>지정되지않음</t>
        </is>
      </c>
      <c r="S3145" s="3" t="inlineStr">
        <is>
          <t>답</t>
        </is>
      </c>
      <c r="T3145" s="3" t="inlineStr">
        <is>
          <t>평지</t>
        </is>
      </c>
      <c r="U3145" s="3" t="inlineStr">
        <is>
          <t>부정형</t>
        </is>
      </c>
      <c r="V3145" s="3" t="inlineStr">
        <is>
          <t>맹지</t>
        </is>
      </c>
    </row>
    <row r="3146">
      <c r="A3146" s="3" t="inlineStr">
        <is>
          <t>세종특별자치시 소정면 대곡리 418-1</t>
        </is>
      </c>
      <c r="B3146" s="3" t="inlineStr">
        <is>
          <t>계획관리지역</t>
        </is>
      </c>
      <c r="C3146" s="3" t="inlineStr">
        <is>
          <t>전</t>
        </is>
      </c>
      <c r="D3146" s="3" t="inlineStr">
        <is>
          <t>전</t>
        </is>
      </c>
      <c r="E3146" s="3" t="inlineStr">
        <is>
          <t>매매</t>
        </is>
      </c>
      <c r="F3146" s="4" t="n">
        <v>285000</v>
      </c>
      <c r="G3146" s="4" t="n">
        <v>6261</v>
      </c>
      <c r="H3146" s="4" t="n">
        <v>1894</v>
      </c>
      <c r="I3146" s="5" t="n">
        <v>150.5</v>
      </c>
      <c r="J3146" s="4" t="n">
        <v>27.3</v>
      </c>
      <c r="K3146" s="3" t="inlineStr">
        <is>
          <t>계획관리 20m도로계획수혜지 평지 전,답</t>
        </is>
      </c>
      <c r="L3146" s="6">
        <f>HYPERLINK("https://fin.land.naver.com/articles/2647914317", "매물Link")</f>
        <v/>
      </c>
      <c r="M3146" s="6">
        <f>HYPERLINK("https://map.naver.com/p/search/세종특별자치시 소정면 대곡리 418-1", "지도Link")</f>
        <v/>
      </c>
      <c r="N3146" s="6">
        <f>HYPERLINK("http://www.eum.go.kr/web/ar/lu/luLandDet.jsp?pnu=3611039023104180001&amp;isNoScr=script&amp;mode=search", "토지이음")</f>
        <v/>
      </c>
      <c r="O3146" s="3" t="inlineStr">
        <is>
          <t>토마토사무소</t>
        </is>
      </c>
      <c r="P3146" s="3" t="n">
        <v>1</v>
      </c>
      <c r="Q3146" s="3" t="n">
        <v>1914</v>
      </c>
      <c r="R3146" s="3" t="inlineStr">
        <is>
          <t>지정되지않음</t>
        </is>
      </c>
      <c r="S3146" s="3" t="inlineStr">
        <is>
          <t>전</t>
        </is>
      </c>
      <c r="T3146" s="3" t="inlineStr">
        <is>
          <t>평지</t>
        </is>
      </c>
      <c r="U3146" s="3" t="inlineStr">
        <is>
          <t>부정형</t>
        </is>
      </c>
      <c r="V3146" s="3" t="inlineStr">
        <is>
          <t>세로한면(불)</t>
        </is>
      </c>
    </row>
    <row r="3147">
      <c r="A3147" s="3" t="inlineStr">
        <is>
          <t>세종특별자치시 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HYPERLINK("https://map.naver.com/p/search/세종특별자치시 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세종특별자치시 소정면 대곡리 43-1</t>
        </is>
      </c>
      <c r="B3148" s="3" t="inlineStr">
        <is>
          <t>계획관리지역</t>
        </is>
      </c>
      <c r="C3148" s="3" t="inlineStr">
        <is>
          <t>전</t>
        </is>
      </c>
      <c r="D3148" s="3" t="inlineStr">
        <is>
          <t>전</t>
        </is>
      </c>
      <c r="E3148" s="3" t="inlineStr">
        <is>
          <t>매매</t>
        </is>
      </c>
      <c r="F3148" s="4" t="n">
        <v>20000</v>
      </c>
      <c r="G3148" s="4" t="n">
        <v>2350</v>
      </c>
      <c r="H3148" s="4" t="n">
        <v>711</v>
      </c>
      <c r="I3148" s="5" t="n">
        <v>28.1</v>
      </c>
      <c r="J3148" s="4" t="n">
        <v>29.2</v>
      </c>
      <c r="K3148" s="3" t="inlineStr">
        <is>
          <t>세종시 소재 토지를  저렴한 가격으로 확보 기회</t>
        </is>
      </c>
      <c r="L3148" s="6">
        <f>HYPERLINK("https://fin.land.naver.com/articles/2644419219", "매물Link")</f>
        <v/>
      </c>
      <c r="M3148" s="6">
        <f>HYPERLINK("https://map.naver.com/p/search/세종특별자치시 소정면 대곡리 43-1", "지도Link")</f>
        <v/>
      </c>
      <c r="N3148" s="6">
        <f>HYPERLINK("http://www.eum.go.kr/web/ar/lu/luLandDet.jsp?pnu=3611039023100430001&amp;isNoScr=script&amp;mode=search", "토지이음")</f>
        <v/>
      </c>
      <c r="O3148" s="3" t="inlineStr">
        <is>
          <t>봄날</t>
        </is>
      </c>
      <c r="P3148" s="3" t="n">
        <v>1</v>
      </c>
      <c r="Q3148" s="3" t="n">
        <v>2350</v>
      </c>
      <c r="R3148" s="3" t="inlineStr">
        <is>
          <t>지정되지않음</t>
        </is>
      </c>
      <c r="S3148" s="3" t="inlineStr">
        <is>
          <t>전</t>
        </is>
      </c>
      <c r="T3148" s="3" t="inlineStr">
        <is>
          <t>완경사</t>
        </is>
      </c>
      <c r="U3148" s="3" t="inlineStr">
        <is>
          <t>부정형</t>
        </is>
      </c>
      <c r="V3148" s="3" t="inlineStr">
        <is>
          <t>세로한면(가)</t>
        </is>
      </c>
    </row>
    <row r="3149">
      <c r="A3149" s="3" t="inlineStr">
        <is>
          <t>세종특별자치시 소정면 대곡리 471-4</t>
        </is>
      </c>
      <c r="B3149" s="3" t="inlineStr">
        <is>
          <t>계획관리지역</t>
        </is>
      </c>
      <c r="C3149" s="3" t="inlineStr">
        <is>
          <t>대</t>
        </is>
      </c>
      <c r="D3149" s="3" t="inlineStr">
        <is>
          <t>대</t>
        </is>
      </c>
      <c r="E3149" s="3" t="inlineStr">
        <is>
          <t>매매</t>
        </is>
      </c>
      <c r="F3149" s="4" t="n">
        <v>7000</v>
      </c>
      <c r="G3149" s="4" t="n">
        <v>268</v>
      </c>
      <c r="H3149" s="4" t="n">
        <v>81</v>
      </c>
      <c r="I3149" s="5" t="n">
        <v>86.40000000000001</v>
      </c>
      <c r="J3149" s="4" t="n">
        <v>55.7</v>
      </c>
      <c r="K3149" s="3" t="inlineStr">
        <is>
          <t>소정면 대곡리 가격절충가능</t>
        </is>
      </c>
      <c r="L3149" s="6">
        <f>HYPERLINK("https://fin.land.naver.com/articles/2646661262", "매물Link")</f>
        <v/>
      </c>
      <c r="M3149" s="6">
        <f>HYPERLINK("https://map.naver.com/p/search/세종특별자치시 소정면 대곡리 471-4", "지도Link")</f>
        <v/>
      </c>
      <c r="N3149" s="6">
        <f>HYPERLINK("http://www.eum.go.kr/web/ar/lu/luLandDet.jsp?pnu=3611039023104710004&amp;isNoScr=script&amp;mode=search", "토지이음")</f>
        <v/>
      </c>
      <c r="O3149" s="3" t="inlineStr">
        <is>
          <t>88</t>
        </is>
      </c>
      <c r="P3149" s="3" t="n">
        <v>1</v>
      </c>
      <c r="Q3149" s="3" t="n">
        <v>268</v>
      </c>
      <c r="R3149" s="3" t="inlineStr">
        <is>
          <t>지정되지않음</t>
        </is>
      </c>
      <c r="S3149" s="3" t="inlineStr">
        <is>
          <t>주거나지</t>
        </is>
      </c>
      <c r="T3149" s="3" t="inlineStr">
        <is>
          <t>평지</t>
        </is>
      </c>
      <c r="U3149" s="3" t="inlineStr">
        <is>
          <t>사다리형</t>
        </is>
      </c>
      <c r="V3149" s="3" t="inlineStr">
        <is>
          <t>세로한면(가)</t>
        </is>
      </c>
    </row>
    <row r="3150">
      <c r="A3150" s="3" t="inlineStr">
        <is>
          <t>세종특별자치시 소정면 대곡리 539-4</t>
        </is>
      </c>
      <c r="B3150" s="3" t="inlineStr">
        <is>
          <t>농림지역</t>
        </is>
      </c>
      <c r="C3150" s="3" t="inlineStr">
        <is>
          <t>답</t>
        </is>
      </c>
      <c r="D3150" s="3" t="inlineStr">
        <is>
          <t>답</t>
        </is>
      </c>
      <c r="E3150" s="3" t="inlineStr">
        <is>
          <t>매매</t>
        </is>
      </c>
      <c r="F3150" s="4" t="n">
        <v>8900</v>
      </c>
      <c r="G3150" s="4" t="n">
        <v>1176</v>
      </c>
      <c r="H3150" s="4" t="n">
        <v>356</v>
      </c>
      <c r="I3150" s="5" t="n">
        <v>25</v>
      </c>
      <c r="J3150" s="4" t="n">
        <v>11.8</v>
      </c>
      <c r="K3150" s="3" t="inlineStr">
        <is>
          <t>nan</t>
        </is>
      </c>
      <c r="L3150" s="6">
        <f>HYPERLINK("https://fin.land.naver.com/articles/2648858396", "매물Link")</f>
        <v/>
      </c>
      <c r="M3150" s="6">
        <f>HYPERLINK("https://map.naver.com/p/search/세종특별자치시 소정면 대곡리 539-4", "지도Link")</f>
        <v/>
      </c>
      <c r="N3150" s="6">
        <f>HYPERLINK("http://www.eum.go.kr/web/ar/lu/luLandDet.jsp?pnu=3611039023105390004&amp;isNoScr=script&amp;mode=search", "토지이음")</f>
        <v/>
      </c>
      <c r="O3150" s="3" t="inlineStr">
        <is>
          <t>세종소담황금</t>
        </is>
      </c>
      <c r="P3150" s="3" t="n">
        <v>1</v>
      </c>
      <c r="Q3150" s="3" t="n">
        <v>850</v>
      </c>
      <c r="R3150" s="3" t="inlineStr">
        <is>
          <t>지정되지않음</t>
        </is>
      </c>
      <c r="S3150" s="3" t="inlineStr">
        <is>
          <t>답</t>
        </is>
      </c>
      <c r="T3150" s="3" t="inlineStr">
        <is>
          <t>평지</t>
        </is>
      </c>
      <c r="U3150" s="3" t="inlineStr">
        <is>
          <t>부정형</t>
        </is>
      </c>
      <c r="V3150" s="3" t="inlineStr">
        <is>
          <t>세로한면(가)</t>
        </is>
      </c>
    </row>
    <row r="3151">
      <c r="A3151" s="3" t="inlineStr">
        <is>
          <t>세종특별자치시 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농지 초급매  세종시 농지 매도합니다. 대토추천</t>
        </is>
      </c>
      <c r="L3151" s="6">
        <f>HYPERLINK("https://fin.land.naver.com/articles/2645601930", "매물Link")</f>
        <v/>
      </c>
      <c r="M3151" s="6">
        <f>HYPERLINK("https://map.naver.com/p/search/세종특별자치시 소정면 대곡리 545-14", "지도Link")</f>
        <v/>
      </c>
      <c r="N3151" s="6">
        <f>HYPERLINK("http://www.eum.go.kr/web/ar/lu/luLandDet.jsp?pnu=3611039023105450014&amp;isNoScr=script&amp;mode=search", "토지이음")</f>
        <v/>
      </c>
      <c r="O3151" s="3" t="inlineStr">
        <is>
          <t>미스터홈즈강남지사</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세종특별자치시 소정면 대곡리 545-14</t>
        </is>
      </c>
      <c r="B3152" s="3" t="inlineStr">
        <is>
          <t>농림지역</t>
        </is>
      </c>
      <c r="C3152" s="3" t="inlineStr">
        <is>
          <t>답</t>
        </is>
      </c>
      <c r="D3152" s="3" t="inlineStr">
        <is>
          <t>답</t>
        </is>
      </c>
      <c r="E3152" s="3" t="inlineStr">
        <is>
          <t>매매</t>
        </is>
      </c>
      <c r="F3152" s="4" t="n">
        <v>18000</v>
      </c>
      <c r="G3152" s="4" t="n">
        <v>2648</v>
      </c>
      <c r="H3152" s="4" t="n">
        <v>801</v>
      </c>
      <c r="I3152" s="5" t="n">
        <v>22.5</v>
      </c>
      <c r="J3152" s="4" t="n">
        <v>11</v>
      </c>
      <c r="K3152" s="3" t="inlineStr">
        <is>
          <t>소정면 대곡리 농림지역 토지매매</t>
        </is>
      </c>
      <c r="L3152" s="6">
        <f>HYPERLINK("https://fin.land.naver.com/articles/2644036949", "매물Link")</f>
        <v/>
      </c>
      <c r="M3152" s="6">
        <f>HYPERLINK("https://map.naver.com/p/search/세종특별자치시 소정면 대곡리 545-14", "지도Link")</f>
        <v/>
      </c>
      <c r="N3152" s="6">
        <f>HYPERLINK("http://www.eum.go.kr/web/ar/lu/luLandDet.jsp?pnu=3611039023105450014&amp;isNoScr=script&amp;mode=search", "토지이음")</f>
        <v/>
      </c>
      <c r="O3152" s="3" t="inlineStr">
        <is>
          <t>재화</t>
        </is>
      </c>
      <c r="P3152" s="3" t="n">
        <v>1</v>
      </c>
      <c r="Q3152" s="3" t="n">
        <v>1858</v>
      </c>
      <c r="R3152" s="3" t="inlineStr">
        <is>
          <t>지정되지않음</t>
        </is>
      </c>
      <c r="S3152" s="3" t="inlineStr">
        <is>
          <t>답</t>
        </is>
      </c>
      <c r="T3152" s="3" t="inlineStr">
        <is>
          <t>평지</t>
        </is>
      </c>
      <c r="U3152" s="3" t="inlineStr">
        <is>
          <t>부정형</t>
        </is>
      </c>
      <c r="V3152" s="3" t="inlineStr">
        <is>
          <t>세로한면(가)</t>
        </is>
      </c>
    </row>
    <row r="3153">
      <c r="A3153" s="3" t="inlineStr">
        <is>
          <t>세종특별자치시 소정면 대곡리 산 22-1</t>
        </is>
      </c>
      <c r="B3153" s="3" t="inlineStr">
        <is>
          <t>농림지역</t>
        </is>
      </c>
      <c r="C3153" s="3" t="inlineStr">
        <is>
          <t>임야</t>
        </is>
      </c>
      <c r="D3153" s="3" t="inlineStr">
        <is>
          <t>임야</t>
        </is>
      </c>
      <c r="E3153" s="3" t="inlineStr">
        <is>
          <t>매매</t>
        </is>
      </c>
      <c r="F3153" s="4" t="n">
        <v>36740</v>
      </c>
      <c r="G3153" s="4" t="n">
        <v>6072</v>
      </c>
      <c r="H3153" s="4" t="n">
        <v>1837</v>
      </c>
      <c r="I3153" s="5" t="n">
        <v>20</v>
      </c>
      <c r="J3153" s="4" t="n">
        <v>2.5</v>
      </c>
      <c r="K3153" s="3" t="inlineStr">
        <is>
          <t>세종시 저렴한 임야</t>
        </is>
      </c>
      <c r="L3153" s="6">
        <f>HYPERLINK("https://fin.land.naver.com/articles/2645322941", "매물Link")</f>
        <v/>
      </c>
      <c r="M3153" s="6">
        <f>HYPERLINK("https://map.naver.com/p/search/세종특별자치시 소정면 대곡리 산 22-1", "지도Link")</f>
        <v/>
      </c>
      <c r="N3153" s="6">
        <f>HYPERLINK("http://www.eum.go.kr/web/ar/lu/luLandDet.jsp?pnu=3611039023200220001&amp;isNoScr=script&amp;mode=search", "토지이음")</f>
        <v/>
      </c>
      <c r="O3153" s="3" t="inlineStr">
        <is>
          <t>북세종</t>
        </is>
      </c>
      <c r="P3153" s="3" t="n">
        <v>1</v>
      </c>
      <c r="Q3153" s="3" t="n">
        <v>6074</v>
      </c>
      <c r="R3153" s="3" t="inlineStr">
        <is>
          <t>보전관리지역</t>
        </is>
      </c>
      <c r="S3153" s="3" t="inlineStr">
        <is>
          <t>자연림</t>
        </is>
      </c>
      <c r="T3153" s="3" t="inlineStr">
        <is>
          <t>급경사</t>
        </is>
      </c>
      <c r="U3153" s="3" t="inlineStr">
        <is>
          <t>부정형</t>
        </is>
      </c>
      <c r="V3153" s="3" t="inlineStr">
        <is>
          <t>세로한면(가)</t>
        </is>
      </c>
    </row>
    <row r="3154">
      <c r="A3154" s="3" t="inlineStr">
        <is>
          <t>세종특별자치시 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HYPERLINK("https://map.naver.com/p/search/세종특별자치시 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세종특별자치시 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HYPERLINK("https://map.naver.com/p/search/세종특별자치시 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세종특별자치시 소정면 대곡리 산 5-1</t>
        </is>
      </c>
      <c r="B3156" s="3" t="inlineStr">
        <is>
          <t>계획관리지역</t>
        </is>
      </c>
      <c r="C3156" s="3" t="inlineStr">
        <is>
          <t>임야</t>
        </is>
      </c>
      <c r="D3156" s="3" t="inlineStr">
        <is>
          <t>임야</t>
        </is>
      </c>
      <c r="E3156" s="3" t="inlineStr">
        <is>
          <t>매매</t>
        </is>
      </c>
      <c r="F3156" s="4" t="n">
        <v>150000</v>
      </c>
      <c r="G3156" s="4" t="n">
        <v>63570</v>
      </c>
      <c r="H3156" s="4" t="n">
        <v>19230</v>
      </c>
      <c r="I3156" s="5" t="n">
        <v>7.8</v>
      </c>
      <c r="J3156" s="4" t="n">
        <v>5.2</v>
      </c>
      <c r="K3156" s="3" t="inlineStr">
        <is>
          <t>올 계획관리지역</t>
        </is>
      </c>
      <c r="L3156" s="6">
        <f>HYPERLINK("https://fin.land.naver.com/articles/2645620729", "매물Link")</f>
        <v/>
      </c>
      <c r="M3156" s="6">
        <f>HYPERLINK("https://map.naver.com/p/search/세종특별자치시 소정면 대곡리 산 5-1", "지도Link")</f>
        <v/>
      </c>
      <c r="N3156" s="6">
        <f>HYPERLINK("http://www.eum.go.kr/web/ar/lu/luLandDet.jsp?pnu=3611039023200050001&amp;isNoScr=script&amp;mode=search", "토지이음")</f>
        <v/>
      </c>
      <c r="O3156" s="3" t="inlineStr">
        <is>
          <t>으뜸</t>
        </is>
      </c>
      <c r="P3156" s="3" t="n">
        <v>1</v>
      </c>
      <c r="Q3156" s="3" t="n">
        <v>63570</v>
      </c>
      <c r="R3156" s="3" t="inlineStr">
        <is>
          <t>지정되지않음</t>
        </is>
      </c>
      <c r="S3156" s="3" t="inlineStr">
        <is>
          <t>자연림</t>
        </is>
      </c>
      <c r="T3156" s="3" t="inlineStr">
        <is>
          <t>완경사</t>
        </is>
      </c>
      <c r="U3156" s="3" t="inlineStr">
        <is>
          <t>부정형</t>
        </is>
      </c>
      <c r="V3156" s="3" t="inlineStr">
        <is>
          <t>맹지</t>
        </is>
      </c>
    </row>
    <row r="3157">
      <c r="A3157" s="3" t="inlineStr">
        <is>
          <t>세종특별자치시 소정면 대곡리 산51-12</t>
        </is>
      </c>
      <c r="B3157" s="3" t="inlineStr">
        <is>
          <t>계획관리지역</t>
        </is>
      </c>
      <c r="C3157" s="3" t="inlineStr">
        <is>
          <t>임야</t>
        </is>
      </c>
      <c r="D3157" s="3" t="inlineStr">
        <is>
          <t>임야</t>
        </is>
      </c>
      <c r="E3157" s="3" t="inlineStr">
        <is>
          <t>매매</t>
        </is>
      </c>
      <c r="F3157" s="4" t="n">
        <v>300000</v>
      </c>
      <c r="G3157" s="4" t="n">
        <v>53456</v>
      </c>
      <c r="H3157" s="4" t="n">
        <v>16170</v>
      </c>
      <c r="I3157" s="5" t="n">
        <v>18.6</v>
      </c>
      <c r="J3157" s="4" t="n">
        <v>3.2</v>
      </c>
      <c r="K3157" s="3" t="inlineStr">
        <is>
          <t>소정면 대곡리 4차선 도로 옆 계획관리 토지, 남풍세 및 남천안IC</t>
        </is>
      </c>
      <c r="L3157" s="6">
        <f>HYPERLINK("https://fin.land.naver.com/articles/2645846528", "매물Link")</f>
        <v/>
      </c>
      <c r="M3157" s="6">
        <f>HYPERLINK("https://map.naver.com/p/search/세종특별자치시 소정면 대곡리 산51-12", "지도Link")</f>
        <v/>
      </c>
      <c r="N3157" s="6">
        <f>HYPERLINK("http://www.eum.go.kr/web/ar/lu/luLandDet.jsp?pnu=3611039023200510012&amp;isNoScr=script&amp;mode=search", "토지이음")</f>
        <v/>
      </c>
      <c r="O3157" s="3" t="inlineStr">
        <is>
          <t>스카이</t>
        </is>
      </c>
      <c r="P3157" s="3" t="n">
        <v>1</v>
      </c>
      <c r="Q3157" s="3" t="n">
        <v>3464</v>
      </c>
      <c r="R3157" s="3" t="inlineStr">
        <is>
          <t>지정되지않음</t>
        </is>
      </c>
      <c r="S3157" s="3" t="inlineStr">
        <is>
          <t>자연림</t>
        </is>
      </c>
      <c r="T3157" s="3" t="inlineStr">
        <is>
          <t>완경사</t>
        </is>
      </c>
      <c r="U3157" s="3" t="inlineStr">
        <is>
          <t>부정형</t>
        </is>
      </c>
      <c r="V3157" s="3" t="inlineStr">
        <is>
          <t>맹지</t>
        </is>
      </c>
    </row>
    <row r="3158">
      <c r="A3158" s="3" t="inlineStr">
        <is>
          <t>세종특별자치시 소정면 소정리 15-1</t>
        </is>
      </c>
      <c r="B3158" s="3" t="inlineStr">
        <is>
          <t>생산관리지역</t>
        </is>
      </c>
      <c r="C3158" s="3" t="inlineStr">
        <is>
          <t>답</t>
        </is>
      </c>
      <c r="D3158" s="3" t="inlineStr">
        <is>
          <t>답</t>
        </is>
      </c>
      <c r="E3158" s="3" t="inlineStr">
        <is>
          <t>매매</t>
        </is>
      </c>
      <c r="F3158" s="4" t="n">
        <v>46500</v>
      </c>
      <c r="G3158" s="4" t="n">
        <v>3071</v>
      </c>
      <c r="H3158" s="4" t="n">
        <v>929</v>
      </c>
      <c r="I3158" s="5" t="n">
        <v>50.1</v>
      </c>
      <c r="J3158" s="4" t="n">
        <v>24.6</v>
      </c>
      <c r="K3158" s="3" t="inlineStr">
        <is>
          <t>소정역 인근 모양좋은 생산관리지역</t>
        </is>
      </c>
      <c r="L3158" s="6">
        <f>HYPERLINK("https://fin.land.naver.com/articles/2646220602", "매물Link")</f>
        <v/>
      </c>
      <c r="M3158" s="6">
        <f>HYPERLINK("https://map.naver.com/p/search/세종특별자치시 소정면 소정리 15-1", "지도Link")</f>
        <v/>
      </c>
      <c r="N3158" s="6">
        <f>HYPERLINK("http://www.eum.go.kr/web/ar/lu/luLandDet.jsp?pnu=3611039021100150001&amp;isNoScr=script&amp;mode=search", "토지이음")</f>
        <v/>
      </c>
      <c r="O3158" s="3" t="inlineStr">
        <is>
          <t>불당대동</t>
        </is>
      </c>
      <c r="P3158" s="3" t="n">
        <v>1</v>
      </c>
      <c r="Q3158" s="3" t="n">
        <v>3071</v>
      </c>
      <c r="R3158" s="3" t="inlineStr">
        <is>
          <t>지정되지않음</t>
        </is>
      </c>
      <c r="S3158" s="3" t="inlineStr">
        <is>
          <t>답</t>
        </is>
      </c>
      <c r="T3158" s="3" t="inlineStr">
        <is>
          <t>완경사</t>
        </is>
      </c>
      <c r="U3158" s="3" t="inlineStr">
        <is>
          <t>부정형</t>
        </is>
      </c>
      <c r="V3158" s="3" t="inlineStr">
        <is>
          <t>세로한면(가)</t>
        </is>
      </c>
    </row>
    <row r="3159">
      <c r="A3159" s="3" t="inlineStr">
        <is>
          <t>세종특별자치시 소정면 소정리 16-1</t>
        </is>
      </c>
      <c r="B3159" s="3" t="inlineStr">
        <is>
          <t>생산관리지역</t>
        </is>
      </c>
      <c r="C3159" s="3" t="inlineStr">
        <is>
          <t>답</t>
        </is>
      </c>
      <c r="D3159" s="3" t="inlineStr">
        <is>
          <t>답</t>
        </is>
      </c>
      <c r="E3159" s="3" t="inlineStr">
        <is>
          <t>매매</t>
        </is>
      </c>
      <c r="F3159" s="4" t="n">
        <v>26700</v>
      </c>
      <c r="G3159" s="4" t="n">
        <v>1762</v>
      </c>
      <c r="H3159" s="4" t="n">
        <v>533</v>
      </c>
      <c r="I3159" s="5" t="n">
        <v>50.1</v>
      </c>
      <c r="J3159" s="4" t="n">
        <v>24.6</v>
      </c>
      <c r="K3159" s="3" t="inlineStr">
        <is>
          <t>소정역 인근 모양좋은 생산관리 토지</t>
        </is>
      </c>
      <c r="L3159" s="6">
        <f>HYPERLINK("https://fin.land.naver.com/articles/2647328800", "매물Link")</f>
        <v/>
      </c>
      <c r="M3159" s="6">
        <f>HYPERLINK("https://map.naver.com/p/search/세종특별자치시 소정면 소정리 16-1", "지도Link")</f>
        <v/>
      </c>
      <c r="N3159" s="6">
        <f>HYPERLINK("http://www.eum.go.kr/web/ar/lu/luLandDet.jsp?pnu=3611039021100160001&amp;isNoScr=script&amp;mode=search", "토지이음")</f>
        <v/>
      </c>
      <c r="O3159" s="3" t="inlineStr">
        <is>
          <t>불당대동</t>
        </is>
      </c>
      <c r="P3159" s="3" t="n">
        <v>1</v>
      </c>
      <c r="Q3159" s="3" t="n">
        <v>1762</v>
      </c>
      <c r="R3159" s="3" t="inlineStr">
        <is>
          <t>지정되지않음</t>
        </is>
      </c>
      <c r="S3159" s="3" t="inlineStr">
        <is>
          <t>답</t>
        </is>
      </c>
      <c r="T3159" s="3" t="inlineStr">
        <is>
          <t>완경사</t>
        </is>
      </c>
      <c r="U3159" s="3" t="inlineStr">
        <is>
          <t>부정형</t>
        </is>
      </c>
      <c r="V3159" s="3" t="inlineStr">
        <is>
          <t>세로한면(가)</t>
        </is>
      </c>
    </row>
    <row r="3160">
      <c r="A3160" s="3" t="inlineStr">
        <is>
          <t>세종특별자치시 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HYPERLINK("https://map.naver.com/p/search/세종특별자치시 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세종특별자치시 소정면 소정리 286-1</t>
        </is>
      </c>
      <c r="B3161" s="3" t="inlineStr">
        <is>
          <t>계획관리지역</t>
        </is>
      </c>
      <c r="C3161" s="3" t="inlineStr">
        <is>
          <t>전</t>
        </is>
      </c>
      <c r="D3161" s="3" t="inlineStr">
        <is>
          <t>전</t>
        </is>
      </c>
      <c r="E3161" s="3" t="inlineStr">
        <is>
          <t>매매</t>
        </is>
      </c>
      <c r="F3161" s="4" t="n">
        <v>53400</v>
      </c>
      <c r="G3161" s="4" t="n">
        <v>1177</v>
      </c>
      <c r="H3161" s="4" t="n">
        <v>356</v>
      </c>
      <c r="I3161" s="5" t="n">
        <v>150</v>
      </c>
      <c r="J3161" s="4" t="n">
        <v>54.5</v>
      </c>
      <c r="K3161" s="3" t="inlineStr">
        <is>
          <t>소정면 소정리 2차선변 계획관리 토지, 남풍세IC, 근생 및 창고 건축</t>
        </is>
      </c>
      <c r="L3161" s="6">
        <f>HYPERLINK("https://fin.land.naver.com/articles/2647359622", "매물Link")</f>
        <v/>
      </c>
      <c r="M3161" s="6">
        <f>HYPERLINK("https://map.naver.com/p/search/세종특별자치시 소정면 소정리 286-1", "지도Link")</f>
        <v/>
      </c>
      <c r="N3161" s="6">
        <f>HYPERLINK("http://www.eum.go.kr/web/ar/lu/luLandDet.jsp?pnu=3611039021102860001&amp;isNoScr=script&amp;mode=search", "토지이음")</f>
        <v/>
      </c>
      <c r="O3161" s="3" t="inlineStr">
        <is>
          <t>스카이</t>
        </is>
      </c>
      <c r="P3161" s="3" t="n">
        <v>1</v>
      </c>
      <c r="Q3161" s="3" t="n">
        <v>1177</v>
      </c>
      <c r="R3161" s="3" t="inlineStr">
        <is>
          <t>지정되지않음</t>
        </is>
      </c>
      <c r="S3161" s="3" t="inlineStr">
        <is>
          <t>전</t>
        </is>
      </c>
      <c r="T3161" s="3" t="inlineStr">
        <is>
          <t>평지</t>
        </is>
      </c>
      <c r="U3161" s="3" t="inlineStr">
        <is>
          <t>부정형</t>
        </is>
      </c>
      <c r="V3161" s="3" t="inlineStr">
        <is>
          <t>중로한면</t>
        </is>
      </c>
    </row>
    <row r="3162">
      <c r="A3162" s="3" t="inlineStr">
        <is>
          <t>세종특별자치시 소정면 소정리 33-3</t>
        </is>
      </c>
      <c r="B3162" s="3" t="inlineStr">
        <is>
          <t>계획관리지역</t>
        </is>
      </c>
      <c r="C3162" s="3" t="inlineStr">
        <is>
          <t>전</t>
        </is>
      </c>
      <c r="D3162" s="3" t="inlineStr">
        <is>
          <t>전</t>
        </is>
      </c>
      <c r="E3162" s="3" t="inlineStr">
        <is>
          <t>매매</t>
        </is>
      </c>
      <c r="F3162" s="4" t="n">
        <v>59000</v>
      </c>
      <c r="G3162" s="4" t="n">
        <v>1650</v>
      </c>
      <c r="H3162" s="4" t="n">
        <v>499</v>
      </c>
      <c r="I3162" s="5" t="n">
        <v>118.2</v>
      </c>
      <c r="J3162" s="4" t="n">
        <v>43.6</v>
      </c>
      <c r="K3162" s="3" t="inlineStr">
        <is>
          <t>초급매,도로접 계획관리,융복합미래도시 소정지구 도시개발구역,가격조정가능</t>
        </is>
      </c>
      <c r="L3162" s="6">
        <f>HYPERLINK("https://fin.land.naver.com/articles/2646537940", "매물Link")</f>
        <v/>
      </c>
      <c r="M3162" s="6">
        <f>HYPERLINK("https://map.naver.com/p/search/세종특별자치시 소정면 소정리 33-3", "지도Link")</f>
        <v/>
      </c>
      <c r="N3162" s="6">
        <f>HYPERLINK("http://www.eum.go.kr/web/ar/lu/luLandDet.jsp?pnu=3611039021100330003&amp;isNoScr=script&amp;mode=search", "토지이음")</f>
        <v/>
      </c>
      <c r="O3162" s="3" t="inlineStr">
        <is>
          <t>고운맘</t>
        </is>
      </c>
      <c r="P3162" s="3" t="n">
        <v>1</v>
      </c>
      <c r="Q3162" s="3" t="n">
        <v>660</v>
      </c>
      <c r="R3162" s="3" t="inlineStr">
        <is>
          <t>지정되지않음</t>
        </is>
      </c>
      <c r="S3162" s="3" t="inlineStr">
        <is>
          <t>전</t>
        </is>
      </c>
      <c r="T3162" s="3" t="inlineStr">
        <is>
          <t>평지</t>
        </is>
      </c>
      <c r="U3162" s="3" t="inlineStr">
        <is>
          <t>사다리형</t>
        </is>
      </c>
      <c r="V3162" s="3" t="inlineStr">
        <is>
          <t>세로한면(가)</t>
        </is>
      </c>
    </row>
    <row r="3163">
      <c r="A3163" s="3" t="inlineStr">
        <is>
          <t>세종특별자치시 소정면 소정리 371-2</t>
        </is>
      </c>
      <c r="B3163" s="3" t="inlineStr">
        <is>
          <t>농림지역</t>
        </is>
      </c>
      <c r="C3163" s="3" t="inlineStr">
        <is>
          <t>답</t>
        </is>
      </c>
      <c r="D3163" s="3" t="inlineStr">
        <is>
          <t>답</t>
        </is>
      </c>
      <c r="E3163" s="3" t="inlineStr">
        <is>
          <t>매매</t>
        </is>
      </c>
      <c r="F3163" s="4" t="n">
        <v>100905</v>
      </c>
      <c r="G3163" s="4" t="n">
        <v>9527</v>
      </c>
      <c r="H3163" s="4" t="n">
        <v>2882</v>
      </c>
      <c r="I3163" s="5" t="n">
        <v>35</v>
      </c>
      <c r="J3163" s="4" t="n">
        <v>12.7</v>
      </c>
      <c r="K3163" s="3" t="inlineStr">
        <is>
          <t>1번국도 소정2리 교차로 접한토지</t>
        </is>
      </c>
      <c r="L3163" s="6">
        <f>HYPERLINK("https://fin.land.naver.com/articles/2646624196", "매물Link")</f>
        <v/>
      </c>
      <c r="M3163" s="6">
        <f>HYPERLINK("https://map.naver.com/p/search/세종특별자치시 소정면 소정리 371-2", "지도Link")</f>
        <v/>
      </c>
      <c r="N3163" s="6">
        <f>HYPERLINK("http://www.eum.go.kr/web/ar/lu/luLandDet.jsp?pnu=3611039021103710002&amp;isNoScr=script&amp;mode=search", "토지이음")</f>
        <v/>
      </c>
      <c r="O3163" s="3" t="inlineStr">
        <is>
          <t>가람</t>
        </is>
      </c>
      <c r="P3163" s="3" t="n">
        <v>1</v>
      </c>
      <c r="Q3163" s="3" t="n">
        <v>3515</v>
      </c>
      <c r="R3163" s="3" t="inlineStr">
        <is>
          <t>지정되지않음</t>
        </is>
      </c>
      <c r="S3163" s="3" t="inlineStr">
        <is>
          <t>답</t>
        </is>
      </c>
      <c r="T3163" s="3" t="inlineStr">
        <is>
          <t>평지</t>
        </is>
      </c>
      <c r="U3163" s="3" t="inlineStr">
        <is>
          <t>세로장방</t>
        </is>
      </c>
      <c r="V3163" s="3" t="inlineStr">
        <is>
          <t>세로한면(가)</t>
        </is>
      </c>
    </row>
    <row r="3164">
      <c r="A3164" s="3" t="inlineStr">
        <is>
          <t>세종특별자치시 소정면 소정리 409-3</t>
        </is>
      </c>
      <c r="B3164" s="3" t="inlineStr">
        <is>
          <t>계획관리지역</t>
        </is>
      </c>
      <c r="C3164" s="3" t="inlineStr">
        <is>
          <t>대</t>
        </is>
      </c>
      <c r="D3164" s="3" t="inlineStr">
        <is>
          <t>대</t>
        </is>
      </c>
      <c r="E3164" s="3" t="inlineStr">
        <is>
          <t>매매</t>
        </is>
      </c>
      <c r="F3164" s="4" t="n">
        <v>11000</v>
      </c>
      <c r="G3164" s="4" t="n">
        <v>364</v>
      </c>
      <c r="H3164" s="4" t="n">
        <v>110</v>
      </c>
      <c r="I3164" s="5" t="n">
        <v>100</v>
      </c>
      <c r="J3164" s="4" t="n">
        <v>54.8</v>
      </c>
      <c r="K3164" s="3" t="inlineStr">
        <is>
          <t>주택신축 하는데 딱 이정도면 되지않을까요</t>
        </is>
      </c>
      <c r="L3164" s="6">
        <f>HYPERLINK("https://fin.land.naver.com/articles/2648747519", "매물Link")</f>
        <v/>
      </c>
      <c r="M3164" s="6">
        <f>HYPERLINK("https://map.naver.com/p/search/세종특별자치시 소정면 소정리 409-3", "지도Link")</f>
        <v/>
      </c>
      <c r="N3164" s="6">
        <f>HYPERLINK("http://www.eum.go.kr/web/ar/lu/luLandDet.jsp?pnu=3611039021104090003&amp;isNoScr=script&amp;mode=search", "토지이음")</f>
        <v/>
      </c>
      <c r="O3164" s="3" t="inlineStr">
        <is>
          <t>용궁</t>
        </is>
      </c>
      <c r="P3164" s="3" t="n">
        <v>1</v>
      </c>
      <c r="Q3164" s="3" t="n">
        <v>331</v>
      </c>
      <c r="R3164" s="3" t="inlineStr">
        <is>
          <t>지정되지않음</t>
        </is>
      </c>
      <c r="S3164" s="3" t="inlineStr">
        <is>
          <t>주거나지</t>
        </is>
      </c>
      <c r="T3164" s="3" t="inlineStr">
        <is>
          <t>평지</t>
        </is>
      </c>
      <c r="U3164" s="3" t="inlineStr">
        <is>
          <t>부정형</t>
        </is>
      </c>
      <c r="V3164" s="3" t="inlineStr">
        <is>
          <t>세로한면(가)</t>
        </is>
      </c>
    </row>
    <row r="3165">
      <c r="A3165" s="3" t="inlineStr">
        <is>
          <t>세종특별자치시 소정면 소정리 451-1</t>
        </is>
      </c>
      <c r="B3165" s="3" t="inlineStr">
        <is>
          <t>계획관리지역</t>
        </is>
      </c>
      <c r="C3165" s="3" t="inlineStr">
        <is>
          <t>전</t>
        </is>
      </c>
      <c r="D3165" s="3" t="inlineStr">
        <is>
          <t>전</t>
        </is>
      </c>
      <c r="E3165" s="3" t="inlineStr">
        <is>
          <t>매매</t>
        </is>
      </c>
      <c r="F3165" s="4" t="n">
        <v>85000</v>
      </c>
      <c r="G3165" s="4" t="n">
        <v>2734</v>
      </c>
      <c r="H3165" s="4" t="n">
        <v>827</v>
      </c>
      <c r="I3165" s="5" t="n">
        <v>102.8</v>
      </c>
      <c r="J3165" s="4" t="n">
        <v>28.6</v>
      </c>
      <c r="K3165" s="3" t="inlineStr">
        <is>
          <t>(명당추천)천안아산역 15km 15분 분할 가능한 전원주택 매매</t>
        </is>
      </c>
      <c r="L3165" s="6">
        <f>HYPERLINK("https://fin.land.naver.com/articles/2645042945", "매물Link")</f>
        <v/>
      </c>
      <c r="M3165" s="6">
        <f>HYPERLINK("https://map.naver.com/p/search/세종특별자치시 소정면 소정리 451-1", "지도Link")</f>
        <v/>
      </c>
      <c r="N3165" s="6">
        <f>HYPERLINK("http://www.eum.go.kr/web/ar/lu/luLandDet.jsp?pnu=3611039021104510001&amp;isNoScr=script&amp;mode=search", "토지이음")</f>
        <v/>
      </c>
      <c r="O3165" s="3" t="inlineStr">
        <is>
          <t>올라</t>
        </is>
      </c>
      <c r="P3165" s="3" t="n">
        <v>1</v>
      </c>
      <c r="Q3165" s="3" t="n">
        <v>2734</v>
      </c>
      <c r="R3165" s="3" t="inlineStr">
        <is>
          <t>지정되지않음</t>
        </is>
      </c>
      <c r="S3165" s="3" t="inlineStr">
        <is>
          <t>전</t>
        </is>
      </c>
      <c r="T3165" s="3" t="inlineStr">
        <is>
          <t>평지</t>
        </is>
      </c>
      <c r="U3165" s="3" t="inlineStr">
        <is>
          <t>사다리형</t>
        </is>
      </c>
      <c r="V3165" s="3" t="inlineStr">
        <is>
          <t>세로한면(가)</t>
        </is>
      </c>
    </row>
    <row r="3166">
      <c r="A3166" s="3" t="inlineStr">
        <is>
          <t>세종특별자치시 소정면 소정리 49-12</t>
        </is>
      </c>
      <c r="B3166" s="3" t="inlineStr">
        <is>
          <t>계획관리지역</t>
        </is>
      </c>
      <c r="C3166" s="3" t="inlineStr">
        <is>
          <t>전</t>
        </is>
      </c>
      <c r="D3166" s="3" t="inlineStr">
        <is>
          <t>전</t>
        </is>
      </c>
      <c r="E3166" s="3" t="inlineStr">
        <is>
          <t>매매</t>
        </is>
      </c>
      <c r="F3166" s="4" t="n">
        <v>66000</v>
      </c>
      <c r="G3166" s="4" t="n">
        <v>992</v>
      </c>
      <c r="H3166" s="4" t="n">
        <v>300</v>
      </c>
      <c r="I3166" s="5" t="n">
        <v>220</v>
      </c>
      <c r="J3166" s="4" t="n">
        <v>96</v>
      </c>
      <c r="K3166" s="3" t="inlineStr">
        <is>
          <t>2차선 도로에 붙은 정사각형  토지 매매</t>
        </is>
      </c>
      <c r="L3166" s="6">
        <f>HYPERLINK("https://fin.land.naver.com/articles/2646293736", "매물Link")</f>
        <v/>
      </c>
      <c r="M3166" s="6">
        <f>HYPERLINK("https://map.naver.com/p/search/세종특별자치시 소정면 소정리 49-12", "지도Link")</f>
        <v/>
      </c>
      <c r="N3166" s="6">
        <f>HYPERLINK("http://www.eum.go.kr/web/ar/lu/luLandDet.jsp?pnu=3611039021100490012&amp;isNoScr=script&amp;mode=search", "토지이음")</f>
        <v/>
      </c>
      <c r="O3166" s="3" t="inlineStr">
        <is>
          <t>주식회사넥서스</t>
        </is>
      </c>
      <c r="P3166" s="3" t="n">
        <v>1</v>
      </c>
      <c r="Q3166" s="3" t="n">
        <v>992</v>
      </c>
      <c r="R3166" s="3" t="inlineStr">
        <is>
          <t>지정되지않음</t>
        </is>
      </c>
      <c r="S3166" s="3" t="inlineStr">
        <is>
          <t>답</t>
        </is>
      </c>
      <c r="T3166" s="3" t="inlineStr">
        <is>
          <t>평지</t>
        </is>
      </c>
      <c r="U3166" s="3" t="inlineStr">
        <is>
          <t>사다리형</t>
        </is>
      </c>
      <c r="V3166" s="3" t="inlineStr">
        <is>
          <t>중로한면</t>
        </is>
      </c>
    </row>
    <row r="3167">
      <c r="A3167" s="3" t="inlineStr">
        <is>
          <t>세종특별자치시 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HYPERLINK("https://map.naver.com/p/search/세종특별자치시 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세종특별자치시 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HYPERLINK("https://map.naver.com/p/search/세종특별자치시 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세종특별자치시 소정면 소정리 492-7</t>
        </is>
      </c>
      <c r="B3169" s="3" t="inlineStr">
        <is>
          <t>계획관리지역</t>
        </is>
      </c>
      <c r="C3169" s="3" t="inlineStr">
        <is>
          <t>대</t>
        </is>
      </c>
      <c r="D3169" s="3" t="inlineStr">
        <is>
          <t>대</t>
        </is>
      </c>
      <c r="E3169" s="3" t="inlineStr">
        <is>
          <t>매매</t>
        </is>
      </c>
      <c r="F3169" s="4" t="n">
        <v>22900</v>
      </c>
      <c r="G3169" s="4" t="n">
        <v>637</v>
      </c>
      <c r="H3169" s="4" t="n">
        <v>193</v>
      </c>
      <c r="I3169" s="5" t="n">
        <v>118.7</v>
      </c>
      <c r="J3169" s="4" t="n">
        <v>60.2</v>
      </c>
      <c r="K3169" s="3" t="inlineStr">
        <is>
          <t>급매 세종소정리 계획관리 도로접 대지 전원주택 주말농장 농촌체류형쉼터</t>
        </is>
      </c>
      <c r="L3169" s="6">
        <f>HYPERLINK("https://fin.land.naver.com/articles/2646754234", "매물Link")</f>
        <v/>
      </c>
      <c r="M3169" s="6">
        <f>HYPERLINK("https://map.naver.com/p/search/세종특별자치시 소정면 소정리 492-7", "지도Link")</f>
        <v/>
      </c>
      <c r="N3169" s="6">
        <f>HYPERLINK("http://www.eum.go.kr/web/ar/lu/luLandDet.jsp?pnu=3611039021104920007&amp;isNoScr=script&amp;mode=search", "토지이음")</f>
        <v/>
      </c>
      <c r="O3169" s="3" t="inlineStr">
        <is>
          <t>천안삼거리</t>
        </is>
      </c>
      <c r="P3169" s="3" t="n">
        <v>1</v>
      </c>
      <c r="Q3169" s="3" t="n">
        <v>637</v>
      </c>
      <c r="R3169" s="3" t="inlineStr">
        <is>
          <t>지정되지않음</t>
        </is>
      </c>
      <c r="S3169" s="3" t="inlineStr">
        <is>
          <t>단독</t>
        </is>
      </c>
      <c r="T3169" s="3" t="inlineStr">
        <is>
          <t>평지</t>
        </is>
      </c>
      <c r="U3169" s="3" t="inlineStr">
        <is>
          <t>사다리형</t>
        </is>
      </c>
      <c r="V3169" s="3" t="inlineStr">
        <is>
          <t>세로한면(가)</t>
        </is>
      </c>
    </row>
    <row r="3170">
      <c r="A3170" s="3" t="inlineStr">
        <is>
          <t>세종특별자치시 소정면 소정리 511-10</t>
        </is>
      </c>
      <c r="B3170" s="3" t="inlineStr">
        <is>
          <t>보전관리지역</t>
        </is>
      </c>
      <c r="C3170" s="3" t="inlineStr">
        <is>
          <t>임야</t>
        </is>
      </c>
      <c r="D3170" s="3" t="inlineStr">
        <is>
          <t>임야</t>
        </is>
      </c>
      <c r="E3170" s="3" t="inlineStr">
        <is>
          <t>매매</t>
        </is>
      </c>
      <c r="F3170" s="4" t="n">
        <v>85700</v>
      </c>
      <c r="G3170" s="4" t="n">
        <v>6301</v>
      </c>
      <c r="H3170" s="4" t="n">
        <v>1906</v>
      </c>
      <c r="I3170" s="5" t="n">
        <v>45</v>
      </c>
      <c r="J3170" s="4" t="n">
        <v>4.8</v>
      </c>
      <c r="K3170" s="3" t="inlineStr">
        <is>
          <t>남풍세ic 차량1분거리 도로접 토지매매</t>
        </is>
      </c>
      <c r="L3170" s="6">
        <f>HYPERLINK("https://fin.land.naver.com/articles/2647850602", "매물Link")</f>
        <v/>
      </c>
      <c r="M3170" s="6">
        <f>HYPERLINK("https://map.naver.com/p/search/세종특별자치시 소정면 소정리 511-10", "지도Link")</f>
        <v/>
      </c>
      <c r="N3170" s="6">
        <f>HYPERLINK("http://www.eum.go.kr/web/ar/lu/luLandDet.jsp?pnu=3611039021105110010&amp;isNoScr=script&amp;mode=search", "토지이음")</f>
        <v/>
      </c>
      <c r="O3170" s="3" t="inlineStr">
        <is>
          <t>다모아</t>
        </is>
      </c>
      <c r="P3170" s="3" t="n">
        <v>3</v>
      </c>
      <c r="Q3170" s="3" t="n">
        <v>6301</v>
      </c>
      <c r="R3170" s="3" t="inlineStr">
        <is>
          <t>지정되지않음</t>
        </is>
      </c>
      <c r="S3170" s="3" t="inlineStr">
        <is>
          <t>자연림</t>
        </is>
      </c>
      <c r="T3170" s="3" t="inlineStr">
        <is>
          <t>완경사</t>
        </is>
      </c>
      <c r="U3170" s="3" t="inlineStr">
        <is>
          <t>부정형</t>
        </is>
      </c>
      <c r="V3170" s="3" t="inlineStr">
        <is>
          <t>세로한면(가)</t>
        </is>
      </c>
    </row>
    <row r="3171">
      <c r="A3171" s="3" t="inlineStr">
        <is>
          <t>세종특별자치시 소정면 소정리 512-2</t>
        </is>
      </c>
      <c r="B3171" s="3" t="inlineStr">
        <is>
          <t>생산관리지역</t>
        </is>
      </c>
      <c r="C3171" s="3" t="inlineStr">
        <is>
          <t>답</t>
        </is>
      </c>
      <c r="D3171" s="3" t="inlineStr">
        <is>
          <t>답</t>
        </is>
      </c>
      <c r="E3171" s="3" t="inlineStr">
        <is>
          <t>매매</t>
        </is>
      </c>
      <c r="F3171" s="4" t="n">
        <v>37180</v>
      </c>
      <c r="G3171" s="4" t="n">
        <v>946</v>
      </c>
      <c r="H3171" s="4" t="n">
        <v>286</v>
      </c>
      <c r="I3171" s="5" t="n">
        <v>130</v>
      </c>
      <c r="J3171" s="4" t="n">
        <v>23.8</v>
      </c>
      <c r="K3171" s="3" t="inlineStr">
        <is>
          <t>2차선 도로 접 생산관리 토지로 상가등 다용도 추천 장래투자가치 있어요</t>
        </is>
      </c>
      <c r="L3171" s="6">
        <f>HYPERLINK("https://fin.land.naver.com/articles/2646117300", "매물Link")</f>
        <v/>
      </c>
      <c r="M3171" s="6">
        <f>HYPERLINK("https://map.naver.com/p/search/세종특별자치시 소정면 소정리 512-2", "지도Link")</f>
        <v/>
      </c>
      <c r="N3171" s="6">
        <f>HYPERLINK("http://www.eum.go.kr/web/ar/lu/luLandDet.jsp?pnu=3611039021105120002&amp;isNoScr=script&amp;mode=search", "토지이음")</f>
        <v/>
      </c>
      <c r="O3171" s="3" t="inlineStr">
        <is>
          <t>병천참조은</t>
        </is>
      </c>
      <c r="P3171" s="3" t="n">
        <v>2</v>
      </c>
      <c r="Q3171" s="3" t="n">
        <v>946</v>
      </c>
      <c r="R3171" s="3" t="inlineStr">
        <is>
          <t>지정되지않음</t>
        </is>
      </c>
      <c r="S3171" s="3" t="inlineStr">
        <is>
          <t>답</t>
        </is>
      </c>
      <c r="T3171" s="3" t="inlineStr">
        <is>
          <t>평지</t>
        </is>
      </c>
      <c r="U3171" s="3" t="inlineStr">
        <is>
          <t>부정형</t>
        </is>
      </c>
      <c r="V3171" s="3" t="inlineStr">
        <is>
          <t>세로한면(가)</t>
        </is>
      </c>
    </row>
    <row r="3172">
      <c r="A3172" s="3" t="inlineStr">
        <is>
          <t>세종특별자치시 소정면 소정리 77-1</t>
        </is>
      </c>
      <c r="B3172" s="3" t="inlineStr">
        <is>
          <t>농림지역</t>
        </is>
      </c>
      <c r="C3172" s="3" t="inlineStr">
        <is>
          <t>답</t>
        </is>
      </c>
      <c r="D3172" s="3" t="inlineStr">
        <is>
          <t>답</t>
        </is>
      </c>
      <c r="E3172" s="3" t="inlineStr">
        <is>
          <t>매매</t>
        </is>
      </c>
      <c r="F3172" s="4" t="n">
        <v>40000</v>
      </c>
      <c r="G3172" s="4" t="n">
        <v>3202</v>
      </c>
      <c r="H3172" s="4" t="n">
        <v>969</v>
      </c>
      <c r="I3172" s="5" t="n">
        <v>41.3</v>
      </c>
      <c r="J3172" s="4" t="n">
        <v>11.5</v>
      </c>
      <c r="K3172" s="3" t="inlineStr">
        <is>
          <t>스마트팜 농장 매매. 시설비 금액별도</t>
        </is>
      </c>
      <c r="L3172" s="6">
        <f>HYPERLINK("https://fin.land.naver.com/articles/2648485498", "매물Link")</f>
        <v/>
      </c>
      <c r="M3172" s="6">
        <f>HYPERLINK("https://map.naver.com/p/search/세종특별자치시 소정면 소정리 77-1", "지도Link")</f>
        <v/>
      </c>
      <c r="N3172" s="6">
        <f>HYPERLINK("http://www.eum.go.kr/web/ar/lu/luLandDet.jsp?pnu=3611039021100770001&amp;isNoScr=script&amp;mode=search", "토지이음")</f>
        <v/>
      </c>
      <c r="O3172" s="3" t="inlineStr">
        <is>
          <t>주식회사넥서스</t>
        </is>
      </c>
      <c r="P3172" s="3" t="n">
        <v>1</v>
      </c>
      <c r="Q3172" s="3" t="n">
        <v>1738</v>
      </c>
      <c r="R3172" s="3" t="inlineStr">
        <is>
          <t>지정되지않음</t>
        </is>
      </c>
      <c r="S3172" s="3" t="inlineStr">
        <is>
          <t>답</t>
        </is>
      </c>
      <c r="T3172" s="3" t="inlineStr">
        <is>
          <t>평지</t>
        </is>
      </c>
      <c r="U3172" s="3" t="inlineStr">
        <is>
          <t>세로장방</t>
        </is>
      </c>
      <c r="V3172" s="3" t="inlineStr">
        <is>
          <t>세로한면(가)</t>
        </is>
      </c>
    </row>
    <row r="3173">
      <c r="A3173" s="3" t="inlineStr">
        <is>
          <t>세종특별자치시 소정면 소정리 86-2</t>
        </is>
      </c>
      <c r="B3173" s="3" t="inlineStr">
        <is>
          <t>농림지역</t>
        </is>
      </c>
      <c r="C3173" s="3" t="inlineStr">
        <is>
          <t>답</t>
        </is>
      </c>
      <c r="D3173" s="3" t="inlineStr">
        <is>
          <t>답</t>
        </is>
      </c>
      <c r="E3173" s="3" t="inlineStr">
        <is>
          <t>매매</t>
        </is>
      </c>
      <c r="F3173" s="4" t="n">
        <v>4200</v>
      </c>
      <c r="G3173" s="4" t="n">
        <v>690</v>
      </c>
      <c r="H3173" s="4" t="n">
        <v>209</v>
      </c>
      <c r="I3173" s="5" t="n">
        <v>20.1</v>
      </c>
      <c r="J3173" s="4" t="n">
        <v>11.7</v>
      </c>
      <c r="K3173" s="3" t="inlineStr">
        <is>
          <t>남풍세IC 접근 좋은 포장농로 접한 평탄 농지</t>
        </is>
      </c>
      <c r="L3173" s="6">
        <f>HYPERLINK("https://fin.land.naver.com/articles/2648861289", "매물Link")</f>
        <v/>
      </c>
      <c r="M3173" s="6">
        <f>HYPERLINK("https://map.naver.com/p/search/세종특별자치시 소정면 소정리 86-2", "지도Link")</f>
        <v/>
      </c>
      <c r="N3173" s="6">
        <f>HYPERLINK("http://www.eum.go.kr/web/ar/lu/luLandDet.jsp?pnu=3611039021100860002&amp;isNoScr=script&amp;mode=search", "토지이음")</f>
        <v/>
      </c>
      <c r="O3173" s="3" t="inlineStr">
        <is>
          <t>세종소담황금</t>
        </is>
      </c>
      <c r="P3173" s="3" t="n">
        <v>1</v>
      </c>
      <c r="Q3173" s="3" t="n">
        <v>691</v>
      </c>
      <c r="R3173" s="3" t="inlineStr">
        <is>
          <t>지정되지않음</t>
        </is>
      </c>
      <c r="S3173" s="3" t="inlineStr">
        <is>
          <t>답</t>
        </is>
      </c>
      <c r="T3173" s="3" t="inlineStr">
        <is>
          <t>평지</t>
        </is>
      </c>
      <c r="U3173" s="3" t="inlineStr">
        <is>
          <t>가로장방</t>
        </is>
      </c>
      <c r="V3173" s="3" t="inlineStr">
        <is>
          <t>세로한면(가)</t>
        </is>
      </c>
    </row>
    <row r="3174">
      <c r="A3174" s="3" t="inlineStr">
        <is>
          <t>세종특별자치시 소정면 소정리 91-2</t>
        </is>
      </c>
      <c r="B3174" s="3" t="inlineStr">
        <is>
          <t>농림지역</t>
        </is>
      </c>
      <c r="C3174" s="3" t="inlineStr">
        <is>
          <t>답</t>
        </is>
      </c>
      <c r="D3174" s="3" t="inlineStr">
        <is>
          <t>답</t>
        </is>
      </c>
      <c r="E3174" s="3" t="inlineStr">
        <is>
          <t>매매</t>
        </is>
      </c>
      <c r="F3174" s="4" t="n">
        <v>21000</v>
      </c>
      <c r="G3174" s="4" t="n">
        <v>1983</v>
      </c>
      <c r="H3174" s="4" t="n">
        <v>600</v>
      </c>
      <c r="I3174" s="5" t="n">
        <v>35</v>
      </c>
      <c r="J3174" s="4" t="n">
        <v>12.5</v>
      </c>
      <c r="K3174" s="3" t="inlineStr">
        <is>
          <t>소정리 저렴한 농지 대토 추천 복토해서 밭으로 사용중입니다</t>
        </is>
      </c>
      <c r="L3174" s="6">
        <f>HYPERLINK("https://fin.land.naver.com/articles/2648077459", "매물Link")</f>
        <v/>
      </c>
      <c r="M3174" s="6">
        <f>HYPERLINK("https://map.naver.com/p/search/세종특별자치시 소정면 소정리 91-2", "지도Link")</f>
        <v/>
      </c>
      <c r="N3174" s="6">
        <f>HYPERLINK("http://www.eum.go.kr/web/ar/lu/luLandDet.jsp?pnu=3611039021100910002&amp;isNoScr=script&amp;mode=search", "토지이음")</f>
        <v/>
      </c>
      <c r="O3174" s="3" t="inlineStr">
        <is>
          <t>OK수</t>
        </is>
      </c>
      <c r="P3174" s="3" t="n">
        <v>1</v>
      </c>
      <c r="Q3174" s="3" t="n">
        <v>1983</v>
      </c>
      <c r="R3174" s="3" t="inlineStr">
        <is>
          <t>지정되지않음</t>
        </is>
      </c>
      <c r="S3174" s="3" t="inlineStr">
        <is>
          <t>답</t>
        </is>
      </c>
      <c r="T3174" s="3" t="inlineStr">
        <is>
          <t>평지</t>
        </is>
      </c>
      <c r="U3174" s="3" t="inlineStr">
        <is>
          <t>사다리형</t>
        </is>
      </c>
      <c r="V3174" s="3" t="inlineStr">
        <is>
          <t>세로한면(가)</t>
        </is>
      </c>
    </row>
    <row r="3175">
      <c r="A3175" s="3" t="inlineStr">
        <is>
          <t>세종특별자치시 소정면 운당리 142-3</t>
        </is>
      </c>
      <c r="B3175" s="3" t="inlineStr">
        <is>
          <t>계획관리지역</t>
        </is>
      </c>
      <c r="C3175" s="3" t="inlineStr">
        <is>
          <t>전</t>
        </is>
      </c>
      <c r="D3175" s="3" t="inlineStr">
        <is>
          <t>전</t>
        </is>
      </c>
      <c r="E3175" s="3" t="inlineStr">
        <is>
          <t>매매</t>
        </is>
      </c>
      <c r="F3175" s="4" t="n">
        <v>47850</v>
      </c>
      <c r="G3175" s="4" t="n">
        <v>1438</v>
      </c>
      <c r="H3175" s="4" t="n">
        <v>435</v>
      </c>
      <c r="I3175" s="5" t="n">
        <v>110</v>
      </c>
      <c r="J3175" s="4" t="n">
        <v>42.6</v>
      </c>
      <c r="K3175" s="3" t="inlineStr">
        <is>
          <t>행정 수도 이전 완료 시 개발 이익 및 지가 상승 선취매 강력 추천 매물</t>
        </is>
      </c>
      <c r="L3175" s="6">
        <f>HYPERLINK("https://fin.land.naver.com/articles/2649206235", "매물Link")</f>
        <v/>
      </c>
      <c r="M3175" s="6">
        <f>HYPERLINK("https://map.naver.com/p/search/세종특별자치시 소정면 운당리 142-3", "지도Link")</f>
        <v/>
      </c>
      <c r="N3175" s="6">
        <f>HYPERLINK("http://www.eum.go.kr/web/ar/lu/luLandDet.jsp?pnu=3611039022101420003&amp;isNoScr=script&amp;mode=search", "토지이음")</f>
        <v/>
      </c>
      <c r="O3175" s="3" t="inlineStr">
        <is>
          <t>자이</t>
        </is>
      </c>
      <c r="P3175" s="3" t="n">
        <v>1</v>
      </c>
      <c r="Q3175" s="3" t="n">
        <v>1438</v>
      </c>
      <c r="R3175" s="3" t="inlineStr">
        <is>
          <t>지정되지않음</t>
        </is>
      </c>
      <c r="S3175" s="3" t="inlineStr">
        <is>
          <t>전</t>
        </is>
      </c>
      <c r="T3175" s="3" t="inlineStr">
        <is>
          <t>평지</t>
        </is>
      </c>
      <c r="U3175" s="3" t="inlineStr">
        <is>
          <t>사다리형</t>
        </is>
      </c>
      <c r="V3175" s="3" t="inlineStr">
        <is>
          <t>세로각지(가)</t>
        </is>
      </c>
    </row>
    <row r="3176">
      <c r="A3176" s="3" t="inlineStr">
        <is>
          <t>세종특별자치시 소정면 운당리 200-2</t>
        </is>
      </c>
      <c r="B3176" s="3" t="inlineStr">
        <is>
          <t>농림지역</t>
        </is>
      </c>
      <c r="C3176" s="3" t="inlineStr">
        <is>
          <t>답</t>
        </is>
      </c>
      <c r="D3176" s="3" t="inlineStr">
        <is>
          <t>답</t>
        </is>
      </c>
      <c r="E3176" s="3" t="inlineStr">
        <is>
          <t>매매</t>
        </is>
      </c>
      <c r="F3176" s="4" t="n">
        <v>5000</v>
      </c>
      <c r="G3176" s="4" t="n">
        <v>552</v>
      </c>
      <c r="H3176" s="4" t="n">
        <v>167</v>
      </c>
      <c r="I3176" s="5" t="n">
        <v>29.9</v>
      </c>
      <c r="J3176" s="4" t="n">
        <v>13.7</v>
      </c>
      <c r="K3176" s="3" t="inlineStr">
        <is>
          <t>대토용으로 추천합니다.</t>
        </is>
      </c>
      <c r="L3176" s="6">
        <f>HYPERLINK("https://fin.land.naver.com/articles/2645620565", "매물Link")</f>
        <v/>
      </c>
      <c r="M3176" s="6">
        <f>HYPERLINK("https://map.naver.com/p/search/세종특별자치시 소정면 운당리 200-2", "지도Link")</f>
        <v/>
      </c>
      <c r="N3176" s="6">
        <f>HYPERLINK("http://www.eum.go.kr/web/ar/lu/luLandDet.jsp?pnu=3611039022102000002&amp;isNoScr=script&amp;mode=search", "토지이음")</f>
        <v/>
      </c>
      <c r="O3176" s="3" t="inlineStr">
        <is>
          <t>으뜸</t>
        </is>
      </c>
      <c r="P3176" s="3" t="n">
        <v>1</v>
      </c>
      <c r="Q3176" s="3" t="n">
        <v>552</v>
      </c>
      <c r="R3176" s="3" t="inlineStr">
        <is>
          <t>지정되지않음</t>
        </is>
      </c>
      <c r="S3176" s="3" t="inlineStr">
        <is>
          <t>답기타</t>
        </is>
      </c>
      <c r="T3176" s="3" t="inlineStr">
        <is>
          <t>평지</t>
        </is>
      </c>
      <c r="U3176" s="3" t="inlineStr">
        <is>
          <t>세로장방</t>
        </is>
      </c>
      <c r="V3176" s="3" t="inlineStr">
        <is>
          <t>세로한면(가)</t>
        </is>
      </c>
    </row>
    <row r="3177">
      <c r="A3177" s="3" t="inlineStr">
        <is>
          <t>세종특별자치시 소정면 운당리 206-8</t>
        </is>
      </c>
      <c r="B3177" s="3" t="inlineStr">
        <is>
          <t>계획관리지역</t>
        </is>
      </c>
      <c r="C3177" s="3" t="inlineStr">
        <is>
          <t>전</t>
        </is>
      </c>
      <c r="D3177" s="3" t="inlineStr">
        <is>
          <t>전</t>
        </is>
      </c>
      <c r="E3177" s="3" t="inlineStr">
        <is>
          <t>매매</t>
        </is>
      </c>
      <c r="F3177" s="4" t="n">
        <v>24000</v>
      </c>
      <c r="G3177" s="4" t="n">
        <v>662</v>
      </c>
      <c r="H3177" s="4" t="n">
        <v>200</v>
      </c>
      <c r="I3177" s="5" t="n">
        <v>120</v>
      </c>
      <c r="J3177" s="4" t="n">
        <v>38.1</v>
      </c>
      <c r="K3177" s="3" t="inlineStr">
        <is>
          <t>건축가능한 토지, 계획관리지역</t>
        </is>
      </c>
      <c r="L3177" s="6">
        <f>HYPERLINK("https://fin.land.naver.com/articles/2644444571", "매물Link")</f>
        <v/>
      </c>
      <c r="M3177" s="6">
        <f>HYPERLINK("https://map.naver.com/p/search/세종특별자치시 소정면 운당리 206-8", "지도Link")</f>
        <v/>
      </c>
      <c r="N3177" s="6">
        <f>HYPERLINK("http://www.eum.go.kr/web/ar/lu/luLandDet.jsp?pnu=3611039022102060008&amp;isNoScr=script&amp;mode=search", "토지이음")</f>
        <v/>
      </c>
      <c r="O3177" s="3" t="inlineStr">
        <is>
          <t>세종대박</t>
        </is>
      </c>
      <c r="P3177" s="3" t="n">
        <v>1</v>
      </c>
      <c r="Q3177" s="3" t="n">
        <v>662</v>
      </c>
      <c r="R3177" s="3" t="inlineStr">
        <is>
          <t>지정되지않음</t>
        </is>
      </c>
      <c r="S3177" s="3" t="inlineStr">
        <is>
          <t>전</t>
        </is>
      </c>
      <c r="T3177" s="3" t="inlineStr">
        <is>
          <t>평지</t>
        </is>
      </c>
      <c r="U3177" s="3" t="inlineStr">
        <is>
          <t>사다리형</t>
        </is>
      </c>
      <c r="V3177" s="3" t="inlineStr">
        <is>
          <t>세로한면(가)</t>
        </is>
      </c>
    </row>
    <row r="3178">
      <c r="A3178" s="3" t="inlineStr">
        <is>
          <t>세종특별자치시 소정면 운당리 227-2</t>
        </is>
      </c>
      <c r="B3178" s="3" t="inlineStr">
        <is>
          <t>계획관리지역</t>
        </is>
      </c>
      <c r="C3178" s="3" t="inlineStr">
        <is>
          <t>전</t>
        </is>
      </c>
      <c r="D3178" s="3" t="inlineStr">
        <is>
          <t>전</t>
        </is>
      </c>
      <c r="E3178" s="3" t="inlineStr">
        <is>
          <t>매매</t>
        </is>
      </c>
      <c r="F3178" s="4" t="n">
        <v>24920</v>
      </c>
      <c r="G3178" s="4" t="n">
        <v>1030</v>
      </c>
      <c r="H3178" s="4" t="n">
        <v>312</v>
      </c>
      <c r="I3178" s="5" t="n">
        <v>79.90000000000001</v>
      </c>
      <c r="J3178" s="4" t="n">
        <v>40.5</v>
      </c>
      <c r="K3178" s="3" t="inlineStr">
        <is>
          <t>nan</t>
        </is>
      </c>
      <c r="L3178" s="6">
        <f>HYPERLINK("https://fin.land.naver.com/articles/2647538965", "매물Link")</f>
        <v/>
      </c>
      <c r="M3178" s="6">
        <f>HYPERLINK("https://map.naver.com/p/search/세종특별자치시 소정면 운당리 227-2", "지도Link")</f>
        <v/>
      </c>
      <c r="N3178" s="6">
        <f>HYPERLINK("http://www.eum.go.kr/web/ar/lu/luLandDet.jsp?pnu=3611039022102270002&amp;isNoScr=script&amp;mode=search", "토지이음")</f>
        <v/>
      </c>
      <c r="O3178" s="3" t="inlineStr">
        <is>
          <t>잘살아보세</t>
        </is>
      </c>
      <c r="P3178" s="3" t="n">
        <v>1</v>
      </c>
      <c r="Q3178" s="3" t="n">
        <v>1030</v>
      </c>
      <c r="R3178" s="3" t="inlineStr">
        <is>
          <t>지정되지않음</t>
        </is>
      </c>
      <c r="S3178" s="3" t="inlineStr">
        <is>
          <t>전</t>
        </is>
      </c>
      <c r="T3178" s="3" t="inlineStr">
        <is>
          <t>평지</t>
        </is>
      </c>
      <c r="U3178" s="3" t="inlineStr">
        <is>
          <t>세로장방</t>
        </is>
      </c>
      <c r="V3178" s="3" t="inlineStr">
        <is>
          <t>세로한면(가)</t>
        </is>
      </c>
    </row>
    <row r="3179">
      <c r="A3179" s="3" t="inlineStr">
        <is>
          <t>세종특별자치시 소정면 운당리 81-4</t>
        </is>
      </c>
      <c r="B3179" s="3" t="inlineStr">
        <is>
          <t>계획관리지역</t>
        </is>
      </c>
      <c r="C3179" s="3" t="inlineStr">
        <is>
          <t>임야</t>
        </is>
      </c>
      <c r="D3179" s="3" t="inlineStr">
        <is>
          <t>전</t>
        </is>
      </c>
      <c r="E3179" s="3" t="inlineStr">
        <is>
          <t>매매</t>
        </is>
      </c>
      <c r="F3179" s="4" t="n">
        <v>986000</v>
      </c>
      <c r="G3179" s="4" t="n">
        <v>19173</v>
      </c>
      <c r="H3179" s="4" t="n">
        <v>5800</v>
      </c>
      <c r="I3179" s="5" t="n">
        <v>170</v>
      </c>
      <c r="J3179" s="4" t="n">
        <v>4.9</v>
      </c>
      <c r="K3179" s="3" t="inlineStr">
        <is>
          <t>공장허가 완료 금속제조 창고 적합 대면적 부지</t>
        </is>
      </c>
      <c r="L3179" s="6">
        <f>HYPERLINK("https://fin.land.naver.com/articles/2648845305", "매물Link")</f>
        <v/>
      </c>
      <c r="M3179" s="6">
        <f>HYPERLINK("https://map.naver.com/p/search/세종특별자치시 소정면 운당리 81-4", "지도Link")</f>
        <v/>
      </c>
      <c r="N3179" s="6">
        <f>HYPERLINK("http://www.eum.go.kr/web/ar/lu/luLandDet.jsp?pnu=3611039022100810004&amp;isNoScr=script&amp;mode=search", "토지이음")</f>
        <v/>
      </c>
      <c r="O3179" s="3" t="inlineStr">
        <is>
          <t>세종소담황금</t>
        </is>
      </c>
      <c r="P3179" s="3" t="n">
        <v>1</v>
      </c>
      <c r="Q3179" s="3" t="n">
        <v>18457</v>
      </c>
      <c r="R3179" s="3" t="inlineStr">
        <is>
          <t>농림지역</t>
        </is>
      </c>
      <c r="S3179" s="3" t="inlineStr">
        <is>
          <t>자연림</t>
        </is>
      </c>
      <c r="T3179" s="3" t="inlineStr">
        <is>
          <t>완경사</t>
        </is>
      </c>
      <c r="U3179" s="3" t="inlineStr">
        <is>
          <t>부정형</t>
        </is>
      </c>
      <c r="V3179" s="3" t="inlineStr">
        <is>
          <t>세로한면(불)</t>
        </is>
      </c>
    </row>
    <row r="3180">
      <c r="A3180" s="3" t="inlineStr">
        <is>
          <t>세종특별자치시 소정면 운당리 96-1</t>
        </is>
      </c>
      <c r="B3180" s="3" t="inlineStr">
        <is>
          <t>계획관리지역</t>
        </is>
      </c>
      <c r="C3180" s="3" t="inlineStr">
        <is>
          <t>답</t>
        </is>
      </c>
      <c r="D3180" s="3" t="inlineStr">
        <is>
          <t>답</t>
        </is>
      </c>
      <c r="E3180" s="3" t="inlineStr">
        <is>
          <t>매매</t>
        </is>
      </c>
      <c r="F3180" s="4" t="n">
        <v>36000</v>
      </c>
      <c r="G3180" s="4" t="n">
        <v>2297</v>
      </c>
      <c r="H3180" s="4" t="n">
        <v>695</v>
      </c>
      <c r="I3180" s="5" t="n">
        <v>51.8</v>
      </c>
      <c r="J3180" s="4" t="n">
        <v>23.2</v>
      </c>
      <c r="K3180" s="3" t="inlineStr">
        <is>
          <t>농가주택, 농업시설추천, 톨게이트인근</t>
        </is>
      </c>
      <c r="L3180" s="6">
        <f>HYPERLINK("https://fin.land.naver.com/articles/2647416228", "매물Link")</f>
        <v/>
      </c>
      <c r="M3180" s="6">
        <f>HYPERLINK("https://map.naver.com/p/search/세종특별자치시 소정면 운당리 96-1", "지도Link")</f>
        <v/>
      </c>
      <c r="N3180" s="6">
        <f>HYPERLINK("http://www.eum.go.kr/web/ar/lu/luLandDet.jsp?pnu=3611039022100960001&amp;isNoScr=script&amp;mode=search", "토지이음")</f>
        <v/>
      </c>
      <c r="O3180" s="3" t="inlineStr">
        <is>
          <t>도시</t>
        </is>
      </c>
      <c r="P3180" s="3" t="n">
        <v>1</v>
      </c>
      <c r="Q3180" s="3" t="n">
        <v>1149</v>
      </c>
      <c r="R3180" s="3" t="inlineStr">
        <is>
          <t>지정되지않음</t>
        </is>
      </c>
      <c r="S3180" s="3" t="inlineStr">
        <is>
          <t>답</t>
        </is>
      </c>
      <c r="T3180" s="3" t="inlineStr">
        <is>
          <t>완경사</t>
        </is>
      </c>
      <c r="U3180" s="3" t="inlineStr">
        <is>
          <t>부정형</t>
        </is>
      </c>
      <c r="V3180" s="3" t="inlineStr">
        <is>
          <t>세로한면(불)</t>
        </is>
      </c>
    </row>
    <row r="3181">
      <c r="A3181" s="3" t="inlineStr">
        <is>
          <t>세종특별자치시 소정면 운당리 산29-5</t>
        </is>
      </c>
      <c r="B3181" s="3" t="inlineStr">
        <is>
          <t>농림지역</t>
        </is>
      </c>
      <c r="C3181" s="3" t="inlineStr">
        <is>
          <t>임야</t>
        </is>
      </c>
      <c r="D3181" s="3" t="inlineStr">
        <is>
          <t>임야</t>
        </is>
      </c>
      <c r="E3181" s="3" t="inlineStr">
        <is>
          <t>매매</t>
        </is>
      </c>
      <c r="F3181" s="4" t="n">
        <v>2100</v>
      </c>
      <c r="G3181" s="4" t="n">
        <v>397</v>
      </c>
      <c r="H3181" s="4" t="n">
        <v>120</v>
      </c>
      <c r="I3181" s="5" t="n">
        <v>17.5</v>
      </c>
      <c r="J3181" s="4" t="n">
        <v>1.7</v>
      </c>
      <c r="K3181" s="3" t="inlineStr">
        <is>
          <t>세종시 임야 지분매매로 장기 보유 및 소액 투자 추천</t>
        </is>
      </c>
      <c r="L3181" s="6">
        <f>HYPERLINK("https://fin.land.naver.com/articles/2648185078", "매물Link")</f>
        <v/>
      </c>
      <c r="M3181" s="6">
        <f>HYPERLINK("https://map.naver.com/p/search/세종특별자치시 소정면 운당리 산29-5", "지도Link")</f>
        <v/>
      </c>
      <c r="N3181" s="6">
        <f>HYPERLINK("http://www.eum.go.kr/web/ar/lu/luLandDet.jsp?pnu=3611039022200290005&amp;isNoScr=script&amp;mode=search", "토지이음")</f>
        <v/>
      </c>
      <c r="O3181" s="3" t="inlineStr">
        <is>
          <t>가치잇는</t>
        </is>
      </c>
      <c r="P3181" s="3" t="n">
        <v>1</v>
      </c>
      <c r="Q3181" s="3" t="n">
        <v>22761</v>
      </c>
      <c r="R3181" s="3" t="inlineStr">
        <is>
          <t>지정되지않음</t>
        </is>
      </c>
      <c r="S3181" s="3" t="inlineStr">
        <is>
          <t>자연림</t>
        </is>
      </c>
      <c r="T3181" s="3" t="inlineStr">
        <is>
          <t>급경사</t>
        </is>
      </c>
      <c r="U3181" s="3" t="inlineStr">
        <is>
          <t>부정형</t>
        </is>
      </c>
      <c r="V3181" s="3" t="inlineStr">
        <is>
          <t>맹지</t>
        </is>
      </c>
    </row>
    <row r="3182">
      <c r="A3182" s="3" t="inlineStr">
        <is>
          <t>세종특별자치시 아름동 1016</t>
        </is>
      </c>
      <c r="B3182" s="3" t="inlineStr">
        <is>
          <t>제1종전용주거지역</t>
        </is>
      </c>
      <c r="C3182" s="3" t="inlineStr">
        <is>
          <t>대</t>
        </is>
      </c>
      <c r="D3182" s="3" t="inlineStr">
        <is>
          <t>대</t>
        </is>
      </c>
      <c r="E3182" s="3" t="inlineStr">
        <is>
          <t>매매</t>
        </is>
      </c>
      <c r="F3182" s="4" t="n">
        <v>51000</v>
      </c>
      <c r="G3182" s="4" t="n">
        <v>291</v>
      </c>
      <c r="H3182" s="4" t="n">
        <v>88</v>
      </c>
      <c r="I3182" s="5" t="n">
        <v>579.5</v>
      </c>
      <c r="J3182" s="4" t="n">
        <v>331.9</v>
      </c>
      <c r="K3182" s="3" t="inlineStr">
        <is>
          <t>동문에 남향 집 지을 수 있는 땅</t>
        </is>
      </c>
      <c r="L3182" s="6">
        <f>HYPERLINK("https://fin.land.naver.com/articles/2645974540", "매물Link")</f>
        <v/>
      </c>
      <c r="M3182" s="6">
        <f>HYPERLINK("https://map.naver.com/p/search/세종특별자치시 아름동 1016", "지도Link")</f>
        <v/>
      </c>
      <c r="N3182" s="6">
        <f>HYPERLINK("http://www.eum.go.kr/web/ar/lu/luLandDet.jsp?pnu=3611011300110160000&amp;isNoScr=script&amp;mode=search", "토지이음")</f>
        <v/>
      </c>
      <c r="O3182" s="3" t="inlineStr">
        <is>
          <t>세종다정랜드</t>
        </is>
      </c>
      <c r="P3182" s="3" t="n">
        <v>1</v>
      </c>
      <c r="Q3182" s="3" t="n">
        <v>291.5</v>
      </c>
      <c r="R3182" s="3" t="inlineStr">
        <is>
          <t>지정되지않음</t>
        </is>
      </c>
      <c r="S3182" s="3" t="inlineStr">
        <is>
          <t>주거나지</t>
        </is>
      </c>
      <c r="T3182" s="3" t="inlineStr">
        <is>
          <t>평지</t>
        </is>
      </c>
      <c r="U3182" s="3" t="inlineStr">
        <is>
          <t>사다리형</t>
        </is>
      </c>
      <c r="V3182" s="3" t="inlineStr">
        <is>
          <t>소로한면</t>
        </is>
      </c>
    </row>
    <row r="3183">
      <c r="A3183" s="3" t="inlineStr">
        <is>
          <t>세종특별자치시 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HYPERLINK("https://map.naver.com/p/search/세종특별자치시 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세종특별자치시 아름동 1037</t>
        </is>
      </c>
      <c r="B3184" s="3" t="inlineStr">
        <is>
          <t>제1종전용주거지역</t>
        </is>
      </c>
      <c r="C3184" s="3" t="inlineStr">
        <is>
          <t>대</t>
        </is>
      </c>
      <c r="D3184" s="3" t="inlineStr">
        <is>
          <t>대</t>
        </is>
      </c>
      <c r="E3184" s="3" t="inlineStr">
        <is>
          <t>매매</t>
        </is>
      </c>
      <c r="F3184" s="4" t="n">
        <v>65000</v>
      </c>
      <c r="G3184" s="4" t="n">
        <v>331</v>
      </c>
      <c r="H3184" s="4" t="n">
        <v>100</v>
      </c>
      <c r="I3184" s="5" t="n">
        <v>650</v>
      </c>
      <c r="J3184" s="4" t="n">
        <v>335.5</v>
      </c>
      <c r="K3184" s="3" t="inlineStr">
        <is>
          <t>전용100.5p, 국제고인근, 아름동 단독주택지</t>
        </is>
      </c>
      <c r="L3184" s="6">
        <f>HYPERLINK("https://fin.land.naver.com/articles/2646694903", "매물Link")</f>
        <v/>
      </c>
      <c r="M3184" s="6">
        <f>HYPERLINK("https://map.naver.com/p/search/세종특별자치시 아름동 1037", "지도Link")</f>
        <v/>
      </c>
      <c r="N3184" s="6">
        <f>HYPERLINK("http://www.eum.go.kr/web/ar/lu/luLandDet.jsp?pnu=3611011300110370000&amp;isNoScr=script&amp;mode=search", "토지이음")</f>
        <v/>
      </c>
      <c r="O3184" s="3" t="inlineStr">
        <is>
          <t>세종무지개</t>
        </is>
      </c>
      <c r="P3184" s="3" t="n">
        <v>1</v>
      </c>
      <c r="Q3184" s="3" t="n">
        <v>331.9</v>
      </c>
      <c r="R3184" s="3" t="inlineStr">
        <is>
          <t>지정되지않음</t>
        </is>
      </c>
      <c r="S3184" s="3" t="inlineStr">
        <is>
          <t>주거나지</t>
        </is>
      </c>
      <c r="T3184" s="3" t="inlineStr">
        <is>
          <t>평지</t>
        </is>
      </c>
      <c r="U3184" s="3" t="inlineStr">
        <is>
          <t>가로장방</t>
        </is>
      </c>
      <c r="V3184" s="3" t="inlineStr">
        <is>
          <t>소로한면</t>
        </is>
      </c>
    </row>
    <row r="3185">
      <c r="A3185" s="3" t="inlineStr">
        <is>
          <t>세종특별자치시 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HYPERLINK("https://map.naver.com/p/search/세종특별자치시 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세종특별자치시 아름동 1049</t>
        </is>
      </c>
      <c r="B3186" s="3" t="inlineStr">
        <is>
          <t>제1종전용주거지역</t>
        </is>
      </c>
      <c r="C3186" s="3" t="inlineStr">
        <is>
          <t>대</t>
        </is>
      </c>
      <c r="D3186" s="3" t="inlineStr">
        <is>
          <t>대</t>
        </is>
      </c>
      <c r="E3186" s="3" t="inlineStr">
        <is>
          <t>매매</t>
        </is>
      </c>
      <c r="F3186" s="4" t="n">
        <v>83000</v>
      </c>
      <c r="G3186" s="4" t="n">
        <v>363</v>
      </c>
      <c r="H3186" s="4" t="n">
        <v>110</v>
      </c>
      <c r="I3186" s="5" t="n">
        <v>754.5</v>
      </c>
      <c r="J3186" s="4" t="n">
        <v>366.6</v>
      </c>
      <c r="K3186" s="3" t="inlineStr">
        <is>
          <t>nan</t>
        </is>
      </c>
      <c r="L3186" s="6">
        <f>HYPERLINK("https://fin.land.naver.com/articles/2644040067", "매물Link")</f>
        <v/>
      </c>
      <c r="M3186" s="6">
        <f>HYPERLINK("https://map.naver.com/p/search/세종특별자치시 아름동 1049", "지도Link")</f>
        <v/>
      </c>
      <c r="N3186" s="6">
        <f>HYPERLINK("http://www.eum.go.kr/web/ar/lu/luLandDet.jsp?pnu=3611011300110490000&amp;isNoScr=script&amp;mode=search", "토지이음")</f>
        <v/>
      </c>
      <c r="O3186" s="3" t="inlineStr">
        <is>
          <t>생명나무</t>
        </is>
      </c>
      <c r="P3186" s="3" t="n">
        <v>1</v>
      </c>
      <c r="Q3186" s="3" t="n">
        <v>363.6</v>
      </c>
      <c r="R3186" s="3" t="inlineStr">
        <is>
          <t>지정되지않음</t>
        </is>
      </c>
      <c r="S3186" s="3" t="inlineStr">
        <is>
          <t>주거나지</t>
        </is>
      </c>
      <c r="T3186" s="3" t="inlineStr">
        <is>
          <t>평지</t>
        </is>
      </c>
      <c r="U3186" s="3" t="inlineStr">
        <is>
          <t>사다리형</t>
        </is>
      </c>
      <c r="V3186" s="3" t="inlineStr">
        <is>
          <t>소로각지</t>
        </is>
      </c>
    </row>
    <row r="3187">
      <c r="A3187" s="3" t="inlineStr">
        <is>
          <t>세종특별자치시 아름동 1070</t>
        </is>
      </c>
      <c r="B3187" s="3" t="inlineStr">
        <is>
          <t>제1종전용주거지역</t>
        </is>
      </c>
      <c r="C3187" s="3" t="inlineStr">
        <is>
          <t>대</t>
        </is>
      </c>
      <c r="D3187" s="3" t="inlineStr">
        <is>
          <t>대</t>
        </is>
      </c>
      <c r="E3187" s="3" t="inlineStr">
        <is>
          <t>매매</t>
        </is>
      </c>
      <c r="F3187" s="4" t="n">
        <v>75000</v>
      </c>
      <c r="G3187" s="4" t="n">
        <v>311</v>
      </c>
      <c r="H3187" s="4" t="n">
        <v>94</v>
      </c>
      <c r="I3187" s="5" t="n">
        <v>797.9</v>
      </c>
      <c r="J3187" s="4" t="n">
        <v>349.4</v>
      </c>
      <c r="K3187" s="3" t="inlineStr">
        <is>
          <t>nan</t>
        </is>
      </c>
      <c r="L3187" s="6">
        <f>HYPERLINK("https://fin.land.naver.com/articles/2644637835", "매물Link")</f>
        <v/>
      </c>
      <c r="M3187" s="6">
        <f>HYPERLINK("https://map.naver.com/p/search/세종특별자치시 아름동 1070", "지도Link")</f>
        <v/>
      </c>
      <c r="N3187" s="6">
        <f>HYPERLINK("http://www.eum.go.kr/web/ar/lu/luLandDet.jsp?pnu=3611011300110700000&amp;isNoScr=script&amp;mode=search", "토지이음")</f>
        <v/>
      </c>
      <c r="O3187" s="3" t="inlineStr">
        <is>
          <t>엠스테이트</t>
        </is>
      </c>
      <c r="P3187" s="3" t="n">
        <v>2</v>
      </c>
      <c r="Q3187" s="3" t="n">
        <v>311.1</v>
      </c>
      <c r="R3187" s="3" t="inlineStr">
        <is>
          <t>지정되지않음</t>
        </is>
      </c>
      <c r="S3187" s="3" t="inlineStr">
        <is>
          <t>주거나지</t>
        </is>
      </c>
      <c r="T3187" s="3" t="inlineStr">
        <is>
          <t>평지</t>
        </is>
      </c>
      <c r="U3187" s="3" t="inlineStr">
        <is>
          <t>사다리형</t>
        </is>
      </c>
      <c r="V3187" s="3" t="inlineStr">
        <is>
          <t>소로한면</t>
        </is>
      </c>
    </row>
    <row r="3188">
      <c r="A3188" s="3" t="inlineStr">
        <is>
          <t>세종특별자치시 아름동 1079</t>
        </is>
      </c>
      <c r="B3188" s="3" t="inlineStr">
        <is>
          <t>제1종전용주거지역</t>
        </is>
      </c>
      <c r="C3188" s="3" t="inlineStr">
        <is>
          <t>대</t>
        </is>
      </c>
      <c r="D3188" s="3" t="inlineStr">
        <is>
          <t>대</t>
        </is>
      </c>
      <c r="E3188" s="3" t="inlineStr">
        <is>
          <t>매매</t>
        </is>
      </c>
      <c r="F3188" s="4" t="n">
        <v>65000</v>
      </c>
      <c r="G3188" s="4" t="n">
        <v>357</v>
      </c>
      <c r="H3188" s="4" t="n">
        <v>108</v>
      </c>
      <c r="I3188" s="5" t="n">
        <v>601.9</v>
      </c>
      <c r="J3188" s="4" t="n">
        <v>353.1</v>
      </c>
      <c r="K3188" s="3" t="inlineStr">
        <is>
          <t>위치최상 벙커주차장가능 언덕 탁트인시야</t>
        </is>
      </c>
      <c r="L3188" s="6">
        <f>HYPERLINK("https://fin.land.naver.com/articles/2648042320", "매물Link")</f>
        <v/>
      </c>
      <c r="M3188" s="6">
        <f>HYPERLINK("https://map.naver.com/p/search/세종특별자치시 아름동 1079", "지도Link")</f>
        <v/>
      </c>
      <c r="N3188" s="6">
        <f>HYPERLINK("http://www.eum.go.kr/web/ar/lu/luLandDet.jsp?pnu=3611011300110790000&amp;isNoScr=script&amp;mode=search", "토지이음")</f>
        <v/>
      </c>
      <c r="O3188" s="3" t="inlineStr">
        <is>
          <t>세종스타</t>
        </is>
      </c>
      <c r="P3188" s="3" t="n">
        <v>1</v>
      </c>
      <c r="Q3188" s="3" t="n">
        <v>357.1</v>
      </c>
      <c r="R3188" s="3" t="inlineStr">
        <is>
          <t>지정되지않음</t>
        </is>
      </c>
      <c r="S3188" s="3" t="inlineStr">
        <is>
          <t>주거나지</t>
        </is>
      </c>
      <c r="T3188" s="3" t="inlineStr">
        <is>
          <t>평지</t>
        </is>
      </c>
      <c r="U3188" s="3" t="inlineStr">
        <is>
          <t>가로장방</t>
        </is>
      </c>
      <c r="V3188" s="3" t="inlineStr">
        <is>
          <t>소로한면</t>
        </is>
      </c>
    </row>
    <row r="3189">
      <c r="A3189" s="3" t="inlineStr">
        <is>
          <t>세종특별자치시 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108.9p, 사거리 코너자리, 아름동 최고입지</t>
        </is>
      </c>
      <c r="L3189" s="6">
        <f>HYPERLINK("https://fin.land.naver.com/articles/2648835394", "매물Link")</f>
        <v/>
      </c>
      <c r="M3189" s="6">
        <f>HYPERLINK("https://map.naver.com/p/search/세종특별자치시 아름동 1116", "지도Link")</f>
        <v/>
      </c>
      <c r="N3189" s="6">
        <f>HYPERLINK("http://www.eum.go.kr/web/ar/lu/luLandDet.jsp?pnu=3611011300111160000&amp;isNoScr=script&amp;mode=search", "토지이음")</f>
        <v/>
      </c>
      <c r="O3189" s="3" t="inlineStr">
        <is>
          <t>세종무지개</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세종특별자치시 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총 108.9p, 사거리코너 위치좋은 입지</t>
        </is>
      </c>
      <c r="L3190" s="6">
        <f>HYPERLINK("https://fin.land.naver.com/articles/2647422006", "매물Link")</f>
        <v/>
      </c>
      <c r="M3190" s="6">
        <f>HYPERLINK("https://map.naver.com/p/search/세종특별자치시 아름동 1116", "지도Link")</f>
        <v/>
      </c>
      <c r="N3190" s="6">
        <f>HYPERLINK("http://www.eum.go.kr/web/ar/lu/luLandDet.jsp?pnu=3611011300111160000&amp;isNoScr=script&amp;mode=search", "토지이음")</f>
        <v/>
      </c>
      <c r="O3190" s="3" t="inlineStr">
        <is>
          <t>명진</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세종특별자치시 아름동 1116</t>
        </is>
      </c>
      <c r="B3191" s="3" t="inlineStr">
        <is>
          <t>제1종전용주거지역</t>
        </is>
      </c>
      <c r="C3191" s="3" t="inlineStr">
        <is>
          <t>대</t>
        </is>
      </c>
      <c r="D3191" s="3" t="inlineStr">
        <is>
          <t>대</t>
        </is>
      </c>
      <c r="E3191" s="3" t="inlineStr">
        <is>
          <t>매매</t>
        </is>
      </c>
      <c r="F3191" s="4" t="n">
        <v>83000</v>
      </c>
      <c r="G3191" s="4" t="n">
        <v>359</v>
      </c>
      <c r="H3191" s="4" t="n">
        <v>109</v>
      </c>
      <c r="I3191" s="5" t="n">
        <v>761.5</v>
      </c>
      <c r="J3191" s="4" t="n">
        <v>373.9</v>
      </c>
      <c r="K3191" s="3" t="inlineStr">
        <is>
          <t>오가낭뜰과 어린이공원 가까운 선호되는 저렴한 넓은 모서리 택지</t>
        </is>
      </c>
      <c r="L3191" s="6">
        <f>HYPERLINK("https://fin.land.naver.com/articles/2645210881", "매물Link")</f>
        <v/>
      </c>
      <c r="M3191" s="6">
        <f>HYPERLINK("https://map.naver.com/p/search/세종특별자치시 아름동 1116", "지도Link")</f>
        <v/>
      </c>
      <c r="N3191" s="6">
        <f>HYPERLINK("http://www.eum.go.kr/web/ar/lu/luLandDet.jsp?pnu=3611011300111160000&amp;isNoScr=script&amp;mode=search", "토지이음")</f>
        <v/>
      </c>
      <c r="O3191" s="3" t="inlineStr">
        <is>
          <t>바로그</t>
        </is>
      </c>
      <c r="P3191" s="3" t="n">
        <v>1</v>
      </c>
      <c r="Q3191" s="3" t="n">
        <v>359.5</v>
      </c>
      <c r="R3191" s="3" t="inlineStr">
        <is>
          <t>지정되지않음</t>
        </is>
      </c>
      <c r="S3191" s="3" t="inlineStr">
        <is>
          <t>주거나지</t>
        </is>
      </c>
      <c r="T3191" s="3" t="inlineStr">
        <is>
          <t>평지</t>
        </is>
      </c>
      <c r="U3191" s="3" t="inlineStr">
        <is>
          <t>가로장방</t>
        </is>
      </c>
      <c r="V3191" s="3" t="inlineStr">
        <is>
          <t>소로각지</t>
        </is>
      </c>
    </row>
    <row r="3192">
      <c r="A3192" s="3" t="inlineStr">
        <is>
          <t>세종특별자치시 아름동 1118</t>
        </is>
      </c>
      <c r="B3192" s="3" t="inlineStr">
        <is>
          <t>제1종전용주거지역</t>
        </is>
      </c>
      <c r="C3192" s="3" t="inlineStr">
        <is>
          <t>대</t>
        </is>
      </c>
      <c r="D3192" s="3" t="inlineStr">
        <is>
          <t>대</t>
        </is>
      </c>
      <c r="E3192" s="3" t="inlineStr">
        <is>
          <t>매매</t>
        </is>
      </c>
      <c r="F3192" s="4" t="n">
        <v>57000</v>
      </c>
      <c r="G3192" s="4" t="n">
        <v>327</v>
      </c>
      <c r="H3192" s="4" t="n">
        <v>99</v>
      </c>
      <c r="I3192" s="5" t="n">
        <v>575.8</v>
      </c>
      <c r="J3192" s="4" t="n">
        <v>373.9</v>
      </c>
      <c r="K3192" s="3" t="inlineStr">
        <is>
          <t>코너 정남향 위치최상 조율가능</t>
        </is>
      </c>
      <c r="L3192" s="6">
        <f>HYPERLINK("https://fin.land.naver.com/articles/2645720959", "매물Link")</f>
        <v/>
      </c>
      <c r="M3192" s="6">
        <f>HYPERLINK("https://map.naver.com/p/search/세종특별자치시 아름동 1118", "지도Link")</f>
        <v/>
      </c>
      <c r="N3192" s="6">
        <f>HYPERLINK("http://www.eum.go.kr/web/ar/lu/luLandDet.jsp?pnu=3611011300111180000&amp;isNoScr=script&amp;mode=search", "토지이음")</f>
        <v/>
      </c>
      <c r="O3192" s="3" t="inlineStr">
        <is>
          <t>세종스타</t>
        </is>
      </c>
      <c r="P3192" s="3" t="n">
        <v>2</v>
      </c>
      <c r="Q3192" s="3" t="n">
        <v>327.4</v>
      </c>
      <c r="R3192" s="3" t="inlineStr">
        <is>
          <t>지정되지않음</t>
        </is>
      </c>
      <c r="S3192" s="3" t="inlineStr">
        <is>
          <t>주거나지</t>
        </is>
      </c>
      <c r="T3192" s="3" t="inlineStr">
        <is>
          <t>평지</t>
        </is>
      </c>
      <c r="U3192" s="3" t="inlineStr">
        <is>
          <t>가로장방</t>
        </is>
      </c>
      <c r="V3192" s="3" t="inlineStr">
        <is>
          <t>소로각지</t>
        </is>
      </c>
    </row>
    <row r="3193">
      <c r="A3193" s="3" t="inlineStr">
        <is>
          <t>세종특별자치시 아름동 1121</t>
        </is>
      </c>
      <c r="B3193" s="3" t="inlineStr">
        <is>
          <t>제1종전용주거지역</t>
        </is>
      </c>
      <c r="C3193" s="3" t="inlineStr">
        <is>
          <t>대</t>
        </is>
      </c>
      <c r="D3193" s="3" t="inlineStr">
        <is>
          <t>대</t>
        </is>
      </c>
      <c r="E3193" s="3" t="inlineStr">
        <is>
          <t>매매</t>
        </is>
      </c>
      <c r="F3193" s="4" t="n">
        <v>60000</v>
      </c>
      <c r="G3193" s="4" t="n">
        <v>355</v>
      </c>
      <c r="H3193" s="4" t="n">
        <v>107</v>
      </c>
      <c r="I3193" s="5" t="n">
        <v>560.7</v>
      </c>
      <c r="J3193" s="4" t="n">
        <v>373.9</v>
      </c>
      <c r="K3193" s="3" t="inlineStr">
        <is>
          <t>공원옆 큰평수 추가조율가능</t>
        </is>
      </c>
      <c r="L3193" s="6">
        <f>HYPERLINK("https://fin.land.naver.com/articles/2646401136", "매물Link")</f>
        <v/>
      </c>
      <c r="M3193" s="6">
        <f>HYPERLINK("https://map.naver.com/p/search/세종특별자치시 아름동 1121", "지도Link")</f>
        <v/>
      </c>
      <c r="N3193" s="6">
        <f>HYPERLINK("http://www.eum.go.kr/web/ar/lu/luLandDet.jsp?pnu=3611011300111210000&amp;isNoScr=script&amp;mode=search", "토지이음")</f>
        <v/>
      </c>
      <c r="O3193" s="3" t="inlineStr">
        <is>
          <t>세종스타</t>
        </is>
      </c>
      <c r="P3193" s="3" t="n">
        <v>1</v>
      </c>
      <c r="Q3193" s="3" t="n">
        <v>355.4</v>
      </c>
      <c r="R3193" s="3" t="inlineStr">
        <is>
          <t>지정되지않음</t>
        </is>
      </c>
      <c r="S3193" s="3" t="inlineStr">
        <is>
          <t>주거나지</t>
        </is>
      </c>
      <c r="T3193" s="3" t="inlineStr">
        <is>
          <t>평지</t>
        </is>
      </c>
      <c r="U3193" s="3" t="inlineStr">
        <is>
          <t>가로장방</t>
        </is>
      </c>
      <c r="V3193" s="3" t="inlineStr">
        <is>
          <t>소로각지</t>
        </is>
      </c>
    </row>
    <row r="3194">
      <c r="A3194" s="3" t="inlineStr">
        <is>
          <t>세종특별자치시 아름동 1135</t>
        </is>
      </c>
      <c r="B3194" s="3" t="inlineStr">
        <is>
          <t>제1종전용주거지역</t>
        </is>
      </c>
      <c r="C3194" s="3" t="inlineStr">
        <is>
          <t>대</t>
        </is>
      </c>
      <c r="D3194" s="3" t="inlineStr">
        <is>
          <t>대</t>
        </is>
      </c>
      <c r="E3194" s="3" t="inlineStr">
        <is>
          <t>매매</t>
        </is>
      </c>
      <c r="F3194" s="4" t="n">
        <v>83000</v>
      </c>
      <c r="G3194" s="4" t="n">
        <v>343</v>
      </c>
      <c r="H3194" s="4" t="n">
        <v>104</v>
      </c>
      <c r="I3194" s="5" t="n">
        <v>798.1</v>
      </c>
      <c r="J3194" s="4" t="n">
        <v>356.4</v>
      </c>
      <c r="K3194" s="3" t="inlineStr">
        <is>
          <t>오가낭뜰 공원과 근접한 선호되는 위치의 저렴한 급매물,조율가</t>
        </is>
      </c>
      <c r="L3194" s="6">
        <f>HYPERLINK("https://fin.land.naver.com/articles/2645254951", "매물Link")</f>
        <v/>
      </c>
      <c r="M3194" s="6">
        <f>HYPERLINK("https://map.naver.com/p/search/세종특별자치시 아름동 1135", "지도Link")</f>
        <v/>
      </c>
      <c r="N3194" s="6">
        <f>HYPERLINK("http://www.eum.go.kr/web/ar/lu/luLandDet.jsp?pnu=3611011300111350000&amp;isNoScr=script&amp;mode=search", "토지이음")</f>
        <v/>
      </c>
      <c r="O3194" s="3" t="inlineStr">
        <is>
          <t>바로그</t>
        </is>
      </c>
      <c r="P3194" s="3" t="n">
        <v>1</v>
      </c>
      <c r="Q3194" s="3" t="n">
        <v>343</v>
      </c>
      <c r="R3194" s="3" t="inlineStr">
        <is>
          <t>지정되지않음</t>
        </is>
      </c>
      <c r="S3194" s="3" t="inlineStr">
        <is>
          <t>주거나지</t>
        </is>
      </c>
      <c r="T3194" s="3" t="inlineStr">
        <is>
          <t>평지</t>
        </is>
      </c>
      <c r="U3194" s="3" t="inlineStr">
        <is>
          <t>가로장방</t>
        </is>
      </c>
      <c r="V3194" s="3" t="inlineStr">
        <is>
          <t>소로한면</t>
        </is>
      </c>
    </row>
    <row r="3195">
      <c r="A3195" s="3" t="inlineStr">
        <is>
          <t>세종특별자치시 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충대병원 인근 가격 좋은 토지, 조율도 가능</t>
        </is>
      </c>
      <c r="L3195" s="6">
        <f>HYPERLINK("https://fin.land.naver.com/articles/2644085444", "매물Link")</f>
        <v/>
      </c>
      <c r="M3195" s="6">
        <f>HYPERLINK("https://map.naver.com/p/search/세종특별자치시 아름동 1142", "지도Link")</f>
        <v/>
      </c>
      <c r="N3195" s="6">
        <f>HYPERLINK("http://www.eum.go.kr/web/ar/lu/luLandDet.jsp?pnu=3611011300111420000&amp;isNoScr=script&amp;mode=search", "토지이음")</f>
        <v/>
      </c>
      <c r="O3195" s="3" t="inlineStr">
        <is>
          <t>세종무지개</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세종특별자치시 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97.6p, 충대병원 인근 토지 급매, 조율도가능</t>
        </is>
      </c>
      <c r="L3196" s="6">
        <f>HYPERLINK("https://fin.land.naver.com/articles/2647420786", "매물Link")</f>
        <v/>
      </c>
      <c r="M3196" s="6">
        <f>HYPERLINK("https://map.naver.com/p/search/세종특별자치시 아름동 1142", "지도Link")</f>
        <v/>
      </c>
      <c r="N3196" s="6">
        <f>HYPERLINK("http://www.eum.go.kr/web/ar/lu/luLandDet.jsp?pnu=3611011300111420000&amp;isNoScr=script&amp;mode=search", "토지이음")</f>
        <v/>
      </c>
      <c r="O3196" s="3" t="inlineStr">
        <is>
          <t>명진</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세종특별자치시 아름동 1142</t>
        </is>
      </c>
      <c r="B3197" s="3" t="inlineStr">
        <is>
          <t>제1종전용주거지역</t>
        </is>
      </c>
      <c r="C3197" s="3" t="inlineStr">
        <is>
          <t>대</t>
        </is>
      </c>
      <c r="D3197" s="3" t="inlineStr">
        <is>
          <t>대</t>
        </is>
      </c>
      <c r="E3197" s="3" t="inlineStr">
        <is>
          <t>매매</t>
        </is>
      </c>
      <c r="F3197" s="4" t="n">
        <v>52000</v>
      </c>
      <c r="G3197" s="4" t="n">
        <v>321</v>
      </c>
      <c r="H3197" s="4" t="n">
        <v>97</v>
      </c>
      <c r="I3197" s="5" t="n">
        <v>536.1</v>
      </c>
      <c r="J3197" s="4" t="n">
        <v>356.4</v>
      </c>
      <c r="K3197" s="3" t="inlineStr">
        <is>
          <t>급매 추가조율가능 입지좋은 충대병원인근</t>
        </is>
      </c>
      <c r="L3197" s="6">
        <f>HYPERLINK("https://fin.land.naver.com/articles/2648040028", "매물Link")</f>
        <v/>
      </c>
      <c r="M3197" s="6">
        <f>HYPERLINK("https://map.naver.com/p/search/세종특별자치시 아름동 1142", "지도Link")</f>
        <v/>
      </c>
      <c r="N3197" s="6">
        <f>HYPERLINK("http://www.eum.go.kr/web/ar/lu/luLandDet.jsp?pnu=3611011300111420000&amp;isNoScr=script&amp;mode=search", "토지이음")</f>
        <v/>
      </c>
      <c r="O3197" s="3" t="inlineStr">
        <is>
          <t>세종스타</t>
        </is>
      </c>
      <c r="P3197" s="3" t="n">
        <v>1</v>
      </c>
      <c r="Q3197" s="3" t="n">
        <v>321</v>
      </c>
      <c r="R3197" s="3" t="inlineStr">
        <is>
          <t>지정되지않음</t>
        </is>
      </c>
      <c r="S3197" s="3" t="inlineStr">
        <is>
          <t>주거나지</t>
        </is>
      </c>
      <c r="T3197" s="3" t="inlineStr">
        <is>
          <t>평지</t>
        </is>
      </c>
      <c r="U3197" s="3" t="inlineStr">
        <is>
          <t>가로장방</t>
        </is>
      </c>
      <c r="V3197" s="3" t="inlineStr">
        <is>
          <t>소로한면</t>
        </is>
      </c>
    </row>
    <row r="3198">
      <c r="A3198" s="3" t="inlineStr">
        <is>
          <t>세종특별자치시 아름동 1144</t>
        </is>
      </c>
      <c r="B3198" s="3" t="inlineStr">
        <is>
          <t>제1종전용주거지역</t>
        </is>
      </c>
      <c r="C3198" s="3" t="inlineStr">
        <is>
          <t>대</t>
        </is>
      </c>
      <c r="D3198" s="3" t="inlineStr">
        <is>
          <t>대</t>
        </is>
      </c>
      <c r="E3198" s="3" t="inlineStr">
        <is>
          <t>매매</t>
        </is>
      </c>
      <c r="F3198" s="4" t="n">
        <v>60000</v>
      </c>
      <c r="G3198" s="4" t="n">
        <v>348</v>
      </c>
      <c r="H3198" s="4" t="n">
        <v>105</v>
      </c>
      <c r="I3198" s="5" t="n">
        <v>571.4</v>
      </c>
      <c r="J3198" s="4" t="n">
        <v>373.9</v>
      </c>
      <c r="K3198" s="3" t="inlineStr">
        <is>
          <t>최상 단독주택 용지, 입지 매우 좋음, 생활 인프라 등 학군 우수 지역</t>
        </is>
      </c>
      <c r="L3198" s="6">
        <f>HYPERLINK("https://fin.land.naver.com/articles/2647194933", "매물Link")</f>
        <v/>
      </c>
      <c r="M3198" s="6">
        <f>HYPERLINK("https://map.naver.com/p/search/세종특별자치시 아름동 1144", "지도Link")</f>
        <v/>
      </c>
      <c r="N3198" s="6">
        <f>HYPERLINK("http://www.eum.go.kr/web/ar/lu/luLandDet.jsp?pnu=3611011300111440000&amp;isNoScr=script&amp;mode=search", "토지이음")</f>
        <v/>
      </c>
      <c r="O3198" s="3" t="inlineStr">
        <is>
          <t>방배탑</t>
        </is>
      </c>
      <c r="P3198" s="3" t="n">
        <v>2</v>
      </c>
      <c r="Q3198" s="3" t="n">
        <v>348.5</v>
      </c>
      <c r="R3198" s="3" t="inlineStr">
        <is>
          <t>지정되지않음</t>
        </is>
      </c>
      <c r="S3198" s="3" t="inlineStr">
        <is>
          <t>주거나지</t>
        </is>
      </c>
      <c r="T3198" s="3" t="inlineStr">
        <is>
          <t>평지</t>
        </is>
      </c>
      <c r="U3198" s="3" t="inlineStr">
        <is>
          <t>세로장방</t>
        </is>
      </c>
      <c r="V3198" s="3" t="inlineStr">
        <is>
          <t>소로각지</t>
        </is>
      </c>
    </row>
    <row r="3199">
      <c r="A3199" s="3" t="inlineStr">
        <is>
          <t>세종특별자치시 아름동 1150</t>
        </is>
      </c>
      <c r="B3199" s="3" t="inlineStr">
        <is>
          <t>제1종전용주거지역</t>
        </is>
      </c>
      <c r="C3199" s="3" t="inlineStr">
        <is>
          <t>대</t>
        </is>
      </c>
      <c r="D3199" s="3" t="inlineStr">
        <is>
          <t>대</t>
        </is>
      </c>
      <c r="E3199" s="3" t="inlineStr">
        <is>
          <t>매매</t>
        </is>
      </c>
      <c r="F3199" s="4" t="n">
        <v>74900</v>
      </c>
      <c r="G3199" s="4" t="n">
        <v>353</v>
      </c>
      <c r="H3199" s="4" t="n">
        <v>107</v>
      </c>
      <c r="I3199" s="5" t="n">
        <v>700</v>
      </c>
      <c r="J3199" s="4" t="n">
        <v>356.4</v>
      </c>
      <c r="K3199" s="3" t="inlineStr">
        <is>
          <t>세종충남대 병원 인근 단독주택 택지,뒷뜰이 오가낭뜰 숲속공원 ,풋살장등</t>
        </is>
      </c>
      <c r="L3199" s="6">
        <f>HYPERLINK("https://fin.land.naver.com/articles/2644133519", "매물Link")</f>
        <v/>
      </c>
      <c r="M3199" s="6">
        <f>HYPERLINK("https://map.naver.com/p/search/세종특별자치시 아름동 1150", "지도Link")</f>
        <v/>
      </c>
      <c r="N3199" s="6">
        <f>HYPERLINK("http://www.eum.go.kr/web/ar/lu/luLandDet.jsp?pnu=3611011300111500000&amp;isNoScr=script&amp;mode=search", "토지이음")</f>
        <v/>
      </c>
      <c r="O3199" s="3" t="inlineStr">
        <is>
          <t>신안무소</t>
        </is>
      </c>
      <c r="P3199" s="3" t="n">
        <v>1</v>
      </c>
      <c r="Q3199" s="3" t="n">
        <v>353</v>
      </c>
      <c r="R3199" s="3" t="inlineStr">
        <is>
          <t>지정되지않음</t>
        </is>
      </c>
      <c r="S3199" s="3" t="inlineStr">
        <is>
          <t>주거나지</t>
        </is>
      </c>
      <c r="T3199" s="3" t="inlineStr">
        <is>
          <t>평지</t>
        </is>
      </c>
      <c r="U3199" s="3" t="inlineStr">
        <is>
          <t>세로장방</t>
        </is>
      </c>
      <c r="V3199" s="3" t="inlineStr">
        <is>
          <t>소로한면</t>
        </is>
      </c>
    </row>
    <row r="3200">
      <c r="A3200" s="3" t="inlineStr">
        <is>
          <t>세종특별자치시 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HYPERLINK("https://map.naver.com/p/search/세종특별자치시 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세종특별자치시 아름동 1154</t>
        </is>
      </c>
      <c r="B3201" s="3" t="inlineStr">
        <is>
          <t>제1종전용주거지역</t>
        </is>
      </c>
      <c r="C3201" s="3" t="inlineStr">
        <is>
          <t>대</t>
        </is>
      </c>
      <c r="D3201" s="3" t="inlineStr">
        <is>
          <t>대</t>
        </is>
      </c>
      <c r="E3201" s="3" t="inlineStr">
        <is>
          <t>매매</t>
        </is>
      </c>
      <c r="F3201" s="4" t="n">
        <v>70000</v>
      </c>
      <c r="G3201" s="4" t="n">
        <v>342</v>
      </c>
      <c r="H3201" s="4" t="n">
        <v>103</v>
      </c>
      <c r="I3201" s="5" t="n">
        <v>679.6</v>
      </c>
      <c r="J3201" s="4" t="n">
        <v>356.4</v>
      </c>
      <c r="K3201" s="3" t="inlineStr">
        <is>
          <t>야산을 품은 아름동 단독주택지</t>
        </is>
      </c>
      <c r="L3201" s="6">
        <f>HYPERLINK("https://fin.land.naver.com/articles/2647620395", "매물Link")</f>
        <v/>
      </c>
      <c r="M3201" s="6">
        <f>HYPERLINK("https://map.naver.com/p/search/세종특별자치시 아름동 1154", "지도Link")</f>
        <v/>
      </c>
      <c r="N3201" s="6">
        <f>HYPERLINK("http://www.eum.go.kr/web/ar/lu/luLandDet.jsp?pnu=3611011300111540000&amp;isNoScr=script&amp;mode=search", "토지이음")</f>
        <v/>
      </c>
      <c r="O3201" s="3" t="inlineStr">
        <is>
          <t>킹세종</t>
        </is>
      </c>
      <c r="P3201" s="3" t="n">
        <v>2</v>
      </c>
      <c r="Q3201" s="3" t="n">
        <v>342.4</v>
      </c>
      <c r="R3201" s="3" t="inlineStr">
        <is>
          <t>지정되지않음</t>
        </is>
      </c>
      <c r="S3201" s="3" t="inlineStr">
        <is>
          <t>주거나지</t>
        </is>
      </c>
      <c r="T3201" s="3" t="inlineStr">
        <is>
          <t>평지</t>
        </is>
      </c>
      <c r="U3201" s="3" t="inlineStr">
        <is>
          <t>정방형</t>
        </is>
      </c>
      <c r="V3201" s="3" t="inlineStr">
        <is>
          <t>소로한면</t>
        </is>
      </c>
    </row>
    <row r="3202">
      <c r="A3202" s="3" t="inlineStr">
        <is>
          <t>세종특별자치시 아름동 1160</t>
        </is>
      </c>
      <c r="B3202" s="3" t="inlineStr">
        <is>
          <t>제1종전용주거지역</t>
        </is>
      </c>
      <c r="C3202" s="3" t="inlineStr">
        <is>
          <t>대</t>
        </is>
      </c>
      <c r="D3202" s="3" t="inlineStr">
        <is>
          <t>대</t>
        </is>
      </c>
      <c r="E3202" s="3" t="inlineStr">
        <is>
          <t>매매</t>
        </is>
      </c>
      <c r="F3202" s="4" t="n">
        <v>71000</v>
      </c>
      <c r="G3202" s="4" t="n">
        <v>365</v>
      </c>
      <c r="H3202" s="4" t="n">
        <v>110</v>
      </c>
      <c r="I3202" s="5" t="n">
        <v>645.5</v>
      </c>
      <c r="J3202" s="4" t="n">
        <v>402.6</v>
      </c>
      <c r="K3202" s="3" t="inlineStr">
        <is>
          <t>nan</t>
        </is>
      </c>
      <c r="L3202" s="6">
        <f>HYPERLINK("https://fin.land.naver.com/articles/2649329264", "매물Link")</f>
        <v/>
      </c>
      <c r="M3202" s="6">
        <f>HYPERLINK("https://map.naver.com/p/search/세종특별자치시 아름동 1160", "지도Link")</f>
        <v/>
      </c>
      <c r="N3202" s="6">
        <f>HYPERLINK("http://www.eum.go.kr/web/ar/lu/luLandDet.jsp?pnu=3611011300111600000&amp;isNoScr=script&amp;mode=search", "토지이음")</f>
        <v/>
      </c>
      <c r="O3202" s="3" t="inlineStr">
        <is>
          <t>국제</t>
        </is>
      </c>
      <c r="P3202" s="3" t="n">
        <v>1</v>
      </c>
      <c r="Q3202" s="3" t="n">
        <v>365</v>
      </c>
      <c r="R3202" s="3" t="inlineStr">
        <is>
          <t>지정되지않음</t>
        </is>
      </c>
      <c r="S3202" s="3" t="inlineStr">
        <is>
          <t>주거나지</t>
        </is>
      </c>
      <c r="T3202" s="3" t="inlineStr">
        <is>
          <t>평지</t>
        </is>
      </c>
      <c r="U3202" s="3" t="inlineStr">
        <is>
          <t>가로장방</t>
        </is>
      </c>
      <c r="V3202" s="3" t="inlineStr">
        <is>
          <t>중로각지</t>
        </is>
      </c>
    </row>
    <row r="3203">
      <c r="A3203" s="3" t="inlineStr">
        <is>
          <t>세종특별자치시 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HYPERLINK("https://map.naver.com/p/search/세종특별자치시 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세종특별자치시 아름동 1163</t>
        </is>
      </c>
      <c r="B3204" s="3" t="inlineStr">
        <is>
          <t>제1종전용주거지역</t>
        </is>
      </c>
      <c r="C3204" s="3" t="inlineStr">
        <is>
          <t>대</t>
        </is>
      </c>
      <c r="D3204" s="3" t="inlineStr">
        <is>
          <t>대</t>
        </is>
      </c>
      <c r="E3204" s="3" t="inlineStr">
        <is>
          <t>매매</t>
        </is>
      </c>
      <c r="F3204" s="4" t="n">
        <v>180000</v>
      </c>
      <c r="G3204" s="4" t="n">
        <v>293</v>
      </c>
      <c r="H3204" s="4" t="n">
        <v>89</v>
      </c>
      <c r="I3204" s="5" t="n">
        <v>2022.5</v>
      </c>
      <c r="J3204" s="4" t="n">
        <v>734.2</v>
      </c>
      <c r="K3204" s="3" t="inlineStr">
        <is>
          <t>대로변 코너 노출 좋은 입지좋은 근생 토지 매매</t>
        </is>
      </c>
      <c r="L3204" s="6">
        <f>HYPERLINK("https://fin.land.naver.com/articles/2645544961", "매물Link")</f>
        <v/>
      </c>
      <c r="M3204" s="6">
        <f>HYPERLINK("https://map.naver.com/p/search/세종특별자치시 아름동 1163", "지도Link")</f>
        <v/>
      </c>
      <c r="N3204" s="6">
        <f>HYPERLINK("http://www.eum.go.kr/web/ar/lu/luLandDet.jsp?pnu=3611011300111630000&amp;isNoScr=script&amp;mode=search", "토지이음")</f>
        <v/>
      </c>
      <c r="O3204" s="3" t="inlineStr">
        <is>
          <t>명진</t>
        </is>
      </c>
      <c r="P3204" s="3" t="n">
        <v>1</v>
      </c>
      <c r="Q3204" s="3" t="n">
        <v>293.7</v>
      </c>
      <c r="R3204" s="3" t="inlineStr">
        <is>
          <t>지정되지않음</t>
        </is>
      </c>
      <c r="S3204" s="3" t="inlineStr">
        <is>
          <t>상업용</t>
        </is>
      </c>
      <c r="T3204" s="3" t="inlineStr">
        <is>
          <t>평지</t>
        </is>
      </c>
      <c r="U3204" s="3" t="inlineStr">
        <is>
          <t>세로장방</t>
        </is>
      </c>
      <c r="V3204" s="3" t="inlineStr">
        <is>
          <t>소로각지</t>
        </is>
      </c>
    </row>
    <row r="3205">
      <c r="A3205" s="3" t="inlineStr">
        <is>
          <t>세종특별자치시 아름동 1182</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756.7</v>
      </c>
      <c r="K3205" s="3" t="inlineStr">
        <is>
          <t>서울세종고속도로 개통예정으로 교통량 증가 예상지역. 근린상업용지</t>
        </is>
      </c>
      <c r="L3205" s="6">
        <f>HYPERLINK("https://fin.land.naver.com/articles/2649336596", "매물Link")</f>
        <v/>
      </c>
      <c r="M3205" s="6">
        <f>HYPERLINK("https://map.naver.com/p/search/세종특별자치시 아름동 1182", "지도Link")</f>
        <v/>
      </c>
      <c r="N3205" s="6">
        <f>HYPERLINK("http://www.eum.go.kr/web/ar/lu/luLandDet.jsp?pnu=3611011300111820000&amp;isNoScr=script&amp;mode=search", "토지이음")</f>
        <v/>
      </c>
      <c r="O3205" s="3" t="inlineStr">
        <is>
          <t>아름</t>
        </is>
      </c>
      <c r="P3205" s="3" t="n">
        <v>2</v>
      </c>
      <c r="Q3205" s="3" t="n">
        <v>317.1</v>
      </c>
      <c r="R3205" s="3" t="inlineStr">
        <is>
          <t>지정되지않음</t>
        </is>
      </c>
      <c r="S3205" s="3" t="inlineStr">
        <is>
          <t>상업용</t>
        </is>
      </c>
      <c r="T3205" s="3" t="inlineStr">
        <is>
          <t>평지</t>
        </is>
      </c>
      <c r="U3205" s="3" t="inlineStr">
        <is>
          <t>가로장방</t>
        </is>
      </c>
      <c r="V3205" s="3" t="inlineStr">
        <is>
          <t>소로각지</t>
        </is>
      </c>
    </row>
    <row r="3206">
      <c r="A3206" s="3" t="inlineStr">
        <is>
          <t>세종특별자치시 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HYPERLINK("https://map.naver.com/p/search/세종특별자치시 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세종특별자치시 아름동 1183</t>
        </is>
      </c>
      <c r="B3207" s="3" t="inlineStr">
        <is>
          <t>제1종전용주거지역</t>
        </is>
      </c>
      <c r="C3207" s="3" t="inlineStr">
        <is>
          <t>대</t>
        </is>
      </c>
      <c r="D3207" s="3" t="inlineStr">
        <is>
          <t>대</t>
        </is>
      </c>
      <c r="E3207" s="3" t="inlineStr">
        <is>
          <t>매매</t>
        </is>
      </c>
      <c r="F3207" s="4" t="n">
        <v>150000</v>
      </c>
      <c r="G3207" s="4" t="n">
        <v>317</v>
      </c>
      <c r="H3207" s="4" t="n">
        <v>96</v>
      </c>
      <c r="I3207" s="5" t="n">
        <v>1562.5</v>
      </c>
      <c r="J3207" s="4" t="n">
        <v>724</v>
      </c>
      <c r="K3207" s="3" t="inlineStr">
        <is>
          <t>아름동 대로변 근생용지, 96.1p</t>
        </is>
      </c>
      <c r="L3207" s="6">
        <f>HYPERLINK("https://fin.land.naver.com/articles/2646696611", "매물Link")</f>
        <v/>
      </c>
      <c r="M3207" s="6">
        <f>HYPERLINK("https://map.naver.com/p/search/세종특별자치시 아름동 1183", "지도Link")</f>
        <v/>
      </c>
      <c r="N3207" s="6">
        <f>HYPERLINK("http://www.eum.go.kr/web/ar/lu/luLandDet.jsp?pnu=3611011300111830000&amp;isNoScr=script&amp;mode=search", "토지이음")</f>
        <v/>
      </c>
      <c r="O3207" s="3" t="inlineStr">
        <is>
          <t>세종무지개</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세종특별자치시 아름동 1183</t>
        </is>
      </c>
      <c r="B3208" s="3" t="inlineStr">
        <is>
          <t>제1종전용주거지역</t>
        </is>
      </c>
      <c r="C3208" s="3" t="inlineStr">
        <is>
          <t>대</t>
        </is>
      </c>
      <c r="D3208" s="3" t="inlineStr">
        <is>
          <t>대</t>
        </is>
      </c>
      <c r="E3208" s="3" t="inlineStr">
        <is>
          <t>매매</t>
        </is>
      </c>
      <c r="F3208" s="4" t="n">
        <v>145000</v>
      </c>
      <c r="G3208" s="4" t="n">
        <v>317</v>
      </c>
      <c r="H3208" s="4" t="n">
        <v>96</v>
      </c>
      <c r="I3208" s="5" t="n">
        <v>1510.4</v>
      </c>
      <c r="J3208" s="4" t="n">
        <v>724</v>
      </c>
      <c r="K3208" s="3" t="inlineStr">
        <is>
          <t>근린생활시설 용지로서 대단위 아파트 전면에 위치하여 최고의 상권</t>
        </is>
      </c>
      <c r="L3208" s="6">
        <f>HYPERLINK("https://fin.land.naver.com/articles/2646095737", "매물Link")</f>
        <v/>
      </c>
      <c r="M3208" s="6">
        <f>HYPERLINK("https://map.naver.com/p/search/세종특별자치시 아름동 1183", "지도Link")</f>
        <v/>
      </c>
      <c r="N3208" s="6">
        <f>HYPERLINK("http://www.eum.go.kr/web/ar/lu/luLandDet.jsp?pnu=3611011300111830000&amp;isNoScr=script&amp;mode=search", "토지이음")</f>
        <v/>
      </c>
      <c r="O3208" s="3" t="inlineStr">
        <is>
          <t>대우마을</t>
        </is>
      </c>
      <c r="P3208" s="3" t="n">
        <v>1</v>
      </c>
      <c r="Q3208" s="3" t="n">
        <v>317.2</v>
      </c>
      <c r="R3208" s="3" t="inlineStr">
        <is>
          <t>지정되지않음</t>
        </is>
      </c>
      <c r="S3208" s="3" t="inlineStr">
        <is>
          <t>상업용</t>
        </is>
      </c>
      <c r="T3208" s="3" t="inlineStr">
        <is>
          <t>평지</t>
        </is>
      </c>
      <c r="U3208" s="3" t="inlineStr">
        <is>
          <t>가로장방</t>
        </is>
      </c>
      <c r="V3208" s="3" t="inlineStr">
        <is>
          <t>소로한면</t>
        </is>
      </c>
    </row>
    <row r="3209">
      <c r="A3209" s="3" t="inlineStr">
        <is>
          <t>세종특별자치시 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HYPERLINK("https://map.naver.com/p/search/세종특별자치시 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세종특별자치시 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HYPERLINK("https://map.naver.com/p/search/세종특별자치시 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세종특별자치시 아름동 1191</t>
        </is>
      </c>
      <c r="B3211" s="3" t="inlineStr">
        <is>
          <t>제1종전용주거지역</t>
        </is>
      </c>
      <c r="C3211" s="3" t="inlineStr">
        <is>
          <t>대</t>
        </is>
      </c>
      <c r="D3211" s="3" t="inlineStr">
        <is>
          <t>대</t>
        </is>
      </c>
      <c r="E3211" s="3" t="inlineStr">
        <is>
          <t>매매</t>
        </is>
      </c>
      <c r="F3211" s="4" t="n">
        <v>75000</v>
      </c>
      <c r="G3211" s="4" t="n">
        <v>360</v>
      </c>
      <c r="H3211" s="4" t="n">
        <v>109</v>
      </c>
      <c r="I3211" s="5" t="n">
        <v>688.1</v>
      </c>
      <c r="J3211" s="4" t="n">
        <v>349.4</v>
      </c>
      <c r="K3211" s="3" t="inlineStr">
        <is>
          <t>총 109.3p, 사거리코너자리, 충대병원 인접 토지</t>
        </is>
      </c>
      <c r="L3211" s="6">
        <f>HYPERLINK("https://fin.land.naver.com/articles/2648139112", "매물Link")</f>
        <v/>
      </c>
      <c r="M3211" s="6">
        <f>HYPERLINK("https://map.naver.com/p/search/세종특별자치시 아름동 1191", "지도Link")</f>
        <v/>
      </c>
      <c r="N3211" s="6">
        <f>HYPERLINK("http://www.eum.go.kr/web/ar/lu/luLandDet.jsp?pnu=3611011300111910000&amp;isNoScr=script&amp;mode=search", "토지이음")</f>
        <v/>
      </c>
      <c r="O3211" s="3" t="inlineStr">
        <is>
          <t>명진</t>
        </is>
      </c>
      <c r="P3211" s="3" t="n">
        <v>1</v>
      </c>
      <c r="Q3211" s="3" t="n">
        <v>360.6</v>
      </c>
      <c r="R3211" s="3" t="inlineStr">
        <is>
          <t>지정되지않음</t>
        </is>
      </c>
      <c r="S3211" s="3" t="inlineStr">
        <is>
          <t>주거나지</t>
        </is>
      </c>
      <c r="T3211" s="3" t="inlineStr">
        <is>
          <t>평지</t>
        </is>
      </c>
      <c r="U3211" s="3" t="inlineStr">
        <is>
          <t>가로장방</t>
        </is>
      </c>
      <c r="V3211" s="3" t="inlineStr">
        <is>
          <t>소로각지</t>
        </is>
      </c>
    </row>
    <row r="3212">
      <c r="A3212" s="3" t="inlineStr">
        <is>
          <t>세종특별자치시 아름동 1192</t>
        </is>
      </c>
      <c r="B3212" s="3" t="inlineStr">
        <is>
          <t>제1종전용주거지역</t>
        </is>
      </c>
      <c r="C3212" s="3" t="inlineStr">
        <is>
          <t>대</t>
        </is>
      </c>
      <c r="D3212" s="3" t="inlineStr">
        <is>
          <t>대</t>
        </is>
      </c>
      <c r="E3212" s="3" t="inlineStr">
        <is>
          <t>매매</t>
        </is>
      </c>
      <c r="F3212" s="4" t="n">
        <v>70000</v>
      </c>
      <c r="G3212" s="4" t="n">
        <v>374</v>
      </c>
      <c r="H3212" s="4" t="n">
        <v>113</v>
      </c>
      <c r="I3212" s="5" t="n">
        <v>619.5</v>
      </c>
      <c r="J3212" s="4" t="n">
        <v>349.4</v>
      </c>
      <c r="K3212" s="3" t="inlineStr">
        <is>
          <t>4거리 코너땅,야산 인접 쾌적함</t>
        </is>
      </c>
      <c r="L3212" s="6">
        <f>HYPERLINK("https://fin.land.naver.com/articles/2645783866", "매물Link")</f>
        <v/>
      </c>
      <c r="M3212" s="6">
        <f>HYPERLINK("https://map.naver.com/p/search/세종특별자치시 아름동 1192", "지도Link")</f>
        <v/>
      </c>
      <c r="N3212" s="6">
        <f>HYPERLINK("http://www.eum.go.kr/web/ar/lu/luLandDet.jsp?pnu=3611011300111920000&amp;isNoScr=script&amp;mode=search", "토지이음")</f>
        <v/>
      </c>
      <c r="O3212" s="3" t="inlineStr">
        <is>
          <t>킹세종</t>
        </is>
      </c>
      <c r="P3212" s="3" t="n">
        <v>2</v>
      </c>
      <c r="Q3212" s="3" t="n">
        <v>374.8</v>
      </c>
      <c r="R3212" s="3" t="inlineStr">
        <is>
          <t>지정되지않음</t>
        </is>
      </c>
      <c r="S3212" s="3" t="inlineStr">
        <is>
          <t>주거나지</t>
        </is>
      </c>
      <c r="T3212" s="3" t="inlineStr">
        <is>
          <t>평지</t>
        </is>
      </c>
      <c r="U3212" s="3" t="inlineStr">
        <is>
          <t>가로장방</t>
        </is>
      </c>
      <c r="V3212" s="3" t="inlineStr">
        <is>
          <t>소로각지</t>
        </is>
      </c>
    </row>
    <row r="3213">
      <c r="A3213" s="3" t="inlineStr">
        <is>
          <t>세종특별자치시 아름동 1193</t>
        </is>
      </c>
      <c r="B3213" s="3" t="inlineStr">
        <is>
          <t>제1종전용주거지역</t>
        </is>
      </c>
      <c r="C3213" s="3" t="inlineStr">
        <is>
          <t>대</t>
        </is>
      </c>
      <c r="D3213" s="3" t="inlineStr">
        <is>
          <t>대</t>
        </is>
      </c>
      <c r="E3213" s="3" t="inlineStr">
        <is>
          <t>매매</t>
        </is>
      </c>
      <c r="F3213" s="4" t="n">
        <v>80000</v>
      </c>
      <c r="G3213" s="4" t="n">
        <v>374</v>
      </c>
      <c r="H3213" s="4" t="n">
        <v>113</v>
      </c>
      <c r="I3213" s="5" t="n">
        <v>708</v>
      </c>
      <c r="J3213" s="4" t="n">
        <v>335.2</v>
      </c>
      <c r="K3213" s="3" t="inlineStr">
        <is>
          <t>충남대학병원 근접,양방향도로 접,아파트단지 주변 택지</t>
        </is>
      </c>
      <c r="L3213" s="6">
        <f>HYPERLINK("https://fin.land.naver.com/articles/2649459551", "매물Link")</f>
        <v/>
      </c>
      <c r="M3213" s="6">
        <f>HYPERLINK("https://map.naver.com/p/search/세종특별자치시 아름동 1193", "지도Link")</f>
        <v/>
      </c>
      <c r="N3213" s="6">
        <f>HYPERLINK("http://www.eum.go.kr/web/ar/lu/luLandDet.jsp?pnu=3611011300111930000&amp;isNoScr=script&amp;mode=search", "토지이음")</f>
        <v/>
      </c>
      <c r="O3213" s="3" t="inlineStr">
        <is>
          <t>해밀마을공간</t>
        </is>
      </c>
      <c r="P3213" s="3" t="n">
        <v>2</v>
      </c>
      <c r="Q3213" s="3" t="n">
        <v>374.7</v>
      </c>
      <c r="R3213" s="3" t="inlineStr">
        <is>
          <t>지정되지않음</t>
        </is>
      </c>
      <c r="S3213" s="3" t="inlineStr">
        <is>
          <t>주거나지</t>
        </is>
      </c>
      <c r="T3213" s="3" t="inlineStr">
        <is>
          <t>평지</t>
        </is>
      </c>
      <c r="U3213" s="3" t="inlineStr">
        <is>
          <t>가로장방</t>
        </is>
      </c>
      <c r="V3213" s="3" t="inlineStr">
        <is>
          <t>소로한면</t>
        </is>
      </c>
    </row>
    <row r="3214">
      <c r="A3214" s="3" t="inlineStr">
        <is>
          <t>세종특별자치시 아름동 1204</t>
        </is>
      </c>
      <c r="B3214" s="3" t="inlineStr">
        <is>
          <t>제1종전용주거지역</t>
        </is>
      </c>
      <c r="C3214" s="3" t="inlineStr">
        <is>
          <t>대</t>
        </is>
      </c>
      <c r="D3214" s="3" t="inlineStr">
        <is>
          <t>대</t>
        </is>
      </c>
      <c r="E3214" s="3" t="inlineStr">
        <is>
          <t>매매</t>
        </is>
      </c>
      <c r="F3214" s="4" t="n">
        <v>60000</v>
      </c>
      <c r="G3214" s="4" t="n">
        <v>308</v>
      </c>
      <c r="H3214" s="4" t="n">
        <v>93</v>
      </c>
      <c r="I3214" s="5" t="n">
        <v>645.2</v>
      </c>
      <c r="J3214" s="4" t="n">
        <v>349.4</v>
      </c>
      <c r="K3214" s="3" t="inlineStr">
        <is>
          <t>코너,대단지인접,충남대병원도보5분,조율가능</t>
        </is>
      </c>
      <c r="L3214" s="6">
        <f>HYPERLINK("https://fin.land.naver.com/articles/2644069252", "매물Link")</f>
        <v/>
      </c>
      <c r="M3214" s="6">
        <f>HYPERLINK("https://map.naver.com/p/search/세종특별자치시 아름동 1204", "지도Link")</f>
        <v/>
      </c>
      <c r="N3214" s="6">
        <f>HYPERLINK("http://www.eum.go.kr/web/ar/lu/luLandDet.jsp?pnu=3611011300112040000&amp;isNoScr=script&amp;mode=search", "토지이음")</f>
        <v/>
      </c>
      <c r="O3214" s="3" t="inlineStr">
        <is>
          <t>똑똑</t>
        </is>
      </c>
      <c r="P3214" s="3" t="n">
        <v>2</v>
      </c>
      <c r="Q3214" s="3" t="n">
        <v>308</v>
      </c>
      <c r="R3214" s="3" t="inlineStr">
        <is>
          <t>지정되지않음</t>
        </is>
      </c>
      <c r="S3214" s="3" t="inlineStr">
        <is>
          <t>주거나지</t>
        </is>
      </c>
      <c r="T3214" s="3" t="inlineStr">
        <is>
          <t>평지</t>
        </is>
      </c>
      <c r="U3214" s="3" t="inlineStr">
        <is>
          <t>가로장방</t>
        </is>
      </c>
      <c r="V3214" s="3" t="inlineStr">
        <is>
          <t>소로각지</t>
        </is>
      </c>
    </row>
    <row r="3215">
      <c r="A3215" s="3" t="inlineStr">
        <is>
          <t>세종특별자치시 아름동 1221</t>
        </is>
      </c>
      <c r="B3215" s="3" t="inlineStr">
        <is>
          <t>제1종전용주거지역</t>
        </is>
      </c>
      <c r="C3215" s="3" t="inlineStr">
        <is>
          <t>대</t>
        </is>
      </c>
      <c r="D3215" s="3" t="inlineStr">
        <is>
          <t>대</t>
        </is>
      </c>
      <c r="E3215" s="3" t="inlineStr">
        <is>
          <t>매매</t>
        </is>
      </c>
      <c r="F3215" s="4" t="n">
        <v>65000</v>
      </c>
      <c r="G3215" s="4" t="n">
        <v>364</v>
      </c>
      <c r="H3215" s="4" t="n">
        <v>110</v>
      </c>
      <c r="I3215" s="5" t="n">
        <v>590.9</v>
      </c>
      <c r="J3215" s="4" t="n">
        <v>335.2</v>
      </c>
      <c r="K3215" s="3" t="inlineStr">
        <is>
          <t>nan</t>
        </is>
      </c>
      <c r="L3215" s="6">
        <f>HYPERLINK("https://fin.land.naver.com/articles/2645545159", "매물Link")</f>
        <v/>
      </c>
      <c r="M3215" s="6">
        <f>HYPERLINK("https://map.naver.com/p/search/세종특별자치시 아름동 1221", "지도Link")</f>
        <v/>
      </c>
      <c r="N3215" s="6">
        <f>HYPERLINK("http://www.eum.go.kr/web/ar/lu/luLandDet.jsp?pnu=3611011300112210000&amp;isNoScr=script&amp;mode=search", "토지이음")</f>
        <v/>
      </c>
      <c r="O3215" s="3" t="inlineStr">
        <is>
          <t>세종시삼성래미안</t>
        </is>
      </c>
      <c r="P3215" s="3" t="n">
        <v>1</v>
      </c>
      <c r="Q3215" s="3" t="n">
        <v>364.4</v>
      </c>
      <c r="R3215" s="3" t="inlineStr">
        <is>
          <t>지정되지않음</t>
        </is>
      </c>
      <c r="S3215" s="3" t="inlineStr">
        <is>
          <t>주거나지</t>
        </is>
      </c>
      <c r="T3215" s="3" t="inlineStr">
        <is>
          <t>평지</t>
        </is>
      </c>
      <c r="U3215" s="3" t="inlineStr">
        <is>
          <t>가로장방</t>
        </is>
      </c>
      <c r="V3215" s="3" t="inlineStr">
        <is>
          <t>소로한면</t>
        </is>
      </c>
    </row>
    <row r="3216">
      <c r="A3216" s="3" t="inlineStr">
        <is>
          <t>세종특별자치시 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아름동학원가, 상권이용편리로얄택지, 금액조율가능, 추천매매</t>
        </is>
      </c>
      <c r="L3216" s="6">
        <f>HYPERLINK("https://fin.land.naver.com/articles/2644302320", "매물Link")</f>
        <v/>
      </c>
      <c r="M3216" s="6">
        <f>HYPERLINK("https://map.naver.com/p/search/세종특별자치시 아름동 1231", "지도Link")</f>
        <v/>
      </c>
      <c r="N3216" s="6">
        <f>HYPERLINK("http://www.eum.go.kr/web/ar/lu/luLandDet.jsp?pnu=3611011300112310000&amp;isNoScr=script&amp;mode=search", "토지이음")</f>
        <v/>
      </c>
      <c r="O3216" s="3" t="inlineStr">
        <is>
          <t>한방</t>
        </is>
      </c>
      <c r="P3216" s="3" t="n">
        <v>1</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세종특별자치시 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추가조율가능 귀한큰평형 아름초도보3분 학원가도보5분 충대병원10분</t>
        </is>
      </c>
      <c r="L3217" s="6">
        <f>HYPERLINK("https://fin.land.naver.com/articles/2649375287", "매물Link")</f>
        <v/>
      </c>
      <c r="M3217" s="6">
        <f>HYPERLINK("https://map.naver.com/p/search/세종특별자치시 아름동 1231", "지도Link")</f>
        <v/>
      </c>
      <c r="N3217" s="6">
        <f>HYPERLINK("http://www.eum.go.kr/web/ar/lu/luLandDet.jsp?pnu=3611011300112310000&amp;isNoScr=script&amp;mode=search", "토지이음")</f>
        <v/>
      </c>
      <c r="O3217" s="3" t="inlineStr">
        <is>
          <t>세종스타</t>
        </is>
      </c>
      <c r="P3217" s="3" t="n">
        <v>3</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세종특별자치시 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총 110.7p, 아파트 단지 옆, 아름초 인근, 위치좋고 가격좋은 토지</t>
        </is>
      </c>
      <c r="L3218" s="6">
        <f>HYPERLINK("https://fin.land.naver.com/articles/2646690367", "매물Link")</f>
        <v/>
      </c>
      <c r="M3218" s="6">
        <f>HYPERLINK("https://map.naver.com/p/search/세종특별자치시 아름동 1231", "지도Link")</f>
        <v/>
      </c>
      <c r="N3218" s="6">
        <f>HYPERLINK("http://www.eum.go.kr/web/ar/lu/luLandDet.jsp?pnu=3611011300112310000&amp;isNoScr=script&amp;mode=search", "토지이음")</f>
        <v/>
      </c>
      <c r="O3218" s="3" t="inlineStr">
        <is>
          <t>세종무지개</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세종특별자치시 아름동 1231</t>
        </is>
      </c>
      <c r="B3219" s="3" t="inlineStr">
        <is>
          <t>제1종전용주거지역</t>
        </is>
      </c>
      <c r="C3219" s="3" t="inlineStr">
        <is>
          <t>대</t>
        </is>
      </c>
      <c r="D3219" s="3" t="inlineStr">
        <is>
          <t>대</t>
        </is>
      </c>
      <c r="E3219" s="3" t="inlineStr">
        <is>
          <t>매매</t>
        </is>
      </c>
      <c r="F3219" s="4" t="n">
        <v>60000</v>
      </c>
      <c r="G3219" s="4" t="n">
        <v>365</v>
      </c>
      <c r="H3219" s="4" t="n">
        <v>110</v>
      </c>
      <c r="I3219" s="5" t="n">
        <v>545.5</v>
      </c>
      <c r="J3219" s="4" t="n">
        <v>343.1</v>
      </c>
      <c r="K3219" s="3" t="inlineStr">
        <is>
          <t>급매, 110.7p, 아름초인접, 범지기10단지인근</t>
        </is>
      </c>
      <c r="L3219" s="6">
        <f>HYPERLINK("https://fin.land.naver.com/articles/2648905337", "매물Link")</f>
        <v/>
      </c>
      <c r="M3219" s="6">
        <f>HYPERLINK("https://map.naver.com/p/search/세종특별자치시 아름동 1231", "지도Link")</f>
        <v/>
      </c>
      <c r="N3219" s="6">
        <f>HYPERLINK("http://www.eum.go.kr/web/ar/lu/luLandDet.jsp?pnu=3611011300112310000&amp;isNoScr=script&amp;mode=search", "토지이음")</f>
        <v/>
      </c>
      <c r="O3219" s="3" t="inlineStr">
        <is>
          <t>명진</t>
        </is>
      </c>
      <c r="P3219" s="3" t="n">
        <v>1</v>
      </c>
      <c r="Q3219" s="3" t="n">
        <v>365.4</v>
      </c>
      <c r="R3219" s="3" t="inlineStr">
        <is>
          <t>지정되지않음</t>
        </is>
      </c>
      <c r="S3219" s="3" t="inlineStr">
        <is>
          <t>주거나지</t>
        </is>
      </c>
      <c r="T3219" s="3" t="inlineStr">
        <is>
          <t>평지</t>
        </is>
      </c>
      <c r="U3219" s="3" t="inlineStr">
        <is>
          <t>가로장방</t>
        </is>
      </c>
      <c r="V3219" s="3" t="inlineStr">
        <is>
          <t>소로한면</t>
        </is>
      </c>
    </row>
    <row r="3220">
      <c r="A3220" s="3" t="inlineStr">
        <is>
          <t>세종특별자치시 아름동 1256</t>
        </is>
      </c>
      <c r="B3220" s="3" t="inlineStr">
        <is>
          <t>제1종전용주거지역</t>
        </is>
      </c>
      <c r="C3220" s="3" t="inlineStr">
        <is>
          <t>대</t>
        </is>
      </c>
      <c r="D3220" s="3" t="inlineStr">
        <is>
          <t>대</t>
        </is>
      </c>
      <c r="E3220" s="3" t="inlineStr">
        <is>
          <t>매매</t>
        </is>
      </c>
      <c r="F3220" s="4" t="n">
        <v>70000</v>
      </c>
      <c r="G3220" s="4" t="n">
        <v>354</v>
      </c>
      <c r="H3220" s="4" t="n">
        <v>107</v>
      </c>
      <c r="I3220" s="5" t="n">
        <v>654.2</v>
      </c>
      <c r="J3220" s="4" t="n">
        <v>343.1</v>
      </c>
      <c r="K3220" s="3" t="inlineStr">
        <is>
          <t>총 107.4p, 아름초인근, 위치좋은 단독주택지 추천</t>
        </is>
      </c>
      <c r="L3220" s="6">
        <f>HYPERLINK("https://fin.land.naver.com/articles/2645651733", "매물Link")</f>
        <v/>
      </c>
      <c r="M3220" s="6">
        <f>HYPERLINK("https://map.naver.com/p/search/세종특별자치시 아름동 1256", "지도Link")</f>
        <v/>
      </c>
      <c r="N3220" s="6">
        <f>HYPERLINK("http://www.eum.go.kr/web/ar/lu/luLandDet.jsp?pnu=3611011300112560000&amp;isNoScr=script&amp;mode=search", "토지이음")</f>
        <v/>
      </c>
      <c r="O3220" s="3" t="inlineStr">
        <is>
          <t>명진</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세종특별자치시 아름동 1256</t>
        </is>
      </c>
      <c r="B3221" s="3" t="inlineStr">
        <is>
          <t>제1종전용주거지역</t>
        </is>
      </c>
      <c r="C3221" s="3" t="inlineStr">
        <is>
          <t>대</t>
        </is>
      </c>
      <c r="D3221" s="3" t="inlineStr">
        <is>
          <t>대</t>
        </is>
      </c>
      <c r="E3221" s="3" t="inlineStr">
        <is>
          <t>매매</t>
        </is>
      </c>
      <c r="F3221" s="4" t="n">
        <v>70000</v>
      </c>
      <c r="G3221" s="4" t="n">
        <v>353</v>
      </c>
      <c r="H3221" s="4" t="n">
        <v>107</v>
      </c>
      <c r="I3221" s="5" t="n">
        <v>654.2</v>
      </c>
      <c r="J3221" s="4" t="n">
        <v>343.1</v>
      </c>
      <c r="K3221" s="3" t="inlineStr">
        <is>
          <t>초등학교인접, 대단지 맞은편 아름동 단독주택</t>
        </is>
      </c>
      <c r="L3221" s="6">
        <f>HYPERLINK("https://fin.land.naver.com/articles/2644185391", "매물Link")</f>
        <v/>
      </c>
      <c r="M3221" s="6">
        <f>HYPERLINK("https://map.naver.com/p/search/세종특별자치시 아름동 1256", "지도Link")</f>
        <v/>
      </c>
      <c r="N3221" s="6">
        <f>HYPERLINK("http://www.eum.go.kr/web/ar/lu/luLandDet.jsp?pnu=3611011300112560000&amp;isNoScr=script&amp;mode=search", "토지이음")</f>
        <v/>
      </c>
      <c r="O3221" s="3" t="inlineStr">
        <is>
          <t>세종무지개</t>
        </is>
      </c>
      <c r="P3221" s="3" t="n">
        <v>1</v>
      </c>
      <c r="Q3221" s="3" t="n">
        <v>354.3</v>
      </c>
      <c r="R3221" s="3" t="inlineStr">
        <is>
          <t>지정되지않음</t>
        </is>
      </c>
      <c r="S3221" s="3" t="inlineStr">
        <is>
          <t>주거나지</t>
        </is>
      </c>
      <c r="T3221" s="3" t="inlineStr">
        <is>
          <t>평지</t>
        </is>
      </c>
      <c r="U3221" s="3" t="inlineStr">
        <is>
          <t>가로장방</t>
        </is>
      </c>
      <c r="V3221" s="3" t="inlineStr">
        <is>
          <t>소로한면</t>
        </is>
      </c>
    </row>
    <row r="3222">
      <c r="A3222" s="3" t="inlineStr">
        <is>
          <t>세종특별자치시 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103.7p, 삼거리 코너자리, 왼쪽 토지 활용도 높은 좋은 위치</t>
        </is>
      </c>
      <c r="L3222" s="6">
        <f>HYPERLINK("https://fin.land.naver.com/articles/2648904182", "매물Link")</f>
        <v/>
      </c>
      <c r="M3222" s="6">
        <f>HYPERLINK("https://map.naver.com/p/search/세종특별자치시 아름동 1365", "지도Link")</f>
        <v/>
      </c>
      <c r="N3222" s="6">
        <f>HYPERLINK("http://www.eum.go.kr/web/ar/lu/luLandDet.jsp?pnu=3611011300113650000&amp;isNoScr=script&amp;mode=search", "토지이음")</f>
        <v/>
      </c>
      <c r="O3222" s="3" t="inlineStr">
        <is>
          <t>명진</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세종특별자치시 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총 103.7p, 아름동 삼거리 코너, 아파트 단지 근처</t>
        </is>
      </c>
      <c r="L3223" s="6">
        <f>HYPERLINK("https://fin.land.naver.com/articles/2646696239", "매물Link")</f>
        <v/>
      </c>
      <c r="M3223" s="6">
        <f>HYPERLINK("https://map.naver.com/p/search/세종특별자치시 아름동 1365", "지도Link")</f>
        <v/>
      </c>
      <c r="N3223" s="6">
        <f>HYPERLINK("http://www.eum.go.kr/web/ar/lu/luLandDet.jsp?pnu=3611011300113650000&amp;isNoScr=script&amp;mode=search", "토지이음")</f>
        <v/>
      </c>
      <c r="O3223" s="3" t="inlineStr">
        <is>
          <t>세종무지개</t>
        </is>
      </c>
      <c r="P3223" s="3" t="n">
        <v>1</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세종특별자치시 아름동 1365</t>
        </is>
      </c>
      <c r="B3224" s="3" t="inlineStr">
        <is>
          <t>제1종전용주거지역</t>
        </is>
      </c>
      <c r="C3224" s="3" t="inlineStr">
        <is>
          <t>대</t>
        </is>
      </c>
      <c r="D3224" s="3" t="inlineStr">
        <is>
          <t>대</t>
        </is>
      </c>
      <c r="E3224" s="3" t="inlineStr">
        <is>
          <t>매매</t>
        </is>
      </c>
      <c r="F3224" s="4" t="n">
        <v>52000</v>
      </c>
      <c r="G3224" s="4" t="n">
        <v>342</v>
      </c>
      <c r="H3224" s="4" t="n">
        <v>103</v>
      </c>
      <c r="I3224" s="5" t="n">
        <v>504.9</v>
      </c>
      <c r="J3224" s="4" t="n">
        <v>380.5</v>
      </c>
      <c r="K3224" s="3" t="inlineStr">
        <is>
          <t>조율가능 학원가최인접 땅모양 건축하기 좋음</t>
        </is>
      </c>
      <c r="L3224" s="6">
        <f>HYPERLINK("https://fin.land.naver.com/articles/2649479115", "매물Link")</f>
        <v/>
      </c>
      <c r="M3224" s="6">
        <f>HYPERLINK("https://map.naver.com/p/search/세종특별자치시 아름동 1365", "지도Link")</f>
        <v/>
      </c>
      <c r="N3224" s="6">
        <f>HYPERLINK("http://www.eum.go.kr/web/ar/lu/luLandDet.jsp?pnu=3611011300113650000&amp;isNoScr=script&amp;mode=search", "토지이음")</f>
        <v/>
      </c>
      <c r="O3224" s="3" t="inlineStr">
        <is>
          <t>세종스타</t>
        </is>
      </c>
      <c r="P3224" s="3" t="n">
        <v>3</v>
      </c>
      <c r="Q3224" s="3" t="n">
        <v>342.1</v>
      </c>
      <c r="R3224" s="3" t="inlineStr">
        <is>
          <t>지정되지않음</t>
        </is>
      </c>
      <c r="S3224" s="3" t="inlineStr">
        <is>
          <t>주거나지</t>
        </is>
      </c>
      <c r="T3224" s="3" t="inlineStr">
        <is>
          <t>평지</t>
        </is>
      </c>
      <c r="U3224" s="3" t="inlineStr">
        <is>
          <t>가로장방</t>
        </is>
      </c>
      <c r="V3224" s="3" t="inlineStr">
        <is>
          <t>중로각지</t>
        </is>
      </c>
    </row>
    <row r="3225">
      <c r="A3225" s="3" t="inlineStr">
        <is>
          <t>세종특별자치시 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HYPERLINK("https://map.naver.com/p/search/세종특별자치시 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세종특별자치시 아름동 1370</t>
        </is>
      </c>
      <c r="B3226" s="3" t="inlineStr">
        <is>
          <t>제1종전용주거지역</t>
        </is>
      </c>
      <c r="C3226" s="3" t="inlineStr">
        <is>
          <t>대</t>
        </is>
      </c>
      <c r="D3226" s="3" t="inlineStr">
        <is>
          <t>대</t>
        </is>
      </c>
      <c r="E3226" s="3" t="inlineStr">
        <is>
          <t>매매</t>
        </is>
      </c>
      <c r="F3226" s="4" t="n">
        <v>60000</v>
      </c>
      <c r="G3226" s="4" t="n">
        <v>363</v>
      </c>
      <c r="H3226" s="4" t="n">
        <v>110</v>
      </c>
      <c r="I3226" s="5" t="n">
        <v>545.5</v>
      </c>
      <c r="J3226" s="4" t="n">
        <v>338.2</v>
      </c>
      <c r="K3226" s="3" t="inlineStr">
        <is>
          <t>아름동 단독주택 토지매매, 위치 좋은 자리</t>
        </is>
      </c>
      <c r="L3226" s="6">
        <f>HYPERLINK("https://fin.land.naver.com/articles/2649577908", "매물Link")</f>
        <v/>
      </c>
      <c r="M3226" s="6">
        <f>HYPERLINK("https://map.naver.com/p/search/세종특별자치시 아름동 1370", "지도Link")</f>
        <v/>
      </c>
      <c r="N3226" s="6">
        <f>HYPERLINK("http://www.eum.go.kr/web/ar/lu/luLandDet.jsp?pnu=3611011300113700000&amp;isNoScr=script&amp;mode=search", "토지이음")</f>
        <v/>
      </c>
      <c r="O3226" s="3" t="inlineStr">
        <is>
          <t>세종무지개</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세종특별자치시 아름동 1370</t>
        </is>
      </c>
      <c r="B3227" s="3" t="inlineStr">
        <is>
          <t>제1종전용주거지역</t>
        </is>
      </c>
      <c r="C3227" s="3" t="inlineStr">
        <is>
          <t>대</t>
        </is>
      </c>
      <c r="D3227" s="3" t="inlineStr">
        <is>
          <t>대</t>
        </is>
      </c>
      <c r="E3227" s="3" t="inlineStr">
        <is>
          <t>매매</t>
        </is>
      </c>
      <c r="F3227" s="4" t="n">
        <v>60000</v>
      </c>
      <c r="G3227" s="4" t="n">
        <v>365</v>
      </c>
      <c r="H3227" s="4" t="n">
        <v>110</v>
      </c>
      <c r="I3227" s="5" t="n">
        <v>545.5</v>
      </c>
      <c r="J3227" s="4" t="n">
        <v>338.2</v>
      </c>
      <c r="K3227" s="3" t="inlineStr">
        <is>
          <t>4단지 맞은편, 단독주택 토지 매매</t>
        </is>
      </c>
      <c r="L3227" s="6">
        <f>HYPERLINK("https://fin.land.naver.com/articles/2649878133", "매물Link")</f>
        <v/>
      </c>
      <c r="M3227" s="6">
        <f>HYPERLINK("https://map.naver.com/p/search/세종특별자치시 아름동 1370", "지도Link")</f>
        <v/>
      </c>
      <c r="N3227" s="6">
        <f>HYPERLINK("http://www.eum.go.kr/web/ar/lu/luLandDet.jsp?pnu=3611011300113700000&amp;isNoScr=script&amp;mode=search", "토지이음")</f>
        <v/>
      </c>
      <c r="O3227" s="3" t="inlineStr">
        <is>
          <t>명진</t>
        </is>
      </c>
      <c r="P3227" s="3" t="n">
        <v>1</v>
      </c>
      <c r="Q3227" s="3" t="n">
        <v>365</v>
      </c>
      <c r="R3227" s="3" t="inlineStr">
        <is>
          <t>지정되지않음</t>
        </is>
      </c>
      <c r="S3227" s="3" t="inlineStr">
        <is>
          <t>주거나지</t>
        </is>
      </c>
      <c r="T3227" s="3" t="inlineStr">
        <is>
          <t>평지</t>
        </is>
      </c>
      <c r="U3227" s="3" t="inlineStr">
        <is>
          <t>가로장방</t>
        </is>
      </c>
      <c r="V3227" s="3" t="inlineStr">
        <is>
          <t>소로한면</t>
        </is>
      </c>
    </row>
    <row r="3228">
      <c r="A3228" s="3" t="inlineStr">
        <is>
          <t>세종특별자치시 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HYPERLINK("https://map.naver.com/p/search/세종특별자치시 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세종특별자치시 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초중고 학군 좋고 근린공원 낀 인기 주택단지</t>
        </is>
      </c>
      <c r="L3229" s="6">
        <f>HYPERLINK("https://fin.land.naver.com/articles/2646537172", "매물Link")</f>
        <v/>
      </c>
      <c r="M3229" s="6">
        <f>HYPERLINK("https://map.naver.com/p/search/세종특별자치시 아름동 1380", "지도Link")</f>
        <v/>
      </c>
      <c r="N3229" s="6">
        <f>HYPERLINK("http://www.eum.go.kr/web/ar/lu/luLandDet.jsp?pnu=3611011300113800000&amp;isNoScr=script&amp;mode=search", "토지이음")</f>
        <v/>
      </c>
      <c r="O3229" s="3" t="inlineStr">
        <is>
          <t>현대탑</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세종특별자치시 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HYPERLINK("https://map.naver.com/p/search/세종특별자치시 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세종특별자치시 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영무예다음아파트 앞에 위치,하루종일 햇볕 받을수 있는 곳,주택지</t>
        </is>
      </c>
      <c r="L3231" s="6">
        <f>HYPERLINK("https://fin.land.naver.com/articles/2648233324", "매물Link")</f>
        <v/>
      </c>
      <c r="M3231" s="6">
        <f>HYPERLINK("https://map.naver.com/p/search/세종특별자치시 아름동 1380", "지도Link")</f>
        <v/>
      </c>
      <c r="N3231" s="6">
        <f>HYPERLINK("http://www.eum.go.kr/web/ar/lu/luLandDet.jsp?pnu=3611011300113800000&amp;isNoScr=script&amp;mode=search", "토지이음")</f>
        <v/>
      </c>
      <c r="O3231" s="3" t="inlineStr">
        <is>
          <t>어반통</t>
        </is>
      </c>
      <c r="P3231" s="3" t="n">
        <v>1</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세종특별자치시 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급매, 총 91p, 삼거리코너, 아파트 단지 밑</t>
        </is>
      </c>
      <c r="L3232" s="6">
        <f>HYPERLINK("https://fin.land.naver.com/articles/2646695404", "매물Link")</f>
        <v/>
      </c>
      <c r="M3232" s="6">
        <f>HYPERLINK("https://map.naver.com/p/search/세종특별자치시 아름동 1380", "지도Link")</f>
        <v/>
      </c>
      <c r="N3232" s="6">
        <f>HYPERLINK("http://www.eum.go.kr/web/ar/lu/luLandDet.jsp?pnu=3611011300113800000&amp;isNoScr=script&amp;mode=search", "토지이음")</f>
        <v/>
      </c>
      <c r="O3232" s="3" t="inlineStr">
        <is>
          <t>세종무지개</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세종특별자치시 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위치좋고 상권가까운 조율가능 학교 학원 상가 도보로 5분거리</t>
        </is>
      </c>
      <c r="L3233" s="6">
        <f>HYPERLINK("https://fin.land.naver.com/articles/2650154983", "매물Link")</f>
        <v/>
      </c>
      <c r="M3233" s="6">
        <f>HYPERLINK("https://map.naver.com/p/search/세종특별자치시 아름동 1380", "지도Link")</f>
        <v/>
      </c>
      <c r="N3233" s="6">
        <f>HYPERLINK("http://www.eum.go.kr/web/ar/lu/luLandDet.jsp?pnu=3611011300113800000&amp;isNoScr=script&amp;mode=search", "토지이음")</f>
        <v/>
      </c>
      <c r="O3233" s="3" t="inlineStr">
        <is>
          <t>은성</t>
        </is>
      </c>
      <c r="P3233" s="3" t="n">
        <v>13</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세종특별자치시 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HYPERLINK("https://map.naver.com/p/search/세종특별자치시 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세종특별자치시 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총 91p, 삼거리 코너, 단지 인접, 급매</t>
        </is>
      </c>
      <c r="L3235" s="6">
        <f>HYPERLINK("https://fin.land.naver.com/articles/2648138484", "매물Link")</f>
        <v/>
      </c>
      <c r="M3235" s="6">
        <f>HYPERLINK("https://map.naver.com/p/search/세종특별자치시 아름동 1380", "지도Link")</f>
        <v/>
      </c>
      <c r="N3235" s="6">
        <f>HYPERLINK("http://www.eum.go.kr/web/ar/lu/luLandDet.jsp?pnu=3611011300113800000&amp;isNoScr=script&amp;mode=search", "토지이음")</f>
        <v/>
      </c>
      <c r="O3235" s="3" t="inlineStr">
        <is>
          <t>명진</t>
        </is>
      </c>
      <c r="P3235" s="3" t="n">
        <v>1</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세종특별자치시 아름동 1380</t>
        </is>
      </c>
      <c r="B3236" s="3" t="inlineStr">
        <is>
          <t>제1종전용주거지역</t>
        </is>
      </c>
      <c r="C3236" s="3" t="inlineStr">
        <is>
          <t>대</t>
        </is>
      </c>
      <c r="D3236" s="3" t="inlineStr">
        <is>
          <t>대</t>
        </is>
      </c>
      <c r="E3236" s="3" t="inlineStr">
        <is>
          <t>매매</t>
        </is>
      </c>
      <c r="F3236" s="4" t="n">
        <v>45000</v>
      </c>
      <c r="G3236" s="4" t="n">
        <v>300</v>
      </c>
      <c r="H3236" s="4" t="n">
        <v>91</v>
      </c>
      <c r="I3236" s="5" t="n">
        <v>494.5</v>
      </c>
      <c r="J3236" s="4" t="n">
        <v>352.4</v>
      </c>
      <c r="K3236" s="3" t="inlineStr">
        <is>
          <t>아름동 11단지 아파트 앞 단독주택지 토지.</t>
        </is>
      </c>
      <c r="L3236" s="6">
        <f>HYPERLINK("https://fin.land.naver.com/articles/2646521764", "매물Link")</f>
        <v/>
      </c>
      <c r="M3236" s="6">
        <f>HYPERLINK("https://map.naver.com/p/search/세종특별자치시 아름동 1380", "지도Link")</f>
        <v/>
      </c>
      <c r="N3236" s="6">
        <f>HYPERLINK("http://www.eum.go.kr/web/ar/lu/luLandDet.jsp?pnu=3611011300113800000&amp;isNoScr=script&amp;mode=search", "토지이음")</f>
        <v/>
      </c>
      <c r="O3236" s="3" t="inlineStr">
        <is>
          <t>다정현대</t>
        </is>
      </c>
      <c r="P3236" s="3" t="n">
        <v>2</v>
      </c>
      <c r="Q3236" s="3" t="n">
        <v>300.2</v>
      </c>
      <c r="R3236" s="3" t="inlineStr">
        <is>
          <t>지정되지않음</t>
        </is>
      </c>
      <c r="S3236" s="3" t="inlineStr">
        <is>
          <t>주거나지</t>
        </is>
      </c>
      <c r="T3236" s="3" t="inlineStr">
        <is>
          <t>평지</t>
        </is>
      </c>
      <c r="U3236" s="3" t="inlineStr">
        <is>
          <t>세로장방</t>
        </is>
      </c>
      <c r="V3236" s="3" t="inlineStr">
        <is>
          <t>소로각지</t>
        </is>
      </c>
    </row>
    <row r="3237">
      <c r="A3237" s="3" t="inlineStr">
        <is>
          <t>세종특별자치시 아름동 1411</t>
        </is>
      </c>
      <c r="B3237" s="3" t="inlineStr">
        <is>
          <t>제1종전용주거지역</t>
        </is>
      </c>
      <c r="C3237" s="3" t="inlineStr">
        <is>
          <t>대</t>
        </is>
      </c>
      <c r="D3237" s="3" t="inlineStr">
        <is>
          <t>대</t>
        </is>
      </c>
      <c r="E3237" s="3" t="inlineStr">
        <is>
          <t>매매</t>
        </is>
      </c>
      <c r="F3237" s="4" t="n">
        <v>82000</v>
      </c>
      <c r="G3237" s="4" t="n">
        <v>304</v>
      </c>
      <c r="H3237" s="4" t="n">
        <v>92</v>
      </c>
      <c r="I3237" s="5" t="n">
        <v>891.3</v>
      </c>
      <c r="J3237" s="4" t="n">
        <v>338.2</v>
      </c>
      <c r="K3237" s="3" t="inlineStr">
        <is>
          <t>네모 반듯한 토지로 생활 편리하고,교통,쾌적함을 갖춘 대지.</t>
        </is>
      </c>
      <c r="L3237" s="6">
        <f>HYPERLINK("https://fin.land.naver.com/articles/2646513921", "매물Link")</f>
        <v/>
      </c>
      <c r="M3237" s="6">
        <f>HYPERLINK("https://map.naver.com/p/search/세종특별자치시 아름동 1411", "지도Link")</f>
        <v/>
      </c>
      <c r="N3237" s="6">
        <f>HYPERLINK("http://www.eum.go.kr/web/ar/lu/luLandDet.jsp?pnu=3611011300114110000&amp;isNoScr=script&amp;mode=search", "토지이음")</f>
        <v/>
      </c>
      <c r="O3237" s="3" t="inlineStr">
        <is>
          <t>수자인</t>
        </is>
      </c>
      <c r="P3237" s="3" t="n">
        <v>1</v>
      </c>
      <c r="Q3237" s="3" t="n">
        <v>304.1</v>
      </c>
      <c r="R3237" s="3" t="inlineStr">
        <is>
          <t>지정되지않음</t>
        </is>
      </c>
      <c r="S3237" s="3" t="inlineStr">
        <is>
          <t>주거나지</t>
        </is>
      </c>
      <c r="T3237" s="3" t="inlineStr">
        <is>
          <t>평지</t>
        </is>
      </c>
      <c r="U3237" s="3" t="inlineStr">
        <is>
          <t>세로장방</t>
        </is>
      </c>
      <c r="V3237" s="3" t="inlineStr">
        <is>
          <t>소로한면</t>
        </is>
      </c>
    </row>
    <row r="3238">
      <c r="A3238" s="3" t="inlineStr">
        <is>
          <t>세종특별자치시 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아름동 최상의 택지,학군,상권,충남대병원 생활권 편리,밀마루전망대  인근</t>
        </is>
      </c>
      <c r="L3238" s="6">
        <f>HYPERLINK("https://fin.land.naver.com/articles/2647931377", "매물Link")</f>
        <v/>
      </c>
      <c r="M3238" s="6">
        <f>HYPERLINK("https://map.naver.com/p/search/세종특별자치시 아름동 1418", "지도Link")</f>
        <v/>
      </c>
      <c r="N3238" s="6">
        <f>HYPERLINK("http://www.eum.go.kr/web/ar/lu/luLandDet.jsp?pnu=3611011300114180000&amp;isNoScr=script&amp;mode=search", "토지이음")</f>
        <v/>
      </c>
      <c r="O3238" s="3" t="inlineStr">
        <is>
          <t>고운맘</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세종특별자치시 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코너각지 홈플러스인근 아름동학원가 인접 조율가능</t>
        </is>
      </c>
      <c r="L3239" s="6">
        <f>HYPERLINK("https://fin.land.naver.com/articles/2648615417", "매물Link")</f>
        <v/>
      </c>
      <c r="M3239" s="6">
        <f>HYPERLINK("https://map.naver.com/p/search/세종특별자치시 아름동 1418", "지도Link")</f>
        <v/>
      </c>
      <c r="N3239" s="6">
        <f>HYPERLINK("http://www.eum.go.kr/web/ar/lu/luLandDet.jsp?pnu=3611011300114180000&amp;isNoScr=script&amp;mode=search", "토지이음")</f>
        <v/>
      </c>
      <c r="O3239" s="3" t="inlineStr">
        <is>
          <t>세종스타</t>
        </is>
      </c>
      <c r="P3239" s="3" t="n">
        <v>2</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세종특별자치시 아름동 1418</t>
        </is>
      </c>
      <c r="B3240" s="3" t="inlineStr">
        <is>
          <t>제1종전용주거지역</t>
        </is>
      </c>
      <c r="C3240" s="3" t="inlineStr">
        <is>
          <t>대</t>
        </is>
      </c>
      <c r="D3240" s="3" t="inlineStr">
        <is>
          <t>대</t>
        </is>
      </c>
      <c r="E3240" s="3" t="inlineStr">
        <is>
          <t>매매</t>
        </is>
      </c>
      <c r="F3240" s="4" t="n">
        <v>55000</v>
      </c>
      <c r="G3240" s="4" t="n">
        <v>303</v>
      </c>
      <c r="H3240" s="4" t="n">
        <v>92</v>
      </c>
      <c r="I3240" s="5" t="n">
        <v>597.8</v>
      </c>
      <c r="J3240" s="4" t="n">
        <v>352.4</v>
      </c>
      <c r="K3240" s="3" t="inlineStr">
        <is>
          <t>92.1p, 초급매, 가격조율가능, 코너최고자리</t>
        </is>
      </c>
      <c r="L3240" s="6">
        <f>HYPERLINK("https://fin.land.naver.com/articles/2649024607", "매물Link")</f>
        <v/>
      </c>
      <c r="M3240" s="6">
        <f>HYPERLINK("https://map.naver.com/p/search/세종특별자치시 아름동 1418", "지도Link")</f>
        <v/>
      </c>
      <c r="N3240" s="6">
        <f>HYPERLINK("http://www.eum.go.kr/web/ar/lu/luLandDet.jsp?pnu=3611011300114180000&amp;isNoScr=script&amp;mode=search", "토지이음")</f>
        <v/>
      </c>
      <c r="O3240" s="3" t="inlineStr">
        <is>
          <t>명진</t>
        </is>
      </c>
      <c r="P3240" s="3" t="n">
        <v>1</v>
      </c>
      <c r="Q3240" s="3" t="n">
        <v>303.9</v>
      </c>
      <c r="R3240" s="3" t="inlineStr">
        <is>
          <t>지정되지않음</t>
        </is>
      </c>
      <c r="S3240" s="3" t="inlineStr">
        <is>
          <t>주거나지</t>
        </is>
      </c>
      <c r="T3240" s="3" t="inlineStr">
        <is>
          <t>평지</t>
        </is>
      </c>
      <c r="U3240" s="3" t="inlineStr">
        <is>
          <t>가로장방</t>
        </is>
      </c>
      <c r="V3240" s="3" t="inlineStr">
        <is>
          <t>소로각지</t>
        </is>
      </c>
    </row>
    <row r="3241">
      <c r="A3241" s="3" t="inlineStr">
        <is>
          <t>세종특별자치시 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HYPERLINK("https://map.naver.com/p/search/세종특별자치시 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세종특별자치시 아름동 1420</t>
        </is>
      </c>
      <c r="B3242" s="3" t="inlineStr">
        <is>
          <t>제1종전용주거지역</t>
        </is>
      </c>
      <c r="C3242" s="3" t="inlineStr">
        <is>
          <t>대</t>
        </is>
      </c>
      <c r="D3242" s="3" t="inlineStr">
        <is>
          <t>대</t>
        </is>
      </c>
      <c r="E3242" s="3" t="inlineStr">
        <is>
          <t>매매</t>
        </is>
      </c>
      <c r="F3242" s="4" t="n">
        <v>70000</v>
      </c>
      <c r="G3242" s="4" t="n">
        <v>303</v>
      </c>
      <c r="H3242" s="4" t="n">
        <v>92</v>
      </c>
      <c r="I3242" s="5" t="n">
        <v>760.9</v>
      </c>
      <c r="J3242" s="4" t="n">
        <v>338.2</v>
      </c>
      <c r="K3242" s="3" t="inlineStr">
        <is>
          <t>92p, 입지좋은 단독주택지</t>
        </is>
      </c>
      <c r="L3242" s="6">
        <f>HYPERLINK("https://fin.land.naver.com/articles/2647424262", "매물Link")</f>
        <v/>
      </c>
      <c r="M3242" s="6">
        <f>HYPERLINK("https://map.naver.com/p/search/세종특별자치시 아름동 1420", "지도Link")</f>
        <v/>
      </c>
      <c r="N3242" s="6">
        <f>HYPERLINK("http://www.eum.go.kr/web/ar/lu/luLandDet.jsp?pnu=3611011300114200000&amp;isNoScr=script&amp;mode=search", "토지이음")</f>
        <v/>
      </c>
      <c r="O3242" s="3" t="inlineStr">
        <is>
          <t>세종무지개</t>
        </is>
      </c>
      <c r="P3242" s="3" t="n">
        <v>1</v>
      </c>
      <c r="Q3242" s="3" t="n">
        <v>303.9</v>
      </c>
      <c r="R3242" s="3" t="inlineStr">
        <is>
          <t>지정되지않음</t>
        </is>
      </c>
      <c r="S3242" s="3" t="inlineStr">
        <is>
          <t>주거나지</t>
        </is>
      </c>
      <c r="T3242" s="3" t="inlineStr">
        <is>
          <t>평지</t>
        </is>
      </c>
      <c r="U3242" s="3" t="inlineStr">
        <is>
          <t>세로장방</t>
        </is>
      </c>
      <c r="V3242" s="3" t="inlineStr">
        <is>
          <t>소로한면</t>
        </is>
      </c>
    </row>
    <row r="3243">
      <c r="A3243" s="3" t="inlineStr">
        <is>
          <t>세종특별자치시 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단독주택지.대지</t>
        </is>
      </c>
      <c r="L3243" s="6">
        <f>HYPERLINK("https://fin.land.naver.com/articles/2644815011", "매물Link")</f>
        <v/>
      </c>
      <c r="M3243" s="6">
        <f>HYPERLINK("https://map.naver.com/p/search/세종특별자치시 아름동 1443", "지도Link")</f>
        <v/>
      </c>
      <c r="N3243" s="6">
        <f>HYPERLINK("http://www.eum.go.kr/web/ar/lu/luLandDet.jsp?pnu=3611011300114430000&amp;isNoScr=script&amp;mode=search", "토지이음")</f>
        <v/>
      </c>
      <c r="O3243" s="3" t="inlineStr">
        <is>
          <t>세종몽땅</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세종특별자치시 아름동 1443</t>
        </is>
      </c>
      <c r="B3244" s="3" t="inlineStr">
        <is>
          <t>제1종전용주거지역</t>
        </is>
      </c>
      <c r="C3244" s="3" t="inlineStr">
        <is>
          <t>대</t>
        </is>
      </c>
      <c r="D3244" s="3" t="inlineStr">
        <is>
          <t>대</t>
        </is>
      </c>
      <c r="E3244" s="3" t="inlineStr">
        <is>
          <t>매매</t>
        </is>
      </c>
      <c r="F3244" s="4" t="n">
        <v>65000</v>
      </c>
      <c r="G3244" s="4" t="n">
        <v>344</v>
      </c>
      <c r="H3244" s="4" t="n">
        <v>104</v>
      </c>
      <c r="I3244" s="5" t="n">
        <v>625</v>
      </c>
      <c r="J3244" s="4" t="n">
        <v>338.2</v>
      </c>
      <c r="K3244" s="3" t="inlineStr">
        <is>
          <t>접근성 좋은 아름동 택지</t>
        </is>
      </c>
      <c r="L3244" s="6">
        <f>HYPERLINK("https://fin.land.naver.com/articles/2646824248", "매물Link")</f>
        <v/>
      </c>
      <c r="M3244" s="6">
        <f>HYPERLINK("https://map.naver.com/p/search/세종특별자치시 아름동 1443", "지도Link")</f>
        <v/>
      </c>
      <c r="N3244" s="6">
        <f>HYPERLINK("http://www.eum.go.kr/web/ar/lu/luLandDet.jsp?pnu=3611011300114430000&amp;isNoScr=script&amp;mode=search", "토지이음")</f>
        <v/>
      </c>
      <c r="O3244" s="3" t="inlineStr">
        <is>
          <t>강아지풀</t>
        </is>
      </c>
      <c r="P3244" s="3" t="n">
        <v>1</v>
      </c>
      <c r="Q3244" s="3" t="n">
        <v>344</v>
      </c>
      <c r="R3244" s="3" t="inlineStr">
        <is>
          <t>지정되지않음</t>
        </is>
      </c>
      <c r="S3244" s="3" t="inlineStr">
        <is>
          <t>주거나지</t>
        </is>
      </c>
      <c r="T3244" s="3" t="inlineStr">
        <is>
          <t>평지</t>
        </is>
      </c>
      <c r="U3244" s="3" t="inlineStr">
        <is>
          <t>세로장방</t>
        </is>
      </c>
      <c r="V3244" s="3" t="inlineStr">
        <is>
          <t>소로한면</t>
        </is>
      </c>
    </row>
    <row r="3245">
      <c r="A3245" s="3" t="inlineStr">
        <is>
          <t>세종특별자치시 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96.7p, 단지 맞은편, 사거리 코너자리</t>
        </is>
      </c>
      <c r="L3245" s="6">
        <f>HYPERLINK("https://fin.land.naver.com/articles/2647425590", "매물Link")</f>
        <v/>
      </c>
      <c r="M3245" s="6">
        <f>HYPERLINK("https://map.naver.com/p/search/세종특별자치시 아름동 1452", "지도Link")</f>
        <v/>
      </c>
      <c r="N3245" s="6">
        <f>HYPERLINK("http://www.eum.go.kr/web/ar/lu/luLandDet.jsp?pnu=3611011300114520000&amp;isNoScr=script&amp;mode=search", "토지이음")</f>
        <v/>
      </c>
      <c r="O3245" s="3" t="inlineStr">
        <is>
          <t>세종무지개</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세종특별자치시 아름동 1452</t>
        </is>
      </c>
      <c r="B3246" s="3" t="inlineStr">
        <is>
          <t>제1종전용주거지역</t>
        </is>
      </c>
      <c r="C3246" s="3" t="inlineStr">
        <is>
          <t>대</t>
        </is>
      </c>
      <c r="D3246" s="3" t="inlineStr">
        <is>
          <t>대</t>
        </is>
      </c>
      <c r="E3246" s="3" t="inlineStr">
        <is>
          <t>매매</t>
        </is>
      </c>
      <c r="F3246" s="4" t="n">
        <v>55000</v>
      </c>
      <c r="G3246" s="4" t="n">
        <v>319</v>
      </c>
      <c r="H3246" s="4" t="n">
        <v>96</v>
      </c>
      <c r="I3246" s="5" t="n">
        <v>572.9</v>
      </c>
      <c r="J3246" s="4" t="n">
        <v>334.5</v>
      </c>
      <c r="K3246" s="3" t="inlineStr">
        <is>
          <t>총 96.7p, 12단지 맞은편 위치좋은 단독주택지</t>
        </is>
      </c>
      <c r="L3246" s="6">
        <f>HYPERLINK("https://fin.land.naver.com/articles/2645650952", "매물Link")</f>
        <v/>
      </c>
      <c r="M3246" s="6">
        <f>HYPERLINK("https://map.naver.com/p/search/세종특별자치시 아름동 1452", "지도Link")</f>
        <v/>
      </c>
      <c r="N3246" s="6">
        <f>HYPERLINK("http://www.eum.go.kr/web/ar/lu/luLandDet.jsp?pnu=3611011300114520000&amp;isNoScr=script&amp;mode=search", "토지이음")</f>
        <v/>
      </c>
      <c r="O3246" s="3" t="inlineStr">
        <is>
          <t>명진</t>
        </is>
      </c>
      <c r="P3246" s="3" t="n">
        <v>1</v>
      </c>
      <c r="Q3246" s="3" t="n">
        <v>319</v>
      </c>
      <c r="R3246" s="3" t="inlineStr">
        <is>
          <t>지정되지않음</t>
        </is>
      </c>
      <c r="S3246" s="3" t="inlineStr">
        <is>
          <t>주거나지</t>
        </is>
      </c>
      <c r="T3246" s="3" t="inlineStr">
        <is>
          <t>평지</t>
        </is>
      </c>
      <c r="U3246" s="3" t="inlineStr">
        <is>
          <t>사다리형</t>
        </is>
      </c>
      <c r="V3246" s="3" t="inlineStr">
        <is>
          <t>소로한면</t>
        </is>
      </c>
    </row>
    <row r="3247">
      <c r="A3247" s="3" t="inlineStr">
        <is>
          <t>세종특별자치시 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데이터센터, 방송국 사옥부지, 조율가능, 정보통신업 추천</t>
        </is>
      </c>
      <c r="L3247" s="6">
        <f>HYPERLINK("https://fin.land.naver.com/articles/2647424416", "매물Link")</f>
        <v/>
      </c>
      <c r="M3247" s="6">
        <f>HYPERLINK("https://map.naver.com/p/search/세종특별자치시 아름동 815", "지도Link")</f>
        <v/>
      </c>
      <c r="N3247" s="6">
        <f>HYPERLINK("http://www.eum.go.kr/web/ar/lu/luLandDet.jsp?pnu=3611011300108150000&amp;isNoScr=script&amp;mode=search", "토지이음")</f>
        <v/>
      </c>
      <c r="O3247" s="3" t="inlineStr">
        <is>
          <t>세종무지개</t>
        </is>
      </c>
      <c r="P3247" s="3" t="n">
        <v>1</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세종특별자치시 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조율가능 도심 데이터센터 사옥 방송국 통신사 데이터센터 출판사 프로그래밍</t>
        </is>
      </c>
      <c r="L3248" s="6">
        <f>HYPERLINK("https://fin.land.naver.com/articles/2649619371", "매물Link")</f>
        <v/>
      </c>
      <c r="M3248" s="6">
        <f>HYPERLINK("https://map.naver.com/p/search/세종특별자치시 아름동 815", "지도Link")</f>
        <v/>
      </c>
      <c r="N3248" s="6">
        <f>HYPERLINK("http://www.eum.go.kr/web/ar/lu/luLandDet.jsp?pnu=3611011300108150000&amp;isNoScr=script&amp;mode=search", "토지이음")</f>
        <v/>
      </c>
      <c r="O3248" s="3" t="inlineStr">
        <is>
          <t>세종스타</t>
        </is>
      </c>
      <c r="P3248" s="3" t="n">
        <v>2</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세종특별자치시 아름동 815</t>
        </is>
      </c>
      <c r="B3249" s="3" t="inlineStr">
        <is>
          <t>제2종일반주거지역</t>
        </is>
      </c>
      <c r="C3249" s="3" t="inlineStr">
        <is>
          <t>대</t>
        </is>
      </c>
      <c r="D3249" s="3" t="inlineStr">
        <is>
          <t>대</t>
        </is>
      </c>
      <c r="E3249" s="3" t="inlineStr">
        <is>
          <t>매매</t>
        </is>
      </c>
      <c r="F3249" s="4" t="n">
        <v>120000</v>
      </c>
      <c r="G3249" s="4" t="n">
        <v>500</v>
      </c>
      <c r="H3249" s="4" t="n">
        <v>151</v>
      </c>
      <c r="I3249" s="5" t="n">
        <v>794.7</v>
      </c>
      <c r="J3249" s="4" t="n">
        <v>172.1</v>
      </c>
      <c r="K3249" s="3" t="inlineStr">
        <is>
          <t>151.5p, 데이터센터, 방송관련 사옥 추천, 조율가능, 입지좋은 토지</t>
        </is>
      </c>
      <c r="L3249" s="6">
        <f>HYPERLINK("https://fin.land.naver.com/articles/2649023062", "매물Link")</f>
        <v/>
      </c>
      <c r="M3249" s="6">
        <f>HYPERLINK("https://map.naver.com/p/search/세종특별자치시 아름동 815", "지도Link")</f>
        <v/>
      </c>
      <c r="N3249" s="6">
        <f>HYPERLINK("http://www.eum.go.kr/web/ar/lu/luLandDet.jsp?pnu=3611011300108150000&amp;isNoScr=script&amp;mode=search", "토지이음")</f>
        <v/>
      </c>
      <c r="O3249" s="3" t="inlineStr">
        <is>
          <t>명진</t>
        </is>
      </c>
      <c r="P3249" s="3" t="n">
        <v>1</v>
      </c>
      <c r="Q3249" s="3" t="n">
        <v>500</v>
      </c>
      <c r="R3249" s="3" t="inlineStr">
        <is>
          <t>지정되지않음</t>
        </is>
      </c>
      <c r="S3249" s="3" t="inlineStr">
        <is>
          <t>도로등</t>
        </is>
      </c>
      <c r="T3249" s="3" t="inlineStr">
        <is>
          <t>평지</t>
        </is>
      </c>
      <c r="U3249" s="3" t="inlineStr">
        <is>
          <t>부정형</t>
        </is>
      </c>
      <c r="V3249" s="3" t="inlineStr">
        <is>
          <t>지정되지않음</t>
        </is>
      </c>
    </row>
    <row r="3250">
      <c r="A3250" s="3" t="inlineStr">
        <is>
          <t>세종특별자치시 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HYPERLINK("https://map.naver.com/p/search/세종특별자치시 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세종특별자치시 아름동 826</t>
        </is>
      </c>
      <c r="B3251" s="3" t="inlineStr">
        <is>
          <t>제1종전용주거지역</t>
        </is>
      </c>
      <c r="C3251" s="3" t="inlineStr">
        <is>
          <t>대</t>
        </is>
      </c>
      <c r="D3251" s="3" t="inlineStr">
        <is>
          <t>대</t>
        </is>
      </c>
      <c r="E3251" s="3" t="inlineStr">
        <is>
          <t>매매</t>
        </is>
      </c>
      <c r="F3251" s="4" t="n">
        <v>65000</v>
      </c>
      <c r="G3251" s="4" t="n">
        <v>305</v>
      </c>
      <c r="H3251" s="4" t="n">
        <v>92</v>
      </c>
      <c r="I3251" s="5" t="n">
        <v>706.5</v>
      </c>
      <c r="J3251" s="4" t="n">
        <v>339.5</v>
      </c>
      <c r="K3251" s="3" t="inlineStr">
        <is>
          <t>아름동 국제고 인근, 입지좋은 단독주택 토지매매</t>
        </is>
      </c>
      <c r="L3251" s="6">
        <f>HYPERLINK("https://fin.land.naver.com/articles/2648188007", "매물Link")</f>
        <v/>
      </c>
      <c r="M3251" s="6">
        <f>HYPERLINK("https://map.naver.com/p/search/세종특별자치시 아름동 826", "지도Link")</f>
        <v/>
      </c>
      <c r="N3251" s="6">
        <f>HYPERLINK("http://www.eum.go.kr/web/ar/lu/luLandDet.jsp?pnu=3611011300108260000&amp;isNoScr=script&amp;mode=search", "토지이음")</f>
        <v/>
      </c>
      <c r="O3251" s="3" t="inlineStr">
        <is>
          <t>명진</t>
        </is>
      </c>
      <c r="P3251" s="3" t="n">
        <v>1</v>
      </c>
      <c r="Q3251" s="3" t="n">
        <v>305.5</v>
      </c>
      <c r="R3251" s="3" t="inlineStr">
        <is>
          <t>지정되지않음</t>
        </is>
      </c>
      <c r="S3251" s="3" t="inlineStr">
        <is>
          <t>주거나지</t>
        </is>
      </c>
      <c r="T3251" s="3" t="inlineStr">
        <is>
          <t>평지</t>
        </is>
      </c>
      <c r="U3251" s="3" t="inlineStr">
        <is>
          <t>정방형</t>
        </is>
      </c>
      <c r="V3251" s="3" t="inlineStr">
        <is>
          <t>소로한면</t>
        </is>
      </c>
    </row>
    <row r="3252">
      <c r="A3252" s="3" t="inlineStr">
        <is>
          <t>세종특별자치시 아름동 847</t>
        </is>
      </c>
      <c r="B3252" s="3" t="inlineStr">
        <is>
          <t>제1종전용주거지역</t>
        </is>
      </c>
      <c r="C3252" s="3" t="inlineStr">
        <is>
          <t>대</t>
        </is>
      </c>
      <c r="D3252" s="3" t="inlineStr">
        <is>
          <t>대</t>
        </is>
      </c>
      <c r="E3252" s="3" t="inlineStr">
        <is>
          <t>매매</t>
        </is>
      </c>
      <c r="F3252" s="4" t="n">
        <v>65000</v>
      </c>
      <c r="G3252" s="4" t="n">
        <v>347</v>
      </c>
      <c r="H3252" s="4" t="n">
        <v>105</v>
      </c>
      <c r="I3252" s="5" t="n">
        <v>619</v>
      </c>
      <c r="J3252" s="4" t="n">
        <v>339.8</v>
      </c>
      <c r="K3252" s="3" t="inlineStr">
        <is>
          <t>급매, 땅모양 방향 최적의 위치, 추천매매</t>
        </is>
      </c>
      <c r="L3252" s="6">
        <f>HYPERLINK("https://fin.land.naver.com/articles/2648795212", "매물Link")</f>
        <v/>
      </c>
      <c r="M3252" s="6">
        <f>HYPERLINK("https://map.naver.com/p/search/세종특별자치시 아름동 847", "지도Link")</f>
        <v/>
      </c>
      <c r="N3252" s="6">
        <f>HYPERLINK("http://www.eum.go.kr/web/ar/lu/luLandDet.jsp?pnu=3611011300108470000&amp;isNoScr=script&amp;mode=search", "토지이음")</f>
        <v/>
      </c>
      <c r="O3252" s="3" t="inlineStr">
        <is>
          <t>한림신화</t>
        </is>
      </c>
      <c r="P3252" s="3" t="n">
        <v>1</v>
      </c>
      <c r="Q3252" s="3" t="n">
        <v>346.5</v>
      </c>
      <c r="R3252" s="3" t="inlineStr">
        <is>
          <t>지정되지않음</t>
        </is>
      </c>
      <c r="S3252" s="3" t="inlineStr">
        <is>
          <t>주거나지</t>
        </is>
      </c>
      <c r="T3252" s="3" t="inlineStr">
        <is>
          <t>평지</t>
        </is>
      </c>
      <c r="U3252" s="3" t="inlineStr">
        <is>
          <t>가로장방</t>
        </is>
      </c>
      <c r="V3252" s="3" t="inlineStr">
        <is>
          <t>소로한면</t>
        </is>
      </c>
    </row>
    <row r="3253">
      <c r="A3253" s="3" t="inlineStr">
        <is>
          <t>세종특별자치시 아름동 863</t>
        </is>
      </c>
      <c r="B3253" s="3" t="inlineStr">
        <is>
          <t>제1종전용주거지역</t>
        </is>
      </c>
      <c r="C3253" s="3" t="inlineStr">
        <is>
          <t>대</t>
        </is>
      </c>
      <c r="D3253" s="3" t="inlineStr">
        <is>
          <t>대</t>
        </is>
      </c>
      <c r="E3253" s="3" t="inlineStr">
        <is>
          <t>매매</t>
        </is>
      </c>
      <c r="F3253" s="4" t="n">
        <v>80000</v>
      </c>
      <c r="G3253" s="4" t="n">
        <v>316</v>
      </c>
      <c r="H3253" s="4" t="n">
        <v>96</v>
      </c>
      <c r="I3253" s="5" t="n">
        <v>833.3</v>
      </c>
      <c r="J3253" s="4" t="n">
        <v>339.8</v>
      </c>
      <c r="K3253" s="3" t="inlineStr">
        <is>
          <t>세종 국제고, 영재고, 충대병원, 공원인접한 살기 좋은 동네 택지</t>
        </is>
      </c>
      <c r="L3253" s="6">
        <f>HYPERLINK("https://fin.land.naver.com/articles/2644541517", "매물Link")</f>
        <v/>
      </c>
      <c r="M3253" s="6">
        <f>HYPERLINK("https://map.naver.com/p/search/세종특별자치시 아름동 863", "지도Link")</f>
        <v/>
      </c>
      <c r="N3253" s="6">
        <f>HYPERLINK("http://www.eum.go.kr/web/ar/lu/luLandDet.jsp?pnu=3611011300108630000&amp;isNoScr=script&amp;mode=search", "토지이음")</f>
        <v/>
      </c>
      <c r="O3253" s="3" t="inlineStr">
        <is>
          <t>새롬삼둥이</t>
        </is>
      </c>
      <c r="P3253" s="3" t="n">
        <v>2</v>
      </c>
      <c r="Q3253" s="3" t="n">
        <v>316</v>
      </c>
      <c r="R3253" s="3" t="inlineStr">
        <is>
          <t>지정되지않음</t>
        </is>
      </c>
      <c r="S3253" s="3" t="inlineStr">
        <is>
          <t>주거나지</t>
        </is>
      </c>
      <c r="T3253" s="3" t="inlineStr">
        <is>
          <t>평지</t>
        </is>
      </c>
      <c r="U3253" s="3" t="inlineStr">
        <is>
          <t>가로장방</t>
        </is>
      </c>
      <c r="V3253" s="3" t="inlineStr">
        <is>
          <t>소로한면</t>
        </is>
      </c>
    </row>
    <row r="3254">
      <c r="A3254" s="3" t="inlineStr">
        <is>
          <t>세종특별자치시 아름동 872</t>
        </is>
      </c>
      <c r="B3254" s="3" t="inlineStr">
        <is>
          <t>제1종전용주거지역</t>
        </is>
      </c>
      <c r="C3254" s="3" t="inlineStr">
        <is>
          <t>대</t>
        </is>
      </c>
      <c r="D3254" s="3" t="inlineStr">
        <is>
          <t>대</t>
        </is>
      </c>
      <c r="E3254" s="3" t="inlineStr">
        <is>
          <t>매매</t>
        </is>
      </c>
      <c r="F3254" s="4" t="n">
        <v>50000</v>
      </c>
      <c r="G3254" s="4" t="n">
        <v>340</v>
      </c>
      <c r="H3254" s="4" t="n">
        <v>103</v>
      </c>
      <c r="I3254" s="5" t="n">
        <v>485.4</v>
      </c>
      <c r="J3254" s="4" t="n">
        <v>339.5</v>
      </c>
      <c r="K3254" s="3" t="inlineStr">
        <is>
          <t>5억으로 인하. 아름동 국제고 예술영재고인근. 충남대병원 5분</t>
        </is>
      </c>
      <c r="L3254" s="6">
        <f>HYPERLINK("https://fin.land.naver.com/articles/2645602488", "매물Link")</f>
        <v/>
      </c>
      <c r="M3254" s="6">
        <f>HYPERLINK("https://map.naver.com/p/search/세종특별자치시 아름동 872", "지도Link")</f>
        <v/>
      </c>
      <c r="N3254" s="6">
        <f>HYPERLINK("http://www.eum.go.kr/web/ar/lu/luLandDet.jsp?pnu=3611011300108720000&amp;isNoScr=script&amp;mode=search", "토지이음")</f>
        <v/>
      </c>
      <c r="O3254" s="3" t="inlineStr">
        <is>
          <t>미스터홈즈강남지사</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세종특별자치시 아름동 874</t>
        </is>
      </c>
      <c r="B3255" s="3" t="inlineStr">
        <is>
          <t>제1종전용주거지역</t>
        </is>
      </c>
      <c r="C3255" s="3" t="inlineStr">
        <is>
          <t>대</t>
        </is>
      </c>
      <c r="D3255" s="3" t="inlineStr">
        <is>
          <t>대</t>
        </is>
      </c>
      <c r="E3255" s="3" t="inlineStr">
        <is>
          <t>매매</t>
        </is>
      </c>
      <c r="F3255" s="4" t="n">
        <v>70000</v>
      </c>
      <c r="G3255" s="4" t="n">
        <v>340</v>
      </c>
      <c r="H3255" s="4" t="n">
        <v>103</v>
      </c>
      <c r="I3255" s="5" t="n">
        <v>679.6</v>
      </c>
      <c r="J3255" s="4" t="n">
        <v>339.5</v>
      </c>
      <c r="K3255" s="3" t="inlineStr">
        <is>
          <t>103p, 충대병원인근, 아름동 입지좋은 토지</t>
        </is>
      </c>
      <c r="L3255" s="6">
        <f>HYPERLINK("https://fin.land.naver.com/articles/2648832833", "매물Link")</f>
        <v/>
      </c>
      <c r="M3255" s="6">
        <f>HYPERLINK("https://map.naver.com/p/search/세종특별자치시 아름동 874", "지도Link")</f>
        <v/>
      </c>
      <c r="N3255" s="6">
        <f>HYPERLINK("http://www.eum.go.kr/web/ar/lu/luLandDet.jsp?pnu=3611011300108740000&amp;isNoScr=script&amp;mode=search", "토지이음")</f>
        <v/>
      </c>
      <c r="O3255" s="3" t="inlineStr">
        <is>
          <t>세종무지개</t>
        </is>
      </c>
      <c r="P3255" s="3" t="n">
        <v>1</v>
      </c>
      <c r="Q3255" s="3" t="n">
        <v>340</v>
      </c>
      <c r="R3255" s="3" t="inlineStr">
        <is>
          <t>지정되지않음</t>
        </is>
      </c>
      <c r="S3255" s="3" t="inlineStr">
        <is>
          <t>주거나지</t>
        </is>
      </c>
      <c r="T3255" s="3" t="inlineStr">
        <is>
          <t>평지</t>
        </is>
      </c>
      <c r="U3255" s="3" t="inlineStr">
        <is>
          <t>정방형</t>
        </is>
      </c>
      <c r="V3255" s="3" t="inlineStr">
        <is>
          <t>소로한면</t>
        </is>
      </c>
    </row>
    <row r="3256">
      <c r="A3256" s="3" t="inlineStr">
        <is>
          <t>세종특별자치시 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HYPERLINK("https://map.naver.com/p/search/세종특별자치시 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세종특별자치시 아름동 879</t>
        </is>
      </c>
      <c r="B3257" s="3" t="inlineStr">
        <is>
          <t>제1종전용주거지역</t>
        </is>
      </c>
      <c r="C3257" s="3" t="inlineStr">
        <is>
          <t>대</t>
        </is>
      </c>
      <c r="D3257" s="3" t="inlineStr">
        <is>
          <t>대</t>
        </is>
      </c>
      <c r="E3257" s="3" t="inlineStr">
        <is>
          <t>매매</t>
        </is>
      </c>
      <c r="F3257" s="4" t="n">
        <v>59000</v>
      </c>
      <c r="G3257" s="4" t="n">
        <v>321</v>
      </c>
      <c r="H3257" s="4" t="n">
        <v>97</v>
      </c>
      <c r="I3257" s="5" t="n">
        <v>608.2</v>
      </c>
      <c r="J3257" s="4" t="n">
        <v>339.8</v>
      </c>
      <c r="K3257" s="3" t="inlineStr">
        <is>
          <t>급매 ,아름동 최상 택지,충남대병원 인접 생활권 편리,어린이공원접</t>
        </is>
      </c>
      <c r="L3257" s="6">
        <f>HYPERLINK("https://fin.land.naver.com/articles/2644749470", "매물Link")</f>
        <v/>
      </c>
      <c r="M3257" s="6">
        <f>HYPERLINK("https://map.naver.com/p/search/세종특별자치시 아름동 879", "지도Link")</f>
        <v/>
      </c>
      <c r="N3257" s="6">
        <f>HYPERLINK("http://www.eum.go.kr/web/ar/lu/luLandDet.jsp?pnu=3611011300108790000&amp;isNoScr=script&amp;mode=search", "토지이음")</f>
        <v/>
      </c>
      <c r="O3257" s="3" t="inlineStr">
        <is>
          <t>고운맘</t>
        </is>
      </c>
      <c r="P3257" s="3" t="n">
        <v>1</v>
      </c>
      <c r="Q3257" s="3" t="n">
        <v>321.9</v>
      </c>
      <c r="R3257" s="3" t="inlineStr">
        <is>
          <t>지정되지않음</t>
        </is>
      </c>
      <c r="S3257" s="3" t="inlineStr">
        <is>
          <t>주거나지</t>
        </is>
      </c>
      <c r="T3257" s="3" t="inlineStr">
        <is>
          <t>평지</t>
        </is>
      </c>
      <c r="U3257" s="3" t="inlineStr">
        <is>
          <t>가로장방</t>
        </is>
      </c>
      <c r="V3257" s="3" t="inlineStr">
        <is>
          <t>소로한면</t>
        </is>
      </c>
    </row>
    <row r="3258">
      <c r="A3258" s="3" t="inlineStr">
        <is>
          <t>세종특별자치시 아름동 881</t>
        </is>
      </c>
      <c r="B3258" s="3" t="inlineStr">
        <is>
          <t>제1종전용주거지역</t>
        </is>
      </c>
      <c r="C3258" s="3" t="inlineStr">
        <is>
          <t>대</t>
        </is>
      </c>
      <c r="D3258" s="3" t="inlineStr">
        <is>
          <t>대</t>
        </is>
      </c>
      <c r="E3258" s="3" t="inlineStr">
        <is>
          <t>매매</t>
        </is>
      </c>
      <c r="F3258" s="4" t="n">
        <v>74000</v>
      </c>
      <c r="G3258" s="4" t="n">
        <v>326</v>
      </c>
      <c r="H3258" s="4" t="n">
        <v>99</v>
      </c>
      <c r="I3258" s="5" t="n">
        <v>747.5</v>
      </c>
      <c r="J3258" s="4" t="n">
        <v>339.8</v>
      </c>
      <c r="K3258" s="3" t="inlineStr">
        <is>
          <t>입출입이 편리한 단독주택지입니다.</t>
        </is>
      </c>
      <c r="L3258" s="6">
        <f>HYPERLINK("https://fin.land.naver.com/articles/2646607893", "매물Link")</f>
        <v/>
      </c>
      <c r="M3258" s="6">
        <f>HYPERLINK("https://map.naver.com/p/search/세종특별자치시 아름동 881", "지도Link")</f>
        <v/>
      </c>
      <c r="N3258" s="6">
        <f>HYPERLINK("http://www.eum.go.kr/web/ar/lu/luLandDet.jsp?pnu=3611011300108810000&amp;isNoScr=script&amp;mode=search", "토지이음")</f>
        <v/>
      </c>
      <c r="O3258" s="3" t="inlineStr">
        <is>
          <t>아름</t>
        </is>
      </c>
      <c r="P3258" s="3" t="n">
        <v>1</v>
      </c>
      <c r="Q3258" s="3" t="n">
        <v>326.2</v>
      </c>
      <c r="R3258" s="3" t="inlineStr">
        <is>
          <t>지정되지않음</t>
        </is>
      </c>
      <c r="S3258" s="3" t="inlineStr">
        <is>
          <t>주거나지</t>
        </is>
      </c>
      <c r="T3258" s="3" t="inlineStr">
        <is>
          <t>평지</t>
        </is>
      </c>
      <c r="U3258" s="3" t="inlineStr">
        <is>
          <t>가로장방</t>
        </is>
      </c>
      <c r="V3258" s="3" t="inlineStr">
        <is>
          <t>소로한면</t>
        </is>
      </c>
    </row>
    <row r="3259">
      <c r="A3259" s="3" t="inlineStr">
        <is>
          <t>세종특별자치시 아름동 914</t>
        </is>
      </c>
      <c r="B3259" s="3" t="inlineStr">
        <is>
          <t>제1종전용주거지역</t>
        </is>
      </c>
      <c r="C3259" s="3" t="inlineStr">
        <is>
          <t>대</t>
        </is>
      </c>
      <c r="D3259" s="3" t="inlineStr">
        <is>
          <t>대</t>
        </is>
      </c>
      <c r="E3259" s="3" t="inlineStr">
        <is>
          <t>매매</t>
        </is>
      </c>
      <c r="F3259" s="4" t="n">
        <v>80000</v>
      </c>
      <c r="G3259" s="4" t="n">
        <v>318</v>
      </c>
      <c r="H3259" s="4" t="n">
        <v>96</v>
      </c>
      <c r="I3259" s="5" t="n">
        <v>833.3</v>
      </c>
      <c r="J3259" s="4" t="n">
        <v>330.6</v>
      </c>
      <c r="K3259" s="3" t="inlineStr">
        <is>
          <t>네모 반듯한 예쁜 토지.국제고,영재고 인근.햇볕 잘 드는 최고의 토지.</t>
        </is>
      </c>
      <c r="L3259" s="6">
        <f>HYPERLINK("https://fin.land.naver.com/articles/2644954236", "매물Link")</f>
        <v/>
      </c>
      <c r="M3259" s="6">
        <f>HYPERLINK("https://map.naver.com/p/search/세종특별자치시 아름동 914", "지도Link")</f>
        <v/>
      </c>
      <c r="N3259" s="6">
        <f>HYPERLINK("http://www.eum.go.kr/web/ar/lu/luLandDet.jsp?pnu=3611011300109140000&amp;isNoScr=script&amp;mode=search", "토지이음")</f>
        <v/>
      </c>
      <c r="O3259" s="3" t="inlineStr">
        <is>
          <t>수자인</t>
        </is>
      </c>
      <c r="P3259" s="3" t="n">
        <v>1</v>
      </c>
      <c r="Q3259" s="3" t="n">
        <v>318.7</v>
      </c>
      <c r="R3259" s="3" t="inlineStr">
        <is>
          <t>지정되지않음</t>
        </is>
      </c>
      <c r="S3259" s="3" t="inlineStr">
        <is>
          <t>주거나지</t>
        </is>
      </c>
      <c r="T3259" s="3" t="inlineStr">
        <is>
          <t>평지</t>
        </is>
      </c>
      <c r="U3259" s="3" t="inlineStr">
        <is>
          <t>가로장방</t>
        </is>
      </c>
      <c r="V3259" s="3" t="inlineStr">
        <is>
          <t>소로한면</t>
        </is>
      </c>
    </row>
    <row r="3260">
      <c r="A3260" s="3" t="inlineStr">
        <is>
          <t>세종특별자치시 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90.6p, 국제고 인근, 공원인접, 조율가능</t>
        </is>
      </c>
      <c r="L3260" s="6">
        <f>HYPERLINK("https://fin.land.naver.com/articles/2644185217", "매물Link")</f>
        <v/>
      </c>
      <c r="M3260" s="6">
        <f>HYPERLINK("https://map.naver.com/p/search/세종특별자치시 아름동 925", "지도Link")</f>
        <v/>
      </c>
      <c r="N3260" s="6">
        <f>HYPERLINK("http://www.eum.go.kr/web/ar/lu/luLandDet.jsp?pnu=3611011300109250000&amp;isNoScr=script&amp;mode=search", "토지이음")</f>
        <v/>
      </c>
      <c r="O3260" s="3" t="inlineStr">
        <is>
          <t>세종무지개</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세종특별자치시 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아름동 국제고 인근 위치 좋은 토지 매매</t>
        </is>
      </c>
      <c r="L3261" s="6">
        <f>HYPERLINK("https://fin.land.naver.com/articles/2645495174", "매물Link")</f>
        <v/>
      </c>
      <c r="M3261" s="6">
        <f>HYPERLINK("https://map.naver.com/p/search/세종특별자치시 아름동 925", "지도Link")</f>
        <v/>
      </c>
      <c r="N3261" s="6">
        <f>HYPERLINK("http://www.eum.go.kr/web/ar/lu/luLandDet.jsp?pnu=3611011300109250000&amp;isNoScr=script&amp;mode=search", "토지이음")</f>
        <v/>
      </c>
      <c r="O3261" s="3" t="inlineStr">
        <is>
          <t>명진</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세종특별자치시 아름동 925</t>
        </is>
      </c>
      <c r="B3262" s="3" t="inlineStr">
        <is>
          <t>제1종전용주거지역</t>
        </is>
      </c>
      <c r="C3262" s="3" t="inlineStr">
        <is>
          <t>대</t>
        </is>
      </c>
      <c r="D3262" s="3" t="inlineStr">
        <is>
          <t>대</t>
        </is>
      </c>
      <c r="E3262" s="3" t="inlineStr">
        <is>
          <t>매매</t>
        </is>
      </c>
      <c r="F3262" s="4" t="n">
        <v>82000</v>
      </c>
      <c r="G3262" s="4" t="n">
        <v>298</v>
      </c>
      <c r="H3262" s="4" t="n">
        <v>90</v>
      </c>
      <c r="I3262" s="5" t="n">
        <v>911.1</v>
      </c>
      <c r="J3262" s="4" t="n">
        <v>339.8</v>
      </c>
      <c r="K3262" s="3" t="inlineStr">
        <is>
          <t>국제고인근 위치좋은 코너각지, 공원인접,보행로연결</t>
        </is>
      </c>
      <c r="L3262" s="6">
        <f>HYPERLINK("https://fin.land.naver.com/articles/2644476344", "매물Link")</f>
        <v/>
      </c>
      <c r="M3262" s="6">
        <f>HYPERLINK("https://map.naver.com/p/search/세종특별자치시 아름동 925", "지도Link")</f>
        <v/>
      </c>
      <c r="N3262" s="6">
        <f>HYPERLINK("http://www.eum.go.kr/web/ar/lu/luLandDet.jsp?pnu=3611011300109250000&amp;isNoScr=script&amp;mode=search", "토지이음")</f>
        <v/>
      </c>
      <c r="O3262" s="3" t="inlineStr">
        <is>
          <t>똑똑</t>
        </is>
      </c>
      <c r="P3262" s="3" t="n">
        <v>1</v>
      </c>
      <c r="Q3262" s="3" t="n">
        <v>298.9</v>
      </c>
      <c r="R3262" s="3" t="inlineStr">
        <is>
          <t>지정되지않음</t>
        </is>
      </c>
      <c r="S3262" s="3" t="inlineStr">
        <is>
          <t>주거나지</t>
        </is>
      </c>
      <c r="T3262" s="3" t="inlineStr">
        <is>
          <t>평지</t>
        </is>
      </c>
      <c r="U3262" s="3" t="inlineStr">
        <is>
          <t>세로장방</t>
        </is>
      </c>
      <c r="V3262" s="3" t="inlineStr">
        <is>
          <t>소로한면</t>
        </is>
      </c>
    </row>
    <row r="3263">
      <c r="A3263" s="3" t="inlineStr">
        <is>
          <t>세종특별자치시 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90.6p, 국제고, 충남대병원 인근 아름동 단독주택지</t>
        </is>
      </c>
      <c r="L3263" s="6">
        <f>HYPERLINK("https://fin.land.naver.com/articles/2648905732", "매물Link")</f>
        <v/>
      </c>
      <c r="M3263" s="6">
        <f>HYPERLINK("https://map.naver.com/p/search/세종특별자치시 아름동 929", "지도Link")</f>
        <v/>
      </c>
      <c r="N3263" s="6">
        <f>HYPERLINK("http://www.eum.go.kr/web/ar/lu/luLandDet.jsp?pnu=3611011300109290000&amp;isNoScr=script&amp;mode=search", "토지이음")</f>
        <v/>
      </c>
      <c r="O3263" s="3" t="inlineStr">
        <is>
          <t>명진</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세종특별자치시 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급매매,앞,뒤 양면도로 접한  토지</t>
        </is>
      </c>
      <c r="L3264" s="6">
        <f>HYPERLINK("https://fin.land.naver.com/articles/2649757754", "매물Link")</f>
        <v/>
      </c>
      <c r="M3264" s="6">
        <f>HYPERLINK("https://map.naver.com/p/search/세종특별자치시 아름동 929", "지도Link")</f>
        <v/>
      </c>
      <c r="N3264" s="6">
        <f>HYPERLINK("http://www.eum.go.kr/web/ar/lu/luLandDet.jsp?pnu=3611011300109290000&amp;isNoScr=script&amp;mode=search", "토지이음")</f>
        <v/>
      </c>
      <c r="O3264" s="3" t="inlineStr">
        <is>
          <t>킹세종</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세종특별자치시 아름동 929</t>
        </is>
      </c>
      <c r="B3265" s="3" t="inlineStr">
        <is>
          <t>제1종전용주거지역</t>
        </is>
      </c>
      <c r="C3265" s="3" t="inlineStr">
        <is>
          <t>대</t>
        </is>
      </c>
      <c r="D3265" s="3" t="inlineStr">
        <is>
          <t>대</t>
        </is>
      </c>
      <c r="E3265" s="3" t="inlineStr">
        <is>
          <t>매매</t>
        </is>
      </c>
      <c r="F3265" s="4" t="n">
        <v>63000</v>
      </c>
      <c r="G3265" s="4" t="n">
        <v>299</v>
      </c>
      <c r="H3265" s="4" t="n">
        <v>90</v>
      </c>
      <c r="I3265" s="5" t="n">
        <v>700</v>
      </c>
      <c r="J3265" s="4" t="n">
        <v>339.8</v>
      </c>
      <c r="K3265" s="3" t="inlineStr">
        <is>
          <t>총 90.6p, 국제고인근 단독주택 토지매매</t>
        </is>
      </c>
      <c r="L3265" s="6">
        <f>HYPERLINK("https://fin.land.naver.com/articles/2646693683", "매물Link")</f>
        <v/>
      </c>
      <c r="M3265" s="6">
        <f>HYPERLINK("https://map.naver.com/p/search/세종특별자치시 아름동 929", "지도Link")</f>
        <v/>
      </c>
      <c r="N3265" s="6">
        <f>HYPERLINK("http://www.eum.go.kr/web/ar/lu/luLandDet.jsp?pnu=3611011300109290000&amp;isNoScr=script&amp;mode=search", "토지이음")</f>
        <v/>
      </c>
      <c r="O3265" s="3" t="inlineStr">
        <is>
          <t>세종무지개</t>
        </is>
      </c>
      <c r="P3265" s="3" t="n">
        <v>1</v>
      </c>
      <c r="Q3265" s="3" t="n">
        <v>299.1</v>
      </c>
      <c r="R3265" s="3" t="inlineStr">
        <is>
          <t>지정되지않음</t>
        </is>
      </c>
      <c r="S3265" s="3" t="inlineStr">
        <is>
          <t>주거나지</t>
        </is>
      </c>
      <c r="T3265" s="3" t="inlineStr">
        <is>
          <t>평지</t>
        </is>
      </c>
      <c r="U3265" s="3" t="inlineStr">
        <is>
          <t>세로장방</t>
        </is>
      </c>
      <c r="V3265" s="3" t="inlineStr">
        <is>
          <t>소로한면</t>
        </is>
      </c>
    </row>
    <row r="3266">
      <c r="A3266" s="3" t="inlineStr">
        <is>
          <t>세종특별자치시 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삼거리 코너, 아름동 입지 좋은 단독주택지</t>
        </is>
      </c>
      <c r="L3266" s="6">
        <f>HYPERLINK("https://fin.land.naver.com/articles/2647424901", "매물Link")</f>
        <v/>
      </c>
      <c r="M3266" s="6">
        <f>HYPERLINK("https://map.naver.com/p/search/세종특별자치시 아름동 961", "지도Link")</f>
        <v/>
      </c>
      <c r="N3266" s="6">
        <f>HYPERLINK("http://www.eum.go.kr/web/ar/lu/luLandDet.jsp?pnu=3611011300109610000&amp;isNoScr=script&amp;mode=search", "토지이음")</f>
        <v/>
      </c>
      <c r="O3266" s="3" t="inlineStr">
        <is>
          <t>명진</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세종특별자치시 아름동 961</t>
        </is>
      </c>
      <c r="B3267" s="3" t="inlineStr">
        <is>
          <t>제1종전용주거지역</t>
        </is>
      </c>
      <c r="C3267" s="3" t="inlineStr">
        <is>
          <t>대</t>
        </is>
      </c>
      <c r="D3267" s="3" t="inlineStr">
        <is>
          <t>대</t>
        </is>
      </c>
      <c r="E3267" s="3" t="inlineStr">
        <is>
          <t>매매</t>
        </is>
      </c>
      <c r="F3267" s="4" t="n">
        <v>65000</v>
      </c>
      <c r="G3267" s="4" t="n">
        <v>299</v>
      </c>
      <c r="H3267" s="4" t="n">
        <v>90</v>
      </c>
      <c r="I3267" s="5" t="n">
        <v>722.2</v>
      </c>
      <c r="J3267" s="4" t="n">
        <v>344.5</v>
      </c>
      <c r="K3267" s="3" t="inlineStr">
        <is>
          <t>좋은매물 단독주택등추천 협의</t>
        </is>
      </c>
      <c r="L3267" s="6">
        <f>HYPERLINK("https://fin.land.naver.com/articles/2645254792", "매물Link")</f>
        <v/>
      </c>
      <c r="M3267" s="6">
        <f>HYPERLINK("https://map.naver.com/p/search/세종특별자치시 아름동 961", "지도Link")</f>
        <v/>
      </c>
      <c r="N3267" s="6">
        <f>HYPERLINK("http://www.eum.go.kr/web/ar/lu/luLandDet.jsp?pnu=3611011300109610000&amp;isNoScr=script&amp;mode=search", "토지이음")</f>
        <v/>
      </c>
      <c r="O3267" s="3" t="inlineStr">
        <is>
          <t>세석</t>
        </is>
      </c>
      <c r="P3267" s="3" t="n">
        <v>1</v>
      </c>
      <c r="Q3267" s="3" t="n">
        <v>299.1</v>
      </c>
      <c r="R3267" s="3" t="inlineStr">
        <is>
          <t>지정되지않음</t>
        </is>
      </c>
      <c r="S3267" s="3" t="inlineStr">
        <is>
          <t>주거나지</t>
        </is>
      </c>
      <c r="T3267" s="3" t="inlineStr">
        <is>
          <t>평지</t>
        </is>
      </c>
      <c r="U3267" s="3" t="inlineStr">
        <is>
          <t>세로장방</t>
        </is>
      </c>
      <c r="V3267" s="3" t="inlineStr">
        <is>
          <t>소로각지</t>
        </is>
      </c>
    </row>
    <row r="3268">
      <c r="A3268" s="3" t="inlineStr">
        <is>
          <t>세종특별자치시 아름동 962</t>
        </is>
      </c>
      <c r="B3268" s="3" t="inlineStr">
        <is>
          <t>제1종전용주거지역</t>
        </is>
      </c>
      <c r="C3268" s="3" t="inlineStr">
        <is>
          <t>대</t>
        </is>
      </c>
      <c r="D3268" s="3" t="inlineStr">
        <is>
          <t>대</t>
        </is>
      </c>
      <c r="E3268" s="3" t="inlineStr">
        <is>
          <t>매매</t>
        </is>
      </c>
      <c r="F3268" s="4" t="n">
        <v>51000</v>
      </c>
      <c r="G3268" s="4" t="n">
        <v>300</v>
      </c>
      <c r="H3268" s="4" t="n">
        <v>91</v>
      </c>
      <c r="I3268" s="5" t="n">
        <v>560.4</v>
      </c>
      <c r="J3268" s="4" t="n">
        <v>330.6</v>
      </c>
      <c r="K3268" s="3" t="inlineStr">
        <is>
          <t>급매토지입니다. 도심속 전원주택지</t>
        </is>
      </c>
      <c r="L3268" s="6">
        <f>HYPERLINK("https://fin.land.naver.com/articles/2646906071", "매물Link")</f>
        <v/>
      </c>
      <c r="M3268" s="6">
        <f>HYPERLINK("https://map.naver.com/p/search/세종특별자치시 아름동 962", "지도Link")</f>
        <v/>
      </c>
      <c r="N3268" s="6">
        <f>HYPERLINK("http://www.eum.go.kr/web/ar/lu/luLandDet.jsp?pnu=3611011300109620000&amp;isNoScr=script&amp;mode=search", "토지이음")</f>
        <v/>
      </c>
      <c r="O3268" s="3" t="inlineStr">
        <is>
          <t>장원</t>
        </is>
      </c>
      <c r="P3268" s="3" t="n">
        <v>1</v>
      </c>
      <c r="Q3268" s="3" t="n">
        <v>300</v>
      </c>
      <c r="R3268" s="3" t="inlineStr">
        <is>
          <t>지정되지않음</t>
        </is>
      </c>
      <c r="S3268" s="3" t="inlineStr">
        <is>
          <t>주거나지</t>
        </is>
      </c>
      <c r="T3268" s="3" t="inlineStr">
        <is>
          <t>평지</t>
        </is>
      </c>
      <c r="U3268" s="3" t="inlineStr">
        <is>
          <t>가로장방</t>
        </is>
      </c>
      <c r="V3268" s="3" t="inlineStr">
        <is>
          <t>소로한면</t>
        </is>
      </c>
    </row>
    <row r="3269">
      <c r="A3269" s="3" t="inlineStr">
        <is>
          <t>세종특별자치시 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급매,전원주택지로 충대병원 인접, 교통 및 학군 편리한 생활권</t>
        </is>
      </c>
      <c r="L3269" s="6">
        <f>HYPERLINK("https://fin.land.naver.com/articles/2644766386", "매물Link")</f>
        <v/>
      </c>
      <c r="M3269" s="6">
        <f>HYPERLINK("https://map.naver.com/p/search/세종특별자치시 아름동 963", "지도Link")</f>
        <v/>
      </c>
      <c r="N3269" s="6">
        <f>HYPERLINK("http://www.eum.go.kr/web/ar/lu/luLandDet.jsp?pnu=3611011300109630000&amp;isNoScr=script&amp;mode=search", "토지이음")</f>
        <v/>
      </c>
      <c r="O3269" s="3" t="inlineStr">
        <is>
          <t>고운맘</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세종특별자치시 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조율가능, 급매, 아름동 위치좋은 단독주택지</t>
        </is>
      </c>
      <c r="L3270" s="6">
        <f>HYPERLINK("https://fin.land.naver.com/articles/2649873097", "매물Link")</f>
        <v/>
      </c>
      <c r="M3270" s="6">
        <f>HYPERLINK("https://map.naver.com/p/search/세종특별자치시 아름동 963", "지도Link")</f>
        <v/>
      </c>
      <c r="N3270" s="6">
        <f>HYPERLINK("http://www.eum.go.kr/web/ar/lu/luLandDet.jsp?pnu=3611011300109630000&amp;isNoScr=script&amp;mode=search", "토지이음")</f>
        <v/>
      </c>
      <c r="O3270" s="3" t="inlineStr">
        <is>
          <t>명진</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세종특별자치시 아름동 963</t>
        </is>
      </c>
      <c r="B3271" s="3" t="inlineStr">
        <is>
          <t>제1종전용주거지역</t>
        </is>
      </c>
      <c r="C3271" s="3" t="inlineStr">
        <is>
          <t>대</t>
        </is>
      </c>
      <c r="D3271" s="3" t="inlineStr">
        <is>
          <t>대</t>
        </is>
      </c>
      <c r="E3271" s="3" t="inlineStr">
        <is>
          <t>매매</t>
        </is>
      </c>
      <c r="F3271" s="4" t="n">
        <v>60000</v>
      </c>
      <c r="G3271" s="4" t="n">
        <v>298</v>
      </c>
      <c r="H3271" s="4" t="n">
        <v>90</v>
      </c>
      <c r="I3271" s="5" t="n">
        <v>666.7</v>
      </c>
      <c r="J3271" s="4" t="n">
        <v>330.6</v>
      </c>
      <c r="K3271" s="3" t="inlineStr">
        <is>
          <t>언덕형 지대높음 채광 개방감 좋음 조율가능</t>
        </is>
      </c>
      <c r="L3271" s="6">
        <f>HYPERLINK("https://fin.land.naver.com/articles/2644909025", "매물Link")</f>
        <v/>
      </c>
      <c r="M3271" s="6">
        <f>HYPERLINK("https://map.naver.com/p/search/세종특별자치시 아름동 963", "지도Link")</f>
        <v/>
      </c>
      <c r="N3271" s="6">
        <f>HYPERLINK("http://www.eum.go.kr/web/ar/lu/luLandDet.jsp?pnu=3611011300109630000&amp;isNoScr=script&amp;mode=search", "토지이음")</f>
        <v/>
      </c>
      <c r="O3271" s="3" t="inlineStr">
        <is>
          <t>세종스타</t>
        </is>
      </c>
      <c r="P3271" s="3" t="n">
        <v>1</v>
      </c>
      <c r="Q3271" s="3" t="n">
        <v>298.9</v>
      </c>
      <c r="R3271" s="3" t="inlineStr">
        <is>
          <t>지정되지않음</t>
        </is>
      </c>
      <c r="S3271" s="3" t="inlineStr">
        <is>
          <t>주거나지</t>
        </is>
      </c>
      <c r="T3271" s="3" t="inlineStr">
        <is>
          <t>평지</t>
        </is>
      </c>
      <c r="U3271" s="3" t="inlineStr">
        <is>
          <t>가로장방</t>
        </is>
      </c>
      <c r="V3271" s="3" t="inlineStr">
        <is>
          <t>소로한면</t>
        </is>
      </c>
    </row>
    <row r="3272">
      <c r="A3272" s="3" t="inlineStr">
        <is>
          <t>세종특별자치시 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총 90.6p, 사거리 코너 입지, 가격 최대 조율가능</t>
        </is>
      </c>
      <c r="L3272" s="6">
        <f>HYPERLINK("https://fin.land.naver.com/articles/2647421860", "매물Link")</f>
        <v/>
      </c>
      <c r="M3272" s="6">
        <f>HYPERLINK("https://map.naver.com/p/search/세종특별자치시 아름동 964", "지도Link")</f>
        <v/>
      </c>
      <c r="N3272" s="6">
        <f>HYPERLINK("http://www.eum.go.kr/web/ar/lu/luLandDet.jsp?pnu=3611011300109640000&amp;isNoScr=script&amp;mode=search", "토지이음")</f>
        <v/>
      </c>
      <c r="O3272" s="3" t="inlineStr">
        <is>
          <t>명진</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세종특별자치시 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국제고인근.코너각지. 충대병원인접. 위치,교통 편리한 지역.조정가능</t>
        </is>
      </c>
      <c r="L3273" s="6">
        <f>HYPERLINK("https://fin.land.naver.com/articles/2646141675", "매물Link")</f>
        <v/>
      </c>
      <c r="M3273" s="6">
        <f>HYPERLINK("https://map.naver.com/p/search/세종특별자치시 아름동 964", "지도Link")</f>
        <v/>
      </c>
      <c r="N3273" s="6">
        <f>HYPERLINK("http://www.eum.go.kr/web/ar/lu/luLandDet.jsp?pnu=3611011300109640000&amp;isNoScr=script&amp;mode=search", "토지이음")</f>
        <v/>
      </c>
      <c r="O3273" s="3" t="inlineStr">
        <is>
          <t>새롬삼둥이</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세종특별자치시 아름동 964</t>
        </is>
      </c>
      <c r="B3274" s="3" t="inlineStr">
        <is>
          <t>제1종전용주거지역</t>
        </is>
      </c>
      <c r="C3274" s="3" t="inlineStr">
        <is>
          <t>대</t>
        </is>
      </c>
      <c r="D3274" s="3" t="inlineStr">
        <is>
          <t>대</t>
        </is>
      </c>
      <c r="E3274" s="3" t="inlineStr">
        <is>
          <t>매매</t>
        </is>
      </c>
      <c r="F3274" s="4" t="n">
        <v>77000</v>
      </c>
      <c r="G3274" s="4" t="n">
        <v>298</v>
      </c>
      <c r="H3274" s="4" t="n">
        <v>90</v>
      </c>
      <c r="I3274" s="5" t="n">
        <v>855.6</v>
      </c>
      <c r="J3274" s="4" t="n">
        <v>344.5</v>
      </c>
      <c r="K3274" s="3" t="inlineStr">
        <is>
          <t>총 90.6p, 조율가능, 아름동 단독주택지, 국제고 인근</t>
        </is>
      </c>
      <c r="L3274" s="6">
        <f>HYPERLINK("https://fin.land.naver.com/articles/2646692307", "매물Link")</f>
        <v/>
      </c>
      <c r="M3274" s="6">
        <f>HYPERLINK("https://map.naver.com/p/search/세종특별자치시 아름동 964", "지도Link")</f>
        <v/>
      </c>
      <c r="N3274" s="6">
        <f>HYPERLINK("http://www.eum.go.kr/web/ar/lu/luLandDet.jsp?pnu=3611011300109640000&amp;isNoScr=script&amp;mode=search", "토지이음")</f>
        <v/>
      </c>
      <c r="O3274" s="3" t="inlineStr">
        <is>
          <t>세종무지개</t>
        </is>
      </c>
      <c r="P3274" s="3" t="n">
        <v>1</v>
      </c>
      <c r="Q3274" s="3" t="n">
        <v>298.9</v>
      </c>
      <c r="R3274" s="3" t="inlineStr">
        <is>
          <t>지정되지않음</t>
        </is>
      </c>
      <c r="S3274" s="3" t="inlineStr">
        <is>
          <t>주거나지</t>
        </is>
      </c>
      <c r="T3274" s="3" t="inlineStr">
        <is>
          <t>평지</t>
        </is>
      </c>
      <c r="U3274" s="3" t="inlineStr">
        <is>
          <t>세로장방</t>
        </is>
      </c>
      <c r="V3274" s="3" t="inlineStr">
        <is>
          <t>소로각지</t>
        </is>
      </c>
    </row>
    <row r="3275">
      <c r="A3275" s="3" t="inlineStr">
        <is>
          <t>세종특별자치시 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국제고, 영재고, 충대병원인근, IC인접 107.2p</t>
        </is>
      </c>
      <c r="L3275" s="6">
        <f>HYPERLINK("https://fin.land.naver.com/articles/2646690781", "매물Link")</f>
        <v/>
      </c>
      <c r="M3275" s="6">
        <f>HYPERLINK("https://map.naver.com/p/search/세종특별자치시 아름동 966", "지도Link")</f>
        <v/>
      </c>
      <c r="N3275" s="6">
        <f>HYPERLINK("http://www.eum.go.kr/web/ar/lu/luLandDet.jsp?pnu=3611011300109660000&amp;isNoScr=script&amp;mode=search", "토지이음")</f>
        <v/>
      </c>
      <c r="O3275" s="3" t="inlineStr">
        <is>
          <t>세종무지개</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세종특별자치시 아름동 966</t>
        </is>
      </c>
      <c r="B3276" s="3" t="inlineStr">
        <is>
          <t>제1종전용주거지역</t>
        </is>
      </c>
      <c r="C3276" s="3" t="inlineStr">
        <is>
          <t>대</t>
        </is>
      </c>
      <c r="D3276" s="3" t="inlineStr">
        <is>
          <t>대</t>
        </is>
      </c>
      <c r="E3276" s="3" t="inlineStr">
        <is>
          <t>매매</t>
        </is>
      </c>
      <c r="F3276" s="4" t="n">
        <v>85000</v>
      </c>
      <c r="G3276" s="4" t="n">
        <v>353</v>
      </c>
      <c r="H3276" s="4" t="n">
        <v>107</v>
      </c>
      <c r="I3276" s="5" t="n">
        <v>794.4</v>
      </c>
      <c r="J3276" s="4" t="n">
        <v>330.6</v>
      </c>
      <c r="K3276" s="3" t="inlineStr">
        <is>
          <t>총 107.2p, 국제고, 충남대병원인근</t>
        </is>
      </c>
      <c r="L3276" s="6">
        <f>HYPERLINK("https://fin.land.naver.com/articles/2648127229", "매물Link")</f>
        <v/>
      </c>
      <c r="M3276" s="6">
        <f>HYPERLINK("https://map.naver.com/p/search/세종특별자치시 아름동 966", "지도Link")</f>
        <v/>
      </c>
      <c r="N3276" s="6">
        <f>HYPERLINK("http://www.eum.go.kr/web/ar/lu/luLandDet.jsp?pnu=3611011300109660000&amp;isNoScr=script&amp;mode=search", "토지이음")</f>
        <v/>
      </c>
      <c r="O3276" s="3" t="inlineStr">
        <is>
          <t>명진</t>
        </is>
      </c>
      <c r="P3276" s="3" t="n">
        <v>1</v>
      </c>
      <c r="Q3276" s="3" t="n">
        <v>353.6</v>
      </c>
      <c r="R3276" s="3" t="inlineStr">
        <is>
          <t>지정되지않음</t>
        </is>
      </c>
      <c r="S3276" s="3" t="inlineStr">
        <is>
          <t>주거나지</t>
        </is>
      </c>
      <c r="T3276" s="3" t="inlineStr">
        <is>
          <t>평지</t>
        </is>
      </c>
      <c r="U3276" s="3" t="inlineStr">
        <is>
          <t>가로장방</t>
        </is>
      </c>
      <c r="V3276" s="3" t="inlineStr">
        <is>
          <t>소로한면</t>
        </is>
      </c>
    </row>
    <row r="3277">
      <c r="A3277" s="3" t="inlineStr">
        <is>
          <t>세종특별자치시 아름동 971</t>
        </is>
      </c>
      <c r="B3277" s="3" t="inlineStr">
        <is>
          <t>제1종전용주거지역</t>
        </is>
      </c>
      <c r="C3277" s="3" t="inlineStr">
        <is>
          <t>대</t>
        </is>
      </c>
      <c r="D3277" s="3" t="inlineStr">
        <is>
          <t>대</t>
        </is>
      </c>
      <c r="E3277" s="3" t="inlineStr">
        <is>
          <t>매매</t>
        </is>
      </c>
      <c r="F3277" s="4" t="n">
        <v>79560</v>
      </c>
      <c r="G3277" s="4" t="n">
        <v>308</v>
      </c>
      <c r="H3277" s="4" t="n">
        <v>93</v>
      </c>
      <c r="I3277" s="5" t="n">
        <v>855.5</v>
      </c>
      <c r="J3277" s="4" t="n">
        <v>330.6</v>
      </c>
      <c r="K3277" s="3" t="inlineStr">
        <is>
          <t>공원앞, 충대병원, 국제고 인근, 아름동 단독주택지</t>
        </is>
      </c>
      <c r="L3277" s="6">
        <f>HYPERLINK("https://fin.land.naver.com/articles/2644187008", "매물Link")</f>
        <v/>
      </c>
      <c r="M3277" s="6">
        <f>HYPERLINK("https://map.naver.com/p/search/세종특별자치시 아름동 971", "지도Link")</f>
        <v/>
      </c>
      <c r="N3277" s="6">
        <f>HYPERLINK("http://www.eum.go.kr/web/ar/lu/luLandDet.jsp?pnu=3611011300109710000&amp;isNoScr=script&amp;mode=search", "토지이음")</f>
        <v/>
      </c>
      <c r="O3277" s="3" t="inlineStr">
        <is>
          <t>세종무지개</t>
        </is>
      </c>
      <c r="P3277" s="3" t="n">
        <v>1</v>
      </c>
      <c r="Q3277" s="3" t="n">
        <v>308.9</v>
      </c>
      <c r="R3277" s="3" t="inlineStr">
        <is>
          <t>지정되지않음</t>
        </is>
      </c>
      <c r="S3277" s="3" t="inlineStr">
        <is>
          <t>주거나지</t>
        </is>
      </c>
      <c r="T3277" s="3" t="inlineStr">
        <is>
          <t>평지</t>
        </is>
      </c>
      <c r="U3277" s="3" t="inlineStr">
        <is>
          <t>가로장방</t>
        </is>
      </c>
      <c r="V3277" s="3" t="inlineStr">
        <is>
          <t>소로한면</t>
        </is>
      </c>
    </row>
    <row r="3278">
      <c r="A3278" s="3" t="inlineStr">
        <is>
          <t>세종특별자치시 아름동 994</t>
        </is>
      </c>
      <c r="B3278" s="3" t="inlineStr">
        <is>
          <t>제1종전용주거지역</t>
        </is>
      </c>
      <c r="C3278" s="3" t="inlineStr">
        <is>
          <t>대</t>
        </is>
      </c>
      <c r="D3278" s="3" t="inlineStr">
        <is>
          <t>대</t>
        </is>
      </c>
      <c r="E3278" s="3" t="inlineStr">
        <is>
          <t>매매</t>
        </is>
      </c>
      <c r="F3278" s="4" t="n">
        <v>75000</v>
      </c>
      <c r="G3278" s="4" t="n">
        <v>324</v>
      </c>
      <c r="H3278" s="4" t="n">
        <v>98</v>
      </c>
      <c r="I3278" s="5" t="n">
        <v>765.3</v>
      </c>
      <c r="J3278" s="4" t="n">
        <v>335.5</v>
      </c>
      <c r="K3278" s="3" t="inlineStr">
        <is>
          <t>급매 최상단 뻥조망 위치최상 벙커주차장가능</t>
        </is>
      </c>
      <c r="L3278" s="6">
        <f>HYPERLINK("https://fin.land.naver.com/articles/2644917613", "매물Link")</f>
        <v/>
      </c>
      <c r="M3278" s="6">
        <f>HYPERLINK("https://map.naver.com/p/search/세종특별자치시 아름동 994", "지도Link")</f>
        <v/>
      </c>
      <c r="N3278" s="6">
        <f>HYPERLINK("http://www.eum.go.kr/web/ar/lu/luLandDet.jsp?pnu=3611011300109940000&amp;isNoScr=script&amp;mode=search", "토지이음")</f>
        <v/>
      </c>
      <c r="O3278" s="3" t="inlineStr">
        <is>
          <t>세종스타</t>
        </is>
      </c>
      <c r="P3278" s="3" t="n">
        <v>1</v>
      </c>
      <c r="Q3278" s="3" t="n">
        <v>324</v>
      </c>
      <c r="R3278" s="3" t="inlineStr">
        <is>
          <t>지정되지않음</t>
        </is>
      </c>
      <c r="S3278" s="3" t="inlineStr">
        <is>
          <t>주거나지</t>
        </is>
      </c>
      <c r="T3278" s="3" t="inlineStr">
        <is>
          <t>평지</t>
        </is>
      </c>
      <c r="U3278" s="3" t="inlineStr">
        <is>
          <t>정방형</t>
        </is>
      </c>
      <c r="V3278" s="3" t="inlineStr">
        <is>
          <t>소로한면</t>
        </is>
      </c>
    </row>
    <row r="3279">
      <c r="A3279" s="3" t="inlineStr">
        <is>
          <t>세종특별자치시 어진동 499-40</t>
        </is>
      </c>
      <c r="B3279" s="3" t="inlineStr">
        <is>
          <t>제1종전용주거지역</t>
        </is>
      </c>
      <c r="C3279" s="3" t="inlineStr">
        <is>
          <t>대</t>
        </is>
      </c>
      <c r="D3279" s="3" t="inlineStr">
        <is>
          <t>대</t>
        </is>
      </c>
      <c r="E3279" s="3" t="inlineStr">
        <is>
          <t>매매</t>
        </is>
      </c>
      <c r="F3279" s="4" t="n">
        <v>128000</v>
      </c>
      <c r="G3279" s="4" t="n">
        <v>420</v>
      </c>
      <c r="H3279" s="4" t="n">
        <v>127</v>
      </c>
      <c r="I3279" s="5" t="n">
        <v>1007.9</v>
      </c>
      <c r="J3279" s="4" t="n">
        <v>358</v>
      </c>
      <c r="K3279" s="3" t="inlineStr">
        <is>
          <t>급매 세종시 최고택지 더빌리지 조율가능</t>
        </is>
      </c>
      <c r="L3279" s="6">
        <f>HYPERLINK("https://fin.land.naver.com/articles/2647125993", "매물Link")</f>
        <v/>
      </c>
      <c r="M3279" s="6">
        <f>HYPERLINK("https://map.naver.com/p/search/세종특별자치시 어진동 499-40", "지도Link")</f>
        <v/>
      </c>
      <c r="N3279" s="6">
        <f>HYPERLINK("http://www.eum.go.kr/web/ar/lu/luLandDet.jsp?pnu=3611011000104990040&amp;isNoScr=script&amp;mode=search", "토지이음")</f>
        <v/>
      </c>
      <c r="O3279" s="3" t="inlineStr">
        <is>
          <t>세종스타</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세종특별자치시 어진동 499-40</t>
        </is>
      </c>
      <c r="B3280" s="3" t="inlineStr">
        <is>
          <t>제1종전용주거지역</t>
        </is>
      </c>
      <c r="C3280" s="3" t="inlineStr">
        <is>
          <t>대</t>
        </is>
      </c>
      <c r="D3280" s="3" t="inlineStr">
        <is>
          <t>대</t>
        </is>
      </c>
      <c r="E3280" s="3" t="inlineStr">
        <is>
          <t>매매</t>
        </is>
      </c>
      <c r="F3280" s="4" t="n">
        <v>128000</v>
      </c>
      <c r="G3280" s="4" t="n">
        <v>418</v>
      </c>
      <c r="H3280" s="4" t="n">
        <v>126</v>
      </c>
      <c r="I3280" s="5" t="n">
        <v>1015.9</v>
      </c>
      <c r="J3280" s="4" t="n">
        <v>358</v>
      </c>
      <c r="K3280" s="3" t="inlineStr">
        <is>
          <t>고급 타운하우스 전원주택지 매매, 가격 좋고 입지 좋은 곳</t>
        </is>
      </c>
      <c r="L3280" s="6">
        <f>HYPERLINK("https://fin.land.naver.com/articles/2645493601", "매물Link")</f>
        <v/>
      </c>
      <c r="M3280" s="6">
        <f>HYPERLINK("https://map.naver.com/p/search/세종특별자치시 어진동 499-40", "지도Link")</f>
        <v/>
      </c>
      <c r="N3280" s="6">
        <f>HYPERLINK("http://www.eum.go.kr/web/ar/lu/luLandDet.jsp?pnu=3611011000104990040&amp;isNoScr=script&amp;mode=search", "토지이음")</f>
        <v/>
      </c>
      <c r="O3280" s="3" t="inlineStr">
        <is>
          <t>명진</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세종특별자치시 어진동 499-40</t>
        </is>
      </c>
      <c r="B3281" s="3" t="inlineStr">
        <is>
          <t>제1종전용주거지역</t>
        </is>
      </c>
      <c r="C3281" s="3" t="inlineStr">
        <is>
          <t>대</t>
        </is>
      </c>
      <c r="D3281" s="3" t="inlineStr">
        <is>
          <t>대</t>
        </is>
      </c>
      <c r="E3281" s="3" t="inlineStr">
        <is>
          <t>매매</t>
        </is>
      </c>
      <c r="F3281" s="4" t="n">
        <v>128000</v>
      </c>
      <c r="G3281" s="4" t="n">
        <v>420</v>
      </c>
      <c r="H3281" s="4" t="n">
        <v>127</v>
      </c>
      <c r="I3281" s="5" t="n">
        <v>1007.9</v>
      </c>
      <c r="J3281" s="4" t="n">
        <v>358</v>
      </c>
      <c r="K3281" s="3" t="inlineStr">
        <is>
          <t>더빌리지 급매, BRT, 학교인근, 블럭형 단독주택지</t>
        </is>
      </c>
      <c r="L3281" s="6">
        <f>HYPERLINK("https://fin.land.naver.com/articles/2645253068", "매물Link")</f>
        <v/>
      </c>
      <c r="M3281" s="6">
        <f>HYPERLINK("https://map.naver.com/p/search/세종특별자치시 어진동 499-40", "지도Link")</f>
        <v/>
      </c>
      <c r="N3281" s="6">
        <f>HYPERLINK("http://www.eum.go.kr/web/ar/lu/luLandDet.jsp?pnu=3611011000104990040&amp;isNoScr=script&amp;mode=search", "토지이음")</f>
        <v/>
      </c>
      <c r="O3281" s="3" t="inlineStr">
        <is>
          <t>세종무지개</t>
        </is>
      </c>
      <c r="P3281" s="3" t="n">
        <v>1</v>
      </c>
      <c r="Q3281" s="3" t="n">
        <v>420</v>
      </c>
      <c r="R3281" s="3" t="inlineStr">
        <is>
          <t>지정되지않음</t>
        </is>
      </c>
      <c r="S3281" s="3" t="inlineStr">
        <is>
          <t>주거나지</t>
        </is>
      </c>
      <c r="T3281" s="3" t="inlineStr">
        <is>
          <t>평지</t>
        </is>
      </c>
      <c r="U3281" s="3" t="inlineStr">
        <is>
          <t>정방형</t>
        </is>
      </c>
      <c r="V3281" s="3" t="inlineStr">
        <is>
          <t>세로한면(가)</t>
        </is>
      </c>
    </row>
    <row r="3282">
      <c r="A3282" s="3" t="inlineStr">
        <is>
          <t>세종특별자치시 연기면 눌왕리 103</t>
        </is>
      </c>
      <c r="B3282" s="3" t="inlineStr">
        <is>
          <t>계획관리지역</t>
        </is>
      </c>
      <c r="C3282" s="3" t="inlineStr">
        <is>
          <t>답</t>
        </is>
      </c>
      <c r="D3282" s="3" t="inlineStr">
        <is>
          <t>답</t>
        </is>
      </c>
      <c r="E3282" s="3" t="inlineStr">
        <is>
          <t>매매</t>
        </is>
      </c>
      <c r="F3282" s="4" t="n">
        <v>300000</v>
      </c>
      <c r="G3282" s="4" t="n">
        <v>4526</v>
      </c>
      <c r="H3282" s="4" t="n">
        <v>1369</v>
      </c>
      <c r="I3282" s="5" t="n">
        <v>219.1</v>
      </c>
      <c r="J3282" s="4" t="n">
        <v>67.90000000000001</v>
      </c>
      <c r="K3282" s="3" t="inlineStr">
        <is>
          <t>투자최고물건 진입도로 인근아파트단지개발</t>
        </is>
      </c>
      <c r="L3282" s="6">
        <f>HYPERLINK("https://fin.land.naver.com/articles/2647657465", "매물Link")</f>
        <v/>
      </c>
      <c r="M3282" s="6">
        <f>HYPERLINK("https://map.naver.com/p/search/세종특별자치시 연기면 눌왕리 103", "지도Link")</f>
        <v/>
      </c>
      <c r="N3282" s="6">
        <f>HYPERLINK("http://www.eum.go.kr/web/ar/lu/luLandDet.jsp?pnu=3611031023101030000&amp;isNoScr=script&amp;mode=search", "토지이음")</f>
        <v/>
      </c>
      <c r="O3282" s="3" t="inlineStr">
        <is>
          <t>세종대왕</t>
        </is>
      </c>
      <c r="P3282" s="3" t="n">
        <v>1</v>
      </c>
      <c r="Q3282" s="3" t="n">
        <v>4526</v>
      </c>
      <c r="R3282" s="3" t="inlineStr">
        <is>
          <t>지정되지않음</t>
        </is>
      </c>
      <c r="S3282" s="3" t="inlineStr">
        <is>
          <t>답</t>
        </is>
      </c>
      <c r="T3282" s="3" t="inlineStr">
        <is>
          <t>평지</t>
        </is>
      </c>
      <c r="U3282" s="3" t="inlineStr">
        <is>
          <t>부정형</t>
        </is>
      </c>
      <c r="V3282" s="3" t="inlineStr">
        <is>
          <t>세로한면(가)</t>
        </is>
      </c>
    </row>
    <row r="3283">
      <c r="A3283" s="3" t="inlineStr">
        <is>
          <t>세종특별자치시 연기면 눌왕리 121-1</t>
        </is>
      </c>
      <c r="B3283" s="3" t="inlineStr">
        <is>
          <t>농림지역</t>
        </is>
      </c>
      <c r="C3283" s="3" t="inlineStr">
        <is>
          <t>답</t>
        </is>
      </c>
      <c r="D3283" s="3" t="inlineStr">
        <is>
          <t>답</t>
        </is>
      </c>
      <c r="E3283" s="3" t="inlineStr">
        <is>
          <t>매매</t>
        </is>
      </c>
      <c r="F3283" s="4" t="n">
        <v>189500</v>
      </c>
      <c r="G3283" s="4" t="n">
        <v>2505</v>
      </c>
      <c r="H3283" s="4" t="n">
        <v>758</v>
      </c>
      <c r="I3283" s="5" t="n">
        <v>250</v>
      </c>
      <c r="J3283" s="4" t="n">
        <v>65.59999999999999</v>
      </c>
      <c r="K3283" s="3" t="inlineStr">
        <is>
          <t>2차선 도로변,주변 호재로 투자가치 상승 예상지역</t>
        </is>
      </c>
      <c r="L3283" s="6">
        <f>HYPERLINK("https://fin.land.naver.com/articles/2649636393", "매물Link")</f>
        <v/>
      </c>
      <c r="M3283" s="6">
        <f>HYPERLINK("https://map.naver.com/p/search/세종특별자치시 연기면 눌왕리 121-1", "지도Link")</f>
        <v/>
      </c>
      <c r="N3283" s="6">
        <f>HYPERLINK("http://www.eum.go.kr/web/ar/lu/luLandDet.jsp?pnu=3611031023101210001&amp;isNoScr=script&amp;mode=search", "토지이음")</f>
        <v/>
      </c>
      <c r="O3283" s="3" t="inlineStr">
        <is>
          <t>가치잇는</t>
        </is>
      </c>
      <c r="P3283" s="3" t="n">
        <v>1</v>
      </c>
      <c r="Q3283" s="3" t="n">
        <v>2505</v>
      </c>
      <c r="R3283" s="3" t="inlineStr">
        <is>
          <t>지정되지않음</t>
        </is>
      </c>
      <c r="S3283" s="3" t="inlineStr">
        <is>
          <t>답기타</t>
        </is>
      </c>
      <c r="T3283" s="3" t="inlineStr">
        <is>
          <t>평지</t>
        </is>
      </c>
      <c r="U3283" s="3" t="inlineStr">
        <is>
          <t>부정형</t>
        </is>
      </c>
      <c r="V3283" s="3" t="inlineStr">
        <is>
          <t>소로한면</t>
        </is>
      </c>
    </row>
    <row r="3284">
      <c r="A3284" s="3" t="inlineStr">
        <is>
          <t>세종특별자치시 연기면 눌왕리 149-1</t>
        </is>
      </c>
      <c r="B3284" s="3" t="inlineStr">
        <is>
          <t>농림지역</t>
        </is>
      </c>
      <c r="C3284" s="3" t="inlineStr">
        <is>
          <t>답</t>
        </is>
      </c>
      <c r="D3284" s="3" t="inlineStr">
        <is>
          <t>답</t>
        </is>
      </c>
      <c r="E3284" s="3" t="inlineStr">
        <is>
          <t>매매</t>
        </is>
      </c>
      <c r="F3284" s="4" t="n">
        <v>73000</v>
      </c>
      <c r="G3284" s="4" t="n">
        <v>1205</v>
      </c>
      <c r="H3284" s="4" t="n">
        <v>365</v>
      </c>
      <c r="I3284" s="5" t="n">
        <v>200</v>
      </c>
      <c r="J3284" s="4" t="n">
        <v>59.8</v>
      </c>
      <c r="K3284" s="3" t="inlineStr">
        <is>
          <t>도로접,주변 개발 기대감으로 가치상승 유망</t>
        </is>
      </c>
      <c r="L3284" s="6">
        <f>HYPERLINK("https://fin.land.naver.com/articles/2646798916", "매물Link")</f>
        <v/>
      </c>
      <c r="M3284" s="6">
        <f>HYPERLINK("https://map.naver.com/p/search/세종특별자치시 연기면 눌왕리 149-1", "지도Link")</f>
        <v/>
      </c>
      <c r="N3284" s="6">
        <f>HYPERLINK("http://www.eum.go.kr/web/ar/lu/luLandDet.jsp?pnu=3611031023101490001&amp;isNoScr=script&amp;mode=search", "토지이음")</f>
        <v/>
      </c>
      <c r="O3284" s="3" t="inlineStr">
        <is>
          <t>가치잇는</t>
        </is>
      </c>
      <c r="P3284" s="3" t="n">
        <v>1</v>
      </c>
      <c r="Q3284" s="3" t="n">
        <v>1205</v>
      </c>
      <c r="R3284" s="3" t="inlineStr">
        <is>
          <t>지정되지않음</t>
        </is>
      </c>
      <c r="S3284" s="3" t="inlineStr">
        <is>
          <t>답</t>
        </is>
      </c>
      <c r="T3284" s="3" t="inlineStr">
        <is>
          <t>평지</t>
        </is>
      </c>
      <c r="U3284" s="3" t="inlineStr">
        <is>
          <t>가로장방</t>
        </is>
      </c>
      <c r="V3284" s="3" t="inlineStr">
        <is>
          <t>세로한면(가)</t>
        </is>
      </c>
    </row>
    <row r="3285">
      <c r="A3285" s="3" t="inlineStr">
        <is>
          <t>세종특별자치시 연기면 눌왕리 151-1</t>
        </is>
      </c>
      <c r="B3285" s="3" t="inlineStr">
        <is>
          <t>농림지역</t>
        </is>
      </c>
      <c r="C3285" s="3" t="inlineStr">
        <is>
          <t>전</t>
        </is>
      </c>
      <c r="D3285" s="3" t="inlineStr">
        <is>
          <t>전</t>
        </is>
      </c>
      <c r="E3285" s="3" t="inlineStr">
        <is>
          <t>매매</t>
        </is>
      </c>
      <c r="F3285" s="4" t="n">
        <v>133760</v>
      </c>
      <c r="G3285" s="4" t="n">
        <v>2330</v>
      </c>
      <c r="H3285" s="4" t="n">
        <v>705</v>
      </c>
      <c r="I3285" s="5" t="n">
        <v>189.7</v>
      </c>
      <c r="J3285" s="4" t="n">
        <v>55.9</v>
      </c>
      <c r="K3285" s="3" t="inlineStr">
        <is>
          <t>지주작업 진행중 아파트 개발 기대감 최고 눌왕리 도로접 알짜 과수원</t>
        </is>
      </c>
      <c r="L3285" s="6">
        <f>HYPERLINK("https://fin.land.naver.com/articles/2645022610", "매물Link")</f>
        <v/>
      </c>
      <c r="M3285" s="6">
        <f>HYPERLINK("https://map.naver.com/p/search/세종특별자치시 연기면 눌왕리 151-1", "지도Link")</f>
        <v/>
      </c>
      <c r="N3285" s="6">
        <f>HYPERLINK("http://www.eum.go.kr/web/ar/lu/luLandDet.jsp?pnu=3611031023101510001&amp;isNoScr=script&amp;mode=search", "토지이음")</f>
        <v/>
      </c>
      <c r="O3285" s="3" t="inlineStr">
        <is>
          <t>한아름</t>
        </is>
      </c>
      <c r="P3285" s="3" t="n">
        <v>1</v>
      </c>
      <c r="Q3285" s="3" t="n">
        <v>4660</v>
      </c>
      <c r="R3285" s="3" t="inlineStr">
        <is>
          <t>지정되지않음</t>
        </is>
      </c>
      <c r="S3285" s="3" t="inlineStr">
        <is>
          <t>전</t>
        </is>
      </c>
      <c r="T3285" s="3" t="inlineStr">
        <is>
          <t>평지</t>
        </is>
      </c>
      <c r="U3285" s="3" t="inlineStr">
        <is>
          <t>세로장방</t>
        </is>
      </c>
      <c r="V3285" s="3" t="inlineStr">
        <is>
          <t>세로한면(가)</t>
        </is>
      </c>
    </row>
    <row r="3286">
      <c r="A3286" s="3" t="inlineStr">
        <is>
          <t>세종특별자치시 연기면 눌왕리 152-1</t>
        </is>
      </c>
      <c r="B3286" s="3" t="inlineStr">
        <is>
          <t>농림지역</t>
        </is>
      </c>
      <c r="C3286" s="3" t="inlineStr">
        <is>
          <t>답</t>
        </is>
      </c>
      <c r="D3286" s="3" t="inlineStr">
        <is>
          <t>답</t>
        </is>
      </c>
      <c r="E3286" s="3" t="inlineStr">
        <is>
          <t>매매</t>
        </is>
      </c>
      <c r="F3286" s="4" t="n">
        <v>161100</v>
      </c>
      <c r="G3286" s="4" t="n">
        <v>2960</v>
      </c>
      <c r="H3286" s="4" t="n">
        <v>895</v>
      </c>
      <c r="I3286" s="5" t="n">
        <v>180</v>
      </c>
      <c r="J3286" s="4" t="n">
        <v>55.9</v>
      </c>
      <c r="K3286" s="3" t="inlineStr">
        <is>
          <t>세종 신도시조치원 핵심축 개발권 초인접 눌왕리 귀한 필지</t>
        </is>
      </c>
      <c r="L3286" s="6">
        <f>HYPERLINK("https://fin.land.naver.com/articles/2645021344", "매물Link")</f>
        <v/>
      </c>
      <c r="M3286" s="6">
        <f>HYPERLINK("https://map.naver.com/p/search/세종특별자치시 연기면 눌왕리 152-1", "지도Link")</f>
        <v/>
      </c>
      <c r="N3286" s="6">
        <f>HYPERLINK("http://www.eum.go.kr/web/ar/lu/luLandDet.jsp?pnu=3611031023101520001&amp;isNoScr=script&amp;mode=search", "토지이음")</f>
        <v/>
      </c>
      <c r="O3286" s="3" t="inlineStr">
        <is>
          <t>한아름</t>
        </is>
      </c>
      <c r="P3286" s="3" t="n">
        <v>1</v>
      </c>
      <c r="Q3286" s="3" t="n">
        <v>2960</v>
      </c>
      <c r="R3286" s="3" t="inlineStr">
        <is>
          <t>지정되지않음</t>
        </is>
      </c>
      <c r="S3286" s="3" t="inlineStr">
        <is>
          <t>답</t>
        </is>
      </c>
      <c r="T3286" s="3" t="inlineStr">
        <is>
          <t>평지</t>
        </is>
      </c>
      <c r="U3286" s="3" t="inlineStr">
        <is>
          <t>가로장방</t>
        </is>
      </c>
      <c r="V3286" s="3" t="inlineStr">
        <is>
          <t>세로한면(가)</t>
        </is>
      </c>
    </row>
    <row r="3287">
      <c r="A3287" s="3" t="inlineStr">
        <is>
          <t>세종특별자치시 연기면 눌왕리 152-5</t>
        </is>
      </c>
      <c r="B3287" s="3" t="inlineStr">
        <is>
          <t>농림지역</t>
        </is>
      </c>
      <c r="C3287" s="3" t="inlineStr">
        <is>
          <t>답</t>
        </is>
      </c>
      <c r="D3287" s="3" t="inlineStr">
        <is>
          <t>답</t>
        </is>
      </c>
      <c r="E3287" s="3" t="inlineStr">
        <is>
          <t>매매</t>
        </is>
      </c>
      <c r="F3287" s="4" t="n">
        <v>100000</v>
      </c>
      <c r="G3287" s="4" t="n">
        <v>2570</v>
      </c>
      <c r="H3287" s="4" t="n">
        <v>777</v>
      </c>
      <c r="I3287" s="5" t="n">
        <v>128.7</v>
      </c>
      <c r="J3287" s="4" t="n">
        <v>57</v>
      </c>
      <c r="K3287" s="3" t="inlineStr">
        <is>
          <t>융자무.장기투자가치.한국GM물류센터인접.세종농협농축산유통센터건너편</t>
        </is>
      </c>
      <c r="L3287" s="6">
        <f>HYPERLINK("https://fin.land.naver.com/articles/2645928209", "매물Link")</f>
        <v/>
      </c>
      <c r="M3287" s="6">
        <f>HYPERLINK("https://map.naver.com/p/search/세종특별자치시 연기면 눌왕리 152-5", "지도Link")</f>
        <v/>
      </c>
      <c r="N3287" s="6">
        <f>HYPERLINK("http://www.eum.go.kr/web/ar/lu/luLandDet.jsp?pnu=3611031023101520005&amp;isNoScr=script&amp;mode=search", "토지이음")</f>
        <v/>
      </c>
      <c r="O3287" s="3" t="inlineStr">
        <is>
          <t>돈방석</t>
        </is>
      </c>
      <c r="P3287" s="3" t="n">
        <v>1</v>
      </c>
      <c r="Q3287" s="3" t="n">
        <v>2570</v>
      </c>
      <c r="R3287" s="3" t="inlineStr">
        <is>
          <t>지정되지않음</t>
        </is>
      </c>
      <c r="S3287" s="3" t="inlineStr">
        <is>
          <t>답</t>
        </is>
      </c>
      <c r="T3287" s="3" t="inlineStr">
        <is>
          <t>평지</t>
        </is>
      </c>
      <c r="U3287" s="3" t="inlineStr">
        <is>
          <t>가로장방</t>
        </is>
      </c>
      <c r="V3287" s="3" t="inlineStr">
        <is>
          <t>세로한면(가)</t>
        </is>
      </c>
    </row>
    <row r="3288">
      <c r="A3288" s="3" t="inlineStr">
        <is>
          <t>세종특별자치시 연기면 눌왕리 157-21</t>
        </is>
      </c>
      <c r="B3288" s="3" t="inlineStr">
        <is>
          <t>계획관리지역</t>
        </is>
      </c>
      <c r="C3288" s="3" t="inlineStr">
        <is>
          <t>과수원</t>
        </is>
      </c>
      <c r="D3288" s="3" t="inlineStr">
        <is>
          <t>과수원</t>
        </is>
      </c>
      <c r="E3288" s="3" t="inlineStr">
        <is>
          <t>매매</t>
        </is>
      </c>
      <c r="F3288" s="4" t="n">
        <v>57800</v>
      </c>
      <c r="G3288" s="4" t="n">
        <v>957</v>
      </c>
      <c r="H3288" s="4" t="n">
        <v>289</v>
      </c>
      <c r="I3288" s="5" t="n">
        <v>200</v>
      </c>
      <c r="J3288" s="4" t="n">
        <v>80.59999999999999</v>
      </c>
      <c r="K3288" s="3" t="inlineStr">
        <is>
          <t>도로에 접한 계획관리 토지</t>
        </is>
      </c>
      <c r="L3288" s="6">
        <f>HYPERLINK("https://fin.land.naver.com/articles/2646007803", "매물Link")</f>
        <v/>
      </c>
      <c r="M3288" s="6">
        <f>HYPERLINK("https://map.naver.com/p/search/세종특별자치시 연기면 눌왕리 157-21", "지도Link")</f>
        <v/>
      </c>
      <c r="N3288" s="6">
        <f>HYPERLINK("http://www.eum.go.kr/web/ar/lu/luLandDet.jsp?pnu=3611031023101570021&amp;isNoScr=script&amp;mode=search",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정방형</t>
        </is>
      </c>
      <c r="V3288" s="3" t="inlineStr">
        <is>
          <t>세로한면(가)</t>
        </is>
      </c>
    </row>
    <row r="3289">
      <c r="A3289" s="3" t="inlineStr">
        <is>
          <t>세종특별자치시 연기면 눌왕리 157-8</t>
        </is>
      </c>
      <c r="B3289" s="3" t="inlineStr">
        <is>
          <t>계획관리지역</t>
        </is>
      </c>
      <c r="C3289" s="3" t="inlineStr">
        <is>
          <t>과수원</t>
        </is>
      </c>
      <c r="D3289" s="3" t="inlineStr">
        <is>
          <t>과수원</t>
        </is>
      </c>
      <c r="E3289" s="3" t="inlineStr">
        <is>
          <t>매매</t>
        </is>
      </c>
      <c r="F3289" s="4" t="n">
        <v>78000</v>
      </c>
      <c r="G3289" s="4" t="n">
        <v>957</v>
      </c>
      <c r="H3289" s="4" t="n">
        <v>289</v>
      </c>
      <c r="I3289" s="5" t="n">
        <v>269.9</v>
      </c>
      <c r="J3289" s="4" t="n">
        <v>76.8</v>
      </c>
      <c r="K3289" s="3" t="inlineStr">
        <is>
          <t>현재 과수원으로 이용되고 있는 토지</t>
        </is>
      </c>
      <c r="L3289" s="6">
        <f>HYPERLINK("https://fin.land.naver.com/articles/2646007783", "매물Link")</f>
        <v/>
      </c>
      <c r="M3289" s="6">
        <f>HYPERLINK("https://map.naver.com/p/search/세종특별자치시 연기면 눌왕리 157-8", "지도Link")</f>
        <v/>
      </c>
      <c r="N3289" s="6">
        <f>HYPERLINK("http://www.eum.go.kr/web/ar/lu/luLandDet.jsp?pnu=3611031023101570008&amp;isNoScr=script&amp;mode=search", "토지이음")</f>
        <v/>
      </c>
      <c r="O3289" s="3" t="inlineStr">
        <is>
          <t>세종대박</t>
        </is>
      </c>
      <c r="P3289" s="3" t="n">
        <v>1</v>
      </c>
      <c r="Q3289" s="3" t="n">
        <v>957</v>
      </c>
      <c r="R3289" s="3" t="inlineStr">
        <is>
          <t>지정되지않음</t>
        </is>
      </c>
      <c r="S3289" s="3" t="inlineStr">
        <is>
          <t>전</t>
        </is>
      </c>
      <c r="T3289" s="3" t="inlineStr">
        <is>
          <t>완경사</t>
        </is>
      </c>
      <c r="U3289" s="3" t="inlineStr">
        <is>
          <t>부정형</t>
        </is>
      </c>
      <c r="V3289" s="3" t="inlineStr">
        <is>
          <t>세로한면(가)</t>
        </is>
      </c>
    </row>
    <row r="3290">
      <c r="A3290" s="3" t="inlineStr">
        <is>
          <t>세종특별자치시 연기면 눌왕리 159-1</t>
        </is>
      </c>
      <c r="B3290" s="3" t="inlineStr">
        <is>
          <t>계획관리지역</t>
        </is>
      </c>
      <c r="C3290" s="3" t="inlineStr">
        <is>
          <t>답</t>
        </is>
      </c>
      <c r="D3290" s="3" t="inlineStr">
        <is>
          <t>답</t>
        </is>
      </c>
      <c r="E3290" s="3" t="inlineStr">
        <is>
          <t>매매</t>
        </is>
      </c>
      <c r="F3290" s="4" t="n">
        <v>192500</v>
      </c>
      <c r="G3290" s="4" t="n">
        <v>2446</v>
      </c>
      <c r="H3290" s="4" t="n">
        <v>740</v>
      </c>
      <c r="I3290" s="5" t="n">
        <v>260.1</v>
      </c>
      <c r="J3290" s="4" t="n">
        <v>81.5</v>
      </c>
      <c r="K3290" s="3" t="inlineStr">
        <is>
          <t>연기면 눌왕리 도로접한 계획관리지역</t>
        </is>
      </c>
      <c r="L3290" s="6">
        <f>HYPERLINK("https://fin.land.naver.com/articles/2644461036", "매물Link")</f>
        <v/>
      </c>
      <c r="M3290" s="6">
        <f>HYPERLINK("https://map.naver.com/p/search/세종특별자치시 연기면 눌왕리 159-1", "지도Link")</f>
        <v/>
      </c>
      <c r="N3290" s="6">
        <f>HYPERLINK("http://www.eum.go.kr/web/ar/lu/luLandDet.jsp?pnu=3611031023101590001&amp;isNoScr=script&amp;mode=search", "토지이음")</f>
        <v/>
      </c>
      <c r="O3290" s="3" t="inlineStr">
        <is>
          <t>세종천지</t>
        </is>
      </c>
      <c r="P3290" s="3" t="n">
        <v>1</v>
      </c>
      <c r="Q3290" s="3" t="n">
        <v>2446</v>
      </c>
      <c r="R3290" s="3" t="inlineStr">
        <is>
          <t>지정되지않음</t>
        </is>
      </c>
      <c r="S3290" s="3" t="inlineStr">
        <is>
          <t>답</t>
        </is>
      </c>
      <c r="T3290" s="3" t="inlineStr">
        <is>
          <t>평지</t>
        </is>
      </c>
      <c r="U3290" s="3" t="inlineStr">
        <is>
          <t>사다리형</t>
        </is>
      </c>
      <c r="V3290" s="3" t="inlineStr">
        <is>
          <t>세로한면(가)</t>
        </is>
      </c>
    </row>
    <row r="3291">
      <c r="A3291" s="3" t="inlineStr">
        <is>
          <t>세종특별자치시 연기면 눌왕리 213-3</t>
        </is>
      </c>
      <c r="B3291" s="3" t="inlineStr">
        <is>
          <t>계획관리지역</t>
        </is>
      </c>
      <c r="C3291" s="3" t="inlineStr">
        <is>
          <t>전</t>
        </is>
      </c>
      <c r="D3291" s="3" t="inlineStr">
        <is>
          <t>전</t>
        </is>
      </c>
      <c r="E3291" s="3" t="inlineStr">
        <is>
          <t>매매</t>
        </is>
      </c>
      <c r="F3291" s="4" t="n">
        <v>588000</v>
      </c>
      <c r="G3291" s="4" t="n">
        <v>6942</v>
      </c>
      <c r="H3291" s="4" t="n">
        <v>2100</v>
      </c>
      <c r="I3291" s="5" t="n">
        <v>280</v>
      </c>
      <c r="J3291" s="4" t="n">
        <v>65.59999999999999</v>
      </c>
      <c r="K3291" s="3" t="inlineStr">
        <is>
          <t>세종시 연기면 눌왕리 조치원일반산업단지 인근 계획관리지역 전과 임야</t>
        </is>
      </c>
      <c r="L3291" s="6">
        <f>HYPERLINK("https://fin.land.naver.com/articles/2650048327", "매물Link")</f>
        <v/>
      </c>
      <c r="M3291" s="6">
        <f>HYPERLINK("https://map.naver.com/p/search/세종특별자치시 연기면 눌왕리 213-3", "지도Link")</f>
        <v/>
      </c>
      <c r="N3291" s="6">
        <f>HYPERLINK("http://www.eum.go.kr/web/ar/lu/luLandDet.jsp?pnu=3611031023102130003&amp;isNoScr=script&amp;mode=search", "토지이음")</f>
        <v/>
      </c>
      <c r="O3291" s="3" t="inlineStr">
        <is>
          <t>하이엔드</t>
        </is>
      </c>
      <c r="P3291" s="3" t="n">
        <v>1</v>
      </c>
      <c r="Q3291" s="3" t="n">
        <v>1388</v>
      </c>
      <c r="R3291" s="3" t="inlineStr">
        <is>
          <t>지정되지않음</t>
        </is>
      </c>
      <c r="S3291" s="3" t="inlineStr">
        <is>
          <t>전</t>
        </is>
      </c>
      <c r="T3291" s="3" t="inlineStr">
        <is>
          <t>완경사</t>
        </is>
      </c>
      <c r="U3291" s="3" t="inlineStr">
        <is>
          <t>부정형</t>
        </is>
      </c>
      <c r="V3291" s="3" t="inlineStr">
        <is>
          <t>맹지</t>
        </is>
      </c>
    </row>
    <row r="3292">
      <c r="A3292" s="3" t="inlineStr">
        <is>
          <t>세종특별자치시 연기면 눌왕리 217-3</t>
        </is>
      </c>
      <c r="B3292" s="3" t="inlineStr">
        <is>
          <t>계획관리지역</t>
        </is>
      </c>
      <c r="C3292" s="3" t="inlineStr">
        <is>
          <t>대</t>
        </is>
      </c>
      <c r="D3292" s="3" t="inlineStr">
        <is>
          <t>대</t>
        </is>
      </c>
      <c r="E3292" s="3" t="inlineStr">
        <is>
          <t>매매</t>
        </is>
      </c>
      <c r="F3292" s="4" t="n">
        <v>31000</v>
      </c>
      <c r="G3292" s="4" t="n">
        <v>329</v>
      </c>
      <c r="H3292" s="4" t="n">
        <v>100</v>
      </c>
      <c r="I3292" s="5" t="n">
        <v>310</v>
      </c>
      <c r="J3292" s="4" t="n">
        <v>117.2</v>
      </c>
      <c r="K3292" s="3" t="inlineStr">
        <is>
          <t>국가산업단지 인접한 대지 매매</t>
        </is>
      </c>
      <c r="L3292" s="6">
        <f>HYPERLINK("https://fin.land.naver.com/articles/2646008025", "매물Link")</f>
        <v/>
      </c>
      <c r="M3292" s="6">
        <f>HYPERLINK("https://map.naver.com/p/search/세종특별자치시 연기면 눌왕리 217-3", "지도Link")</f>
        <v/>
      </c>
      <c r="N3292" s="6">
        <f>HYPERLINK("http://www.eum.go.kr/web/ar/lu/luLandDet.jsp?pnu=3611031023102170003&amp;isNoScr=script&amp;mode=search", "토지이음")</f>
        <v/>
      </c>
      <c r="O3292" s="3" t="inlineStr">
        <is>
          <t>세종대박</t>
        </is>
      </c>
      <c r="P3292" s="3" t="n">
        <v>1</v>
      </c>
      <c r="Q3292" s="3" t="n">
        <v>329</v>
      </c>
      <c r="R3292" s="3" t="inlineStr">
        <is>
          <t>지정되지않음</t>
        </is>
      </c>
      <c r="S3292" s="3" t="inlineStr">
        <is>
          <t>주거나지</t>
        </is>
      </c>
      <c r="T3292" s="3" t="inlineStr">
        <is>
          <t>평지</t>
        </is>
      </c>
      <c r="U3292" s="3" t="inlineStr">
        <is>
          <t>부정형</t>
        </is>
      </c>
      <c r="V3292" s="3" t="inlineStr">
        <is>
          <t>세로한면(가)</t>
        </is>
      </c>
    </row>
    <row r="3293">
      <c r="A3293" s="3" t="inlineStr">
        <is>
          <t>세종특별자치시 연기면 눌왕리 280</t>
        </is>
      </c>
      <c r="B3293" s="3" t="inlineStr">
        <is>
          <t>농림지역</t>
        </is>
      </c>
      <c r="C3293" s="3" t="inlineStr">
        <is>
          <t>답</t>
        </is>
      </c>
      <c r="D3293" s="3" t="inlineStr">
        <is>
          <t>답</t>
        </is>
      </c>
      <c r="E3293" s="3" t="inlineStr">
        <is>
          <t>매매</t>
        </is>
      </c>
      <c r="F3293" s="4" t="n">
        <v>94500</v>
      </c>
      <c r="G3293" s="4" t="n">
        <v>1250</v>
      </c>
      <c r="H3293" s="4" t="n">
        <v>378</v>
      </c>
      <c r="I3293" s="5" t="n">
        <v>250</v>
      </c>
      <c r="J3293" s="4" t="n">
        <v>62.3</v>
      </c>
      <c r="K3293" s="3" t="inlineStr">
        <is>
          <t>2차선 도로변으로 접근성 양호</t>
        </is>
      </c>
      <c r="L3293" s="6">
        <f>HYPERLINK("https://fin.land.naver.com/articles/2649636056", "매물Link")</f>
        <v/>
      </c>
      <c r="M3293" s="6">
        <f>HYPERLINK("https://map.naver.com/p/search/세종특별자치시 연기면 눌왕리 280", "지도Link")</f>
        <v/>
      </c>
      <c r="N3293" s="6">
        <f>HYPERLINK("http://www.eum.go.kr/web/ar/lu/luLandDet.jsp?pnu=3611031023102800000&amp;isNoScr=script&amp;mode=search", "토지이음")</f>
        <v/>
      </c>
      <c r="O3293" s="3" t="inlineStr">
        <is>
          <t>가치잇는</t>
        </is>
      </c>
      <c r="P3293" s="3" t="n">
        <v>1</v>
      </c>
      <c r="Q3293" s="3" t="n">
        <v>1250</v>
      </c>
      <c r="R3293" s="3" t="inlineStr">
        <is>
          <t>지정되지않음</t>
        </is>
      </c>
      <c r="S3293" s="3" t="inlineStr">
        <is>
          <t>답</t>
        </is>
      </c>
      <c r="T3293" s="3" t="inlineStr">
        <is>
          <t>평지</t>
        </is>
      </c>
      <c r="U3293" s="3" t="inlineStr">
        <is>
          <t>사다리형</t>
        </is>
      </c>
      <c r="V3293" s="3" t="inlineStr">
        <is>
          <t>소로한면</t>
        </is>
      </c>
    </row>
    <row r="3294">
      <c r="A3294" s="3" t="inlineStr">
        <is>
          <t>세종특별자치시 연기면 눌왕리 282</t>
        </is>
      </c>
      <c r="B3294" s="3" t="inlineStr">
        <is>
          <t>농림지역</t>
        </is>
      </c>
      <c r="C3294" s="3" t="inlineStr">
        <is>
          <t>답</t>
        </is>
      </c>
      <c r="D3294" s="3" t="inlineStr">
        <is>
          <t>답</t>
        </is>
      </c>
      <c r="E3294" s="3" t="inlineStr">
        <is>
          <t>매매</t>
        </is>
      </c>
      <c r="F3294" s="4" t="n">
        <v>154000</v>
      </c>
      <c r="G3294" s="4" t="n">
        <v>2037</v>
      </c>
      <c r="H3294" s="4" t="n">
        <v>616</v>
      </c>
      <c r="I3294" s="5" t="n">
        <v>250</v>
      </c>
      <c r="J3294" s="4" t="n">
        <v>62.3</v>
      </c>
      <c r="K3294" s="3" t="inlineStr">
        <is>
          <t>2차선 도로변으로 접근성 양호</t>
        </is>
      </c>
      <c r="L3294" s="6">
        <f>HYPERLINK("https://fin.land.naver.com/articles/2649634274", "매물Link")</f>
        <v/>
      </c>
      <c r="M3294" s="6">
        <f>HYPERLINK("https://map.naver.com/p/search/세종특별자치시 연기면 눌왕리 282", "지도Link")</f>
        <v/>
      </c>
      <c r="N3294" s="6">
        <f>HYPERLINK("http://www.eum.go.kr/web/ar/lu/luLandDet.jsp?pnu=3611031023102820000&amp;isNoScr=script&amp;mode=search", "토지이음")</f>
        <v/>
      </c>
      <c r="O3294" s="3" t="inlineStr">
        <is>
          <t>가치잇는</t>
        </is>
      </c>
      <c r="P3294" s="3" t="n">
        <v>1</v>
      </c>
      <c r="Q3294" s="3" t="n">
        <v>2037</v>
      </c>
      <c r="R3294" s="3" t="inlineStr">
        <is>
          <t>지정되지않음</t>
        </is>
      </c>
      <c r="S3294" s="3" t="inlineStr">
        <is>
          <t>답</t>
        </is>
      </c>
      <c r="T3294" s="3" t="inlineStr">
        <is>
          <t>평지</t>
        </is>
      </c>
      <c r="U3294" s="3" t="inlineStr">
        <is>
          <t>가로장방</t>
        </is>
      </c>
      <c r="V3294" s="3" t="inlineStr">
        <is>
          <t>소로한면</t>
        </is>
      </c>
    </row>
    <row r="3295">
      <c r="A3295" s="3" t="inlineStr">
        <is>
          <t>세종특별자치시 연기면 눌왕리 307-1</t>
        </is>
      </c>
      <c r="B3295" s="3" t="inlineStr">
        <is>
          <t>농림지역</t>
        </is>
      </c>
      <c r="C3295" s="3" t="inlineStr">
        <is>
          <t>전</t>
        </is>
      </c>
      <c r="D3295" s="3" t="inlineStr">
        <is>
          <t>전</t>
        </is>
      </c>
      <c r="E3295" s="3" t="inlineStr">
        <is>
          <t>매매</t>
        </is>
      </c>
      <c r="F3295" s="4" t="n">
        <v>370000</v>
      </c>
      <c r="G3295" s="4" t="n">
        <v>4063</v>
      </c>
      <c r="H3295" s="4" t="n">
        <v>1229</v>
      </c>
      <c r="I3295" s="5" t="n">
        <v>301.1</v>
      </c>
      <c r="J3295" s="4" t="n">
        <v>65.09999999999999</v>
      </c>
      <c r="K3295" s="3" t="inlineStr">
        <is>
          <t>국가산단 인근,가치상승 개발기대감 높은 토지</t>
        </is>
      </c>
      <c r="L3295" s="6">
        <f>HYPERLINK("https://fin.land.naver.com/articles/2646800110", "매물Link")</f>
        <v/>
      </c>
      <c r="M3295" s="6">
        <f>HYPERLINK("https://map.naver.com/p/search/세종특별자치시 연기면 눌왕리 307-1", "지도Link")</f>
        <v/>
      </c>
      <c r="N3295" s="6">
        <f>HYPERLINK("http://www.eum.go.kr/web/ar/lu/luLandDet.jsp?pnu=3611031023103070001&amp;isNoScr=script&amp;mode=search", "토지이음")</f>
        <v/>
      </c>
      <c r="O3295" s="3" t="inlineStr">
        <is>
          <t>가치잇는</t>
        </is>
      </c>
      <c r="P3295" s="3" t="n">
        <v>1</v>
      </c>
      <c r="Q3295" s="3" t="n">
        <v>4063</v>
      </c>
      <c r="R3295" s="3" t="inlineStr">
        <is>
          <t>지정되지않음</t>
        </is>
      </c>
      <c r="S3295" s="3" t="inlineStr">
        <is>
          <t>전</t>
        </is>
      </c>
      <c r="T3295" s="3" t="inlineStr">
        <is>
          <t>평지</t>
        </is>
      </c>
      <c r="U3295" s="3" t="inlineStr">
        <is>
          <t>부정형</t>
        </is>
      </c>
      <c r="V3295" s="3" t="inlineStr">
        <is>
          <t>세로한면(가)</t>
        </is>
      </c>
    </row>
    <row r="3296">
      <c r="A3296" s="3" t="inlineStr">
        <is>
          <t>세종특별자치시 연기면 눌왕리 388</t>
        </is>
      </c>
      <c r="B3296" s="3" t="inlineStr">
        <is>
          <t>계획관리지역</t>
        </is>
      </c>
      <c r="C3296" s="3" t="inlineStr">
        <is>
          <t>전</t>
        </is>
      </c>
      <c r="D3296" s="3" t="inlineStr">
        <is>
          <t>전</t>
        </is>
      </c>
      <c r="E3296" s="3" t="inlineStr">
        <is>
          <t>매매</t>
        </is>
      </c>
      <c r="F3296" s="4" t="n">
        <v>51240</v>
      </c>
      <c r="G3296" s="4" t="n">
        <v>605</v>
      </c>
      <c r="H3296" s="4" t="n">
        <v>183</v>
      </c>
      <c r="I3296" s="5" t="n">
        <v>280</v>
      </c>
      <c r="J3296" s="4" t="n">
        <v>63.9</v>
      </c>
      <c r="K3296" s="3" t="inlineStr">
        <is>
          <t>자연취락지구, 계획관리지역, 성장관리계획구역 내 토지</t>
        </is>
      </c>
      <c r="L3296" s="6">
        <f>HYPERLINK("https://fin.land.naver.com/articles/2649148435", "매물Link")</f>
        <v/>
      </c>
      <c r="M3296" s="6">
        <f>HYPERLINK("https://map.naver.com/p/search/세종특별자치시 연기면 눌왕리 388", "지도Link")</f>
        <v/>
      </c>
      <c r="N3296" s="6">
        <f>HYPERLINK("http://www.eum.go.kr/web/ar/lu/luLandDet.jsp?pnu=3611031023103880000&amp;isNoScr=script&amp;mode=search", "토지이음")</f>
        <v/>
      </c>
      <c r="O3296" s="3" t="inlineStr">
        <is>
          <t>네거리</t>
        </is>
      </c>
      <c r="P3296" s="3" t="n">
        <v>1</v>
      </c>
      <c r="Q3296" s="3" t="n">
        <v>605</v>
      </c>
      <c r="R3296" s="3" t="inlineStr">
        <is>
          <t>지정되지않음</t>
        </is>
      </c>
      <c r="S3296" s="3" t="inlineStr">
        <is>
          <t>전</t>
        </is>
      </c>
      <c r="T3296" s="3" t="inlineStr">
        <is>
          <t>평지</t>
        </is>
      </c>
      <c r="U3296" s="3" t="inlineStr">
        <is>
          <t>부정형</t>
        </is>
      </c>
      <c r="V3296" s="3" t="inlineStr">
        <is>
          <t>세로한면(가)</t>
        </is>
      </c>
    </row>
    <row r="3297">
      <c r="A3297" s="3" t="inlineStr">
        <is>
          <t>세종특별자치시 연기면 눌왕리 414</t>
        </is>
      </c>
      <c r="B3297" s="3" t="inlineStr">
        <is>
          <t>계획관리지역</t>
        </is>
      </c>
      <c r="C3297" s="3" t="inlineStr">
        <is>
          <t>답</t>
        </is>
      </c>
      <c r="D3297" s="3" t="inlineStr">
        <is>
          <t>답</t>
        </is>
      </c>
      <c r="E3297" s="3" t="inlineStr">
        <is>
          <t>매매</t>
        </is>
      </c>
      <c r="F3297" s="4" t="n">
        <v>78000</v>
      </c>
      <c r="G3297" s="4" t="n">
        <v>1716</v>
      </c>
      <c r="H3297" s="4" t="n">
        <v>519</v>
      </c>
      <c r="I3297" s="5" t="n">
        <v>150.3</v>
      </c>
      <c r="J3297" s="4" t="n">
        <v>55.2</v>
      </c>
      <c r="K3297" s="3" t="inlineStr">
        <is>
          <t>장기보유권장</t>
        </is>
      </c>
      <c r="L3297" s="6">
        <f>HYPERLINK("https://fin.land.naver.com/articles/2647046478", "매물Link")</f>
        <v/>
      </c>
      <c r="M3297" s="6">
        <f>HYPERLINK("https://map.naver.com/p/search/세종특별자치시 연기면 눌왕리 414", "지도Link")</f>
        <v/>
      </c>
      <c r="N3297" s="6">
        <f>HYPERLINK("http://www.eum.go.kr/web/ar/lu/luLandDet.jsp?pnu=3611031023104140000&amp;isNoScr=script&amp;mode=search", "토지이음")</f>
        <v/>
      </c>
      <c r="O3297" s="3" t="inlineStr">
        <is>
          <t>지원</t>
        </is>
      </c>
      <c r="P3297" s="3" t="n">
        <v>1</v>
      </c>
      <c r="Q3297" s="3" t="n">
        <v>278</v>
      </c>
      <c r="R3297" s="3" t="inlineStr">
        <is>
          <t>지정되지않음</t>
        </is>
      </c>
      <c r="S3297" s="3" t="inlineStr">
        <is>
          <t>답</t>
        </is>
      </c>
      <c r="T3297" s="3" t="inlineStr">
        <is>
          <t>평지</t>
        </is>
      </c>
      <c r="U3297" s="3" t="inlineStr">
        <is>
          <t>부정형</t>
        </is>
      </c>
      <c r="V3297" s="3" t="inlineStr">
        <is>
          <t>세로한면(불)</t>
        </is>
      </c>
    </row>
    <row r="3298">
      <c r="A3298" s="3" t="inlineStr">
        <is>
          <t>세종특별자치시 연기면 눌왕리 425</t>
        </is>
      </c>
      <c r="B3298" s="3" t="inlineStr">
        <is>
          <t>계획관리지역</t>
        </is>
      </c>
      <c r="C3298" s="3" t="inlineStr">
        <is>
          <t>답</t>
        </is>
      </c>
      <c r="D3298" s="3" t="inlineStr">
        <is>
          <t>답</t>
        </is>
      </c>
      <c r="E3298" s="3" t="inlineStr">
        <is>
          <t>매매</t>
        </is>
      </c>
      <c r="F3298" s="4" t="n">
        <v>163460</v>
      </c>
      <c r="G3298" s="4" t="n">
        <v>2455</v>
      </c>
      <c r="H3298" s="4" t="n">
        <v>743</v>
      </c>
      <c r="I3298" s="5" t="n">
        <v>220</v>
      </c>
      <c r="J3298" s="4" t="n">
        <v>71.7</v>
      </c>
      <c r="K3298" s="3" t="inlineStr">
        <is>
          <t>위치좋은 토지로 투자용으로 적극추천함.</t>
        </is>
      </c>
      <c r="L3298" s="6">
        <f>HYPERLINK("https://fin.land.naver.com/articles/2648553910", "매물Link")</f>
        <v/>
      </c>
      <c r="M3298" s="6">
        <f>HYPERLINK("https://map.naver.com/p/search/세종특별자치시 연기면 눌왕리 425", "지도Link")</f>
        <v/>
      </c>
      <c r="N3298" s="6">
        <f>HYPERLINK("http://www.eum.go.kr/web/ar/lu/luLandDet.jsp?pnu=3611031023104250000&amp;isNoScr=script&amp;mode=search", "토지이음")</f>
        <v/>
      </c>
      <c r="O3298" s="3" t="inlineStr">
        <is>
          <t>세종리츠</t>
        </is>
      </c>
      <c r="P3298" s="3" t="n">
        <v>1</v>
      </c>
      <c r="Q3298" s="3" t="n">
        <v>1545</v>
      </c>
      <c r="R3298" s="3" t="inlineStr">
        <is>
          <t>지정되지않음</t>
        </is>
      </c>
      <c r="S3298" s="3" t="inlineStr">
        <is>
          <t>답</t>
        </is>
      </c>
      <c r="T3298" s="3" t="inlineStr">
        <is>
          <t>평지</t>
        </is>
      </c>
      <c r="U3298" s="3" t="inlineStr">
        <is>
          <t>부정형</t>
        </is>
      </c>
      <c r="V3298" s="3" t="inlineStr">
        <is>
          <t>세로한면(가)</t>
        </is>
      </c>
    </row>
    <row r="3299">
      <c r="A3299" s="3" t="inlineStr">
        <is>
          <t>세종특별자치시 연기면 눌왕리 484-1</t>
        </is>
      </c>
      <c r="B3299" s="3" t="inlineStr">
        <is>
          <t>계획관리지역</t>
        </is>
      </c>
      <c r="C3299" s="3" t="inlineStr">
        <is>
          <t>과수원</t>
        </is>
      </c>
      <c r="D3299" s="3" t="inlineStr">
        <is>
          <t>과수원</t>
        </is>
      </c>
      <c r="E3299" s="3" t="inlineStr">
        <is>
          <t>매매</t>
        </is>
      </c>
      <c r="F3299" s="4" t="n">
        <v>73000</v>
      </c>
      <c r="G3299" s="4" t="n">
        <v>970</v>
      </c>
      <c r="H3299" s="4" t="n">
        <v>293</v>
      </c>
      <c r="I3299" s="5" t="n">
        <v>249.1</v>
      </c>
      <c r="J3299" s="4" t="n">
        <v>58.1</v>
      </c>
      <c r="K3299" s="3" t="inlineStr">
        <is>
          <t>연기면 눌왕리 토지(전)매매</t>
        </is>
      </c>
      <c r="L3299" s="6">
        <f>HYPERLINK("https://fin.land.naver.com/articles/2647920507", "매물Link")</f>
        <v/>
      </c>
      <c r="M3299" s="6">
        <f>HYPERLINK("https://map.naver.com/p/search/세종특별자치시 연기면 눌왕리 484-1", "지도Link")</f>
        <v/>
      </c>
      <c r="N3299" s="6">
        <f>HYPERLINK("http://www.eum.go.kr/web/ar/lu/luLandDet.jsp?pnu=3611031023104840001&amp;isNoScr=script&amp;mode=search", "토지이음")</f>
        <v/>
      </c>
      <c r="O3299" s="3" t="inlineStr">
        <is>
          <t>비전</t>
        </is>
      </c>
      <c r="P3299" s="3" t="n">
        <v>1</v>
      </c>
      <c r="Q3299" s="3" t="n">
        <v>825</v>
      </c>
      <c r="R3299" s="3" t="inlineStr">
        <is>
          <t>지정되지않음</t>
        </is>
      </c>
      <c r="S3299" s="3" t="inlineStr">
        <is>
          <t>과수원</t>
        </is>
      </c>
      <c r="T3299" s="3" t="inlineStr">
        <is>
          <t>완경사</t>
        </is>
      </c>
      <c r="U3299" s="3" t="inlineStr">
        <is>
          <t>부정형</t>
        </is>
      </c>
      <c r="V3299" s="3" t="inlineStr">
        <is>
          <t>세로한면(불)</t>
        </is>
      </c>
    </row>
    <row r="3300">
      <c r="A3300" s="3" t="inlineStr">
        <is>
          <t>세종특별자치시 연기면 눌왕리 557-1</t>
        </is>
      </c>
      <c r="B3300" s="3" t="inlineStr">
        <is>
          <t>계획관리지역</t>
        </is>
      </c>
      <c r="C3300" s="3" t="inlineStr">
        <is>
          <t>전</t>
        </is>
      </c>
      <c r="D3300" s="3" t="inlineStr">
        <is>
          <t>전</t>
        </is>
      </c>
      <c r="E3300" s="3" t="inlineStr">
        <is>
          <t>매매</t>
        </is>
      </c>
      <c r="F3300" s="4" t="n">
        <v>86200</v>
      </c>
      <c r="G3300" s="4" t="n">
        <v>1424</v>
      </c>
      <c r="H3300" s="4" t="n">
        <v>431</v>
      </c>
      <c r="I3300" s="5" t="n">
        <v>200</v>
      </c>
      <c r="J3300" s="4" t="n">
        <v>55.2</v>
      </c>
      <c r="K3300" s="3" t="inlineStr">
        <is>
          <t>미래가치를 품은 세종시 최적의 투자처 연기면 눌왕리 토지 매매</t>
        </is>
      </c>
      <c r="L3300" s="6">
        <f>HYPERLINK("https://fin.land.naver.com/articles/2645213151", "매물Link")</f>
        <v/>
      </c>
      <c r="M3300" s="6">
        <f>HYPERLINK("https://map.naver.com/p/search/세종특별자치시 연기면 눌왕리 557-1", "지도Link")</f>
        <v/>
      </c>
      <c r="N3300" s="6">
        <f>HYPERLINK("http://www.eum.go.kr/web/ar/lu/luLandDet.jsp?pnu=3611031023105570001&amp;isNoScr=script&amp;mode=search", "토지이음")</f>
        <v/>
      </c>
      <c r="O3300" s="3" t="inlineStr">
        <is>
          <t>지성</t>
        </is>
      </c>
      <c r="P3300" s="3" t="n">
        <v>1</v>
      </c>
      <c r="Q3300" s="3" t="n">
        <v>1424</v>
      </c>
      <c r="R3300" s="3" t="inlineStr">
        <is>
          <t>지정되지않음</t>
        </is>
      </c>
      <c r="S3300" s="3" t="inlineStr">
        <is>
          <t>과수원</t>
        </is>
      </c>
      <c r="T3300" s="3" t="inlineStr">
        <is>
          <t>완경사</t>
        </is>
      </c>
      <c r="U3300" s="3" t="inlineStr">
        <is>
          <t>부정형</t>
        </is>
      </c>
      <c r="V3300" s="3" t="inlineStr">
        <is>
          <t>세로한면(불)</t>
        </is>
      </c>
    </row>
    <row r="3301">
      <c r="A3301" s="3" t="inlineStr">
        <is>
          <t>세종특별자치시 연기면 눌왕리 569-3</t>
        </is>
      </c>
      <c r="B3301" s="3" t="inlineStr">
        <is>
          <t>계획관리지역</t>
        </is>
      </c>
      <c r="C3301" s="3" t="inlineStr">
        <is>
          <t>답</t>
        </is>
      </c>
      <c r="D3301" s="3" t="inlineStr">
        <is>
          <t>답</t>
        </is>
      </c>
      <c r="E3301" s="3" t="inlineStr">
        <is>
          <t>매매</t>
        </is>
      </c>
      <c r="F3301" s="4" t="n">
        <v>115000</v>
      </c>
      <c r="G3301" s="4" t="n">
        <v>1654</v>
      </c>
      <c r="H3301" s="4" t="n">
        <v>500</v>
      </c>
      <c r="I3301" s="5" t="n">
        <v>230</v>
      </c>
      <c r="J3301" s="4" t="n">
        <v>63.1</v>
      </c>
      <c r="K3301" s="3" t="inlineStr">
        <is>
          <t>연기면 눌왕리 마을 포장도로에 접한 계획관리지역 성장관리계획구역 농지</t>
        </is>
      </c>
      <c r="L3301" s="6">
        <f>HYPERLINK("https://fin.land.naver.com/articles/2647888456", "매물Link")</f>
        <v/>
      </c>
      <c r="M3301" s="6">
        <f>HYPERLINK("https://map.naver.com/p/search/세종특별자치시 연기면 눌왕리 569-3", "지도Link")</f>
        <v/>
      </c>
      <c r="N3301" s="6">
        <f>HYPERLINK("http://www.eum.go.kr/web/ar/lu/luLandDet.jsp?pnu=3611031023105690003&amp;isNoScr=script&amp;mode=search", "토지이음")</f>
        <v/>
      </c>
      <c r="O3301" s="3" t="inlineStr">
        <is>
          <t>스마일세종</t>
        </is>
      </c>
      <c r="P3301" s="3" t="n">
        <v>1</v>
      </c>
      <c r="Q3301" s="3" t="n">
        <v>1738</v>
      </c>
      <c r="R3301" s="3" t="inlineStr">
        <is>
          <t>지정되지않음</t>
        </is>
      </c>
      <c r="S3301" s="3" t="inlineStr">
        <is>
          <t>답</t>
        </is>
      </c>
      <c r="T3301" s="3" t="inlineStr">
        <is>
          <t>평지</t>
        </is>
      </c>
      <c r="U3301" s="3" t="inlineStr">
        <is>
          <t>부정형</t>
        </is>
      </c>
      <c r="V3301" s="3" t="inlineStr">
        <is>
          <t>세로한면(가)</t>
        </is>
      </c>
    </row>
    <row r="3302">
      <c r="A3302" s="3" t="inlineStr">
        <is>
          <t>세종특별자치시 연기면 눌왕리 622</t>
        </is>
      </c>
      <c r="B3302" s="3" t="inlineStr">
        <is>
          <t>생산관리지역</t>
        </is>
      </c>
      <c r="C3302" s="3" t="inlineStr">
        <is>
          <t>답</t>
        </is>
      </c>
      <c r="D3302" s="3" t="inlineStr">
        <is>
          <t>답</t>
        </is>
      </c>
      <c r="E3302" s="3" t="inlineStr">
        <is>
          <t>매매</t>
        </is>
      </c>
      <c r="F3302" s="4" t="n">
        <v>114000</v>
      </c>
      <c r="G3302" s="4" t="n">
        <v>2516</v>
      </c>
      <c r="H3302" s="4" t="n">
        <v>761</v>
      </c>
      <c r="I3302" s="5" t="n">
        <v>149.8</v>
      </c>
      <c r="J3302" s="4" t="n">
        <v>42.8</v>
      </c>
      <c r="K3302" s="3" t="inlineStr">
        <is>
          <t>저렴한농지,세종시근접,생산관리</t>
        </is>
      </c>
      <c r="L3302" s="6">
        <f>HYPERLINK("https://fin.land.naver.com/articles/2645220806", "매물Link")</f>
        <v/>
      </c>
      <c r="M3302" s="6">
        <f>HYPERLINK("https://map.naver.com/p/search/세종특별자치시 연기면 눌왕리 622", "지도Link")</f>
        <v/>
      </c>
      <c r="N3302" s="6">
        <f>HYPERLINK("http://www.eum.go.kr/web/ar/lu/luLandDet.jsp?pnu=3611031023106220000&amp;isNoScr=script&amp;mode=search", "토지이음")</f>
        <v/>
      </c>
      <c r="O3302" s="3" t="inlineStr">
        <is>
          <t>담뜰</t>
        </is>
      </c>
      <c r="P3302" s="3" t="n">
        <v>1</v>
      </c>
      <c r="Q3302" s="3" t="n">
        <v>2516</v>
      </c>
      <c r="R3302" s="3" t="inlineStr">
        <is>
          <t>지정되지않음</t>
        </is>
      </c>
      <c r="S3302" s="3" t="inlineStr">
        <is>
          <t>답</t>
        </is>
      </c>
      <c r="T3302" s="3" t="inlineStr">
        <is>
          <t>평지</t>
        </is>
      </c>
      <c r="U3302" s="3" t="inlineStr">
        <is>
          <t>부정형</t>
        </is>
      </c>
      <c r="V3302" s="3" t="inlineStr">
        <is>
          <t>세로한면(가)</t>
        </is>
      </c>
    </row>
    <row r="3303">
      <c r="A3303" s="3" t="inlineStr">
        <is>
          <t>세종특별자치시 연기면 눌왕리 633-1</t>
        </is>
      </c>
      <c r="B3303" s="3" t="inlineStr">
        <is>
          <t>계획관리지역</t>
        </is>
      </c>
      <c r="C3303" s="3" t="inlineStr">
        <is>
          <t>답</t>
        </is>
      </c>
      <c r="D3303" s="3" t="inlineStr">
        <is>
          <t>답</t>
        </is>
      </c>
      <c r="E3303" s="3" t="inlineStr">
        <is>
          <t>매매</t>
        </is>
      </c>
      <c r="F3303" s="4" t="n">
        <v>187920</v>
      </c>
      <c r="G3303" s="4" t="n">
        <v>2300</v>
      </c>
      <c r="H3303" s="4" t="n">
        <v>696</v>
      </c>
      <c r="I3303" s="5" t="n">
        <v>270</v>
      </c>
      <c r="J3303" s="4" t="n">
        <v>61.5</v>
      </c>
      <c r="K3303" s="3" t="inlineStr">
        <is>
          <t>위치좋은 토지로 현재 시세보다 저렴합니다.</t>
        </is>
      </c>
      <c r="L3303" s="6">
        <f>HYPERLINK("https://fin.land.naver.com/articles/2648551129", "매물Link")</f>
        <v/>
      </c>
      <c r="M3303" s="6">
        <f>HYPERLINK("https://map.naver.com/p/search/세종특별자치시 연기면 눌왕리 633-1", "지도Link")</f>
        <v/>
      </c>
      <c r="N3303" s="6">
        <f>HYPERLINK("http://www.eum.go.kr/web/ar/lu/luLandDet.jsp?pnu=3611031023106330001&amp;isNoScr=script&amp;mode=search", "토지이음")</f>
        <v/>
      </c>
      <c r="O3303" s="3" t="inlineStr">
        <is>
          <t>세종리츠</t>
        </is>
      </c>
      <c r="P3303" s="3" t="n">
        <v>1</v>
      </c>
      <c r="Q3303" s="3" t="n">
        <v>2300</v>
      </c>
      <c r="R3303" s="3" t="inlineStr">
        <is>
          <t>보전관리지역</t>
        </is>
      </c>
      <c r="S3303" s="3" t="inlineStr">
        <is>
          <t>답</t>
        </is>
      </c>
      <c r="T3303" s="3" t="inlineStr">
        <is>
          <t>평지</t>
        </is>
      </c>
      <c r="U3303" s="3" t="inlineStr">
        <is>
          <t>부정형</t>
        </is>
      </c>
      <c r="V3303" s="3" t="inlineStr">
        <is>
          <t>세로한면(가)</t>
        </is>
      </c>
    </row>
    <row r="3304">
      <c r="A3304" s="3" t="inlineStr">
        <is>
          <t>세종특별자치시 연기면 눌왕리 635-2</t>
        </is>
      </c>
      <c r="B3304" s="3" t="inlineStr">
        <is>
          <t>계획관리지역</t>
        </is>
      </c>
      <c r="C3304" s="3" t="inlineStr">
        <is>
          <t>전</t>
        </is>
      </c>
      <c r="D3304" s="3" t="inlineStr">
        <is>
          <t>전</t>
        </is>
      </c>
      <c r="E3304" s="3" t="inlineStr">
        <is>
          <t>매매</t>
        </is>
      </c>
      <c r="F3304" s="4" t="n">
        <v>58000</v>
      </c>
      <c r="G3304" s="4" t="n">
        <v>638</v>
      </c>
      <c r="H3304" s="4" t="n">
        <v>193</v>
      </c>
      <c r="I3304" s="5" t="n">
        <v>300.5</v>
      </c>
      <c r="J3304" s="4" t="n">
        <v>62.5</v>
      </c>
      <c r="K3304" s="3" t="inlineStr">
        <is>
          <t>절충가능한 연기면 눌왕리 마을 포장도로에 접한 계획관리지역 전입니다</t>
        </is>
      </c>
      <c r="L3304" s="6">
        <f>HYPERLINK("https://fin.land.naver.com/articles/2645191898", "매물Link")</f>
        <v/>
      </c>
      <c r="M3304" s="6">
        <f>HYPERLINK("https://map.naver.com/p/search/세종특별자치시 연기면 눌왕리 635-2", "지도Link")</f>
        <v/>
      </c>
      <c r="N3304" s="6">
        <f>HYPERLINK("http://www.eum.go.kr/web/ar/lu/luLandDet.jsp?pnu=3611031023106350002&amp;isNoScr=script&amp;mode=search", "토지이음")</f>
        <v/>
      </c>
      <c r="O3304" s="3" t="inlineStr">
        <is>
          <t>스마일세종</t>
        </is>
      </c>
      <c r="P3304" s="3" t="n">
        <v>1</v>
      </c>
      <c r="Q3304" s="3" t="n">
        <v>638</v>
      </c>
      <c r="R3304" s="3" t="inlineStr">
        <is>
          <t>지정되지않음</t>
        </is>
      </c>
      <c r="S3304" s="3" t="inlineStr">
        <is>
          <t>전</t>
        </is>
      </c>
      <c r="T3304" s="3" t="inlineStr">
        <is>
          <t>완경사</t>
        </is>
      </c>
      <c r="U3304" s="3" t="inlineStr">
        <is>
          <t>부정형</t>
        </is>
      </c>
      <c r="V3304" s="3" t="inlineStr">
        <is>
          <t>세로한면(가)</t>
        </is>
      </c>
    </row>
    <row r="3305">
      <c r="A3305" s="3" t="inlineStr">
        <is>
          <t>세종특별자치시 연기면 눌왕리 639</t>
        </is>
      </c>
      <c r="B3305" s="3" t="inlineStr">
        <is>
          <t>계획관리지역</t>
        </is>
      </c>
      <c r="C3305" s="3" t="inlineStr">
        <is>
          <t>답</t>
        </is>
      </c>
      <c r="D3305" s="3" t="inlineStr">
        <is>
          <t>답</t>
        </is>
      </c>
      <c r="E3305" s="3" t="inlineStr">
        <is>
          <t>매매</t>
        </is>
      </c>
      <c r="F3305" s="4" t="n">
        <v>133000</v>
      </c>
      <c r="G3305" s="4" t="n">
        <v>2179</v>
      </c>
      <c r="H3305" s="4" t="n">
        <v>659</v>
      </c>
      <c r="I3305" s="5" t="n">
        <v>201.8</v>
      </c>
      <c r="J3305" s="4" t="n">
        <v>63.7</v>
      </c>
      <c r="K3305" s="3" t="inlineStr">
        <is>
          <t>위치 좋은 곳 저렴한 토지</t>
        </is>
      </c>
      <c r="L3305" s="6">
        <f>HYPERLINK("https://fin.land.naver.com/articles/2647576692", "매물Link")</f>
        <v/>
      </c>
      <c r="M3305" s="6">
        <f>HYPERLINK("https://map.naver.com/p/search/세종특별자치시 연기면 눌왕리 639", "지도Link")</f>
        <v/>
      </c>
      <c r="N3305" s="6">
        <f>HYPERLINK("http://www.eum.go.kr/web/ar/lu/luLandDet.jsp?pnu=3611031023106390000&amp;isNoScr=script&amp;mode=search", "토지이음")</f>
        <v/>
      </c>
      <c r="O3305" s="3" t="inlineStr">
        <is>
          <t>KB세종</t>
        </is>
      </c>
      <c r="P3305" s="3" t="n">
        <v>1</v>
      </c>
      <c r="Q3305" s="3" t="n">
        <v>2179</v>
      </c>
      <c r="R3305" s="3" t="inlineStr">
        <is>
          <t>지정되지않음</t>
        </is>
      </c>
      <c r="S3305" s="3" t="inlineStr">
        <is>
          <t>답기타</t>
        </is>
      </c>
      <c r="T3305" s="3" t="inlineStr">
        <is>
          <t>평지</t>
        </is>
      </c>
      <c r="U3305" s="3" t="inlineStr">
        <is>
          <t>부정형</t>
        </is>
      </c>
      <c r="V3305" s="3" t="inlineStr">
        <is>
          <t>세로한면(가)</t>
        </is>
      </c>
    </row>
    <row r="3306">
      <c r="A3306" s="3" t="inlineStr">
        <is>
          <t>세종특별자치시 연기면 눌왕리 679</t>
        </is>
      </c>
      <c r="B3306" s="3" t="inlineStr">
        <is>
          <t>계획관리지역</t>
        </is>
      </c>
      <c r="C3306" s="3" t="inlineStr">
        <is>
          <t>대</t>
        </is>
      </c>
      <c r="D3306" s="3" t="inlineStr">
        <is>
          <t>대</t>
        </is>
      </c>
      <c r="E3306" s="3" t="inlineStr">
        <is>
          <t>매매</t>
        </is>
      </c>
      <c r="F3306" s="4" t="n">
        <v>100000</v>
      </c>
      <c r="G3306" s="4" t="n">
        <v>1306</v>
      </c>
      <c r="H3306" s="4" t="n">
        <v>395</v>
      </c>
      <c r="I3306" s="5" t="n">
        <v>253.2</v>
      </c>
      <c r="J3306" s="4" t="n">
        <v>91.8</v>
      </c>
      <c r="K3306" s="3" t="inlineStr">
        <is>
          <t>구옥 2채있고 도로접해있고 버스승강장 가깝고 투자가치 좋아요</t>
        </is>
      </c>
      <c r="L3306" s="6">
        <f>HYPERLINK("https://fin.land.naver.com/articles/2646950846", "매물Link")</f>
        <v/>
      </c>
      <c r="M3306" s="6">
        <f>HYPERLINK("https://map.naver.com/p/search/세종특별자치시 연기면 눌왕리 679", "지도Link")</f>
        <v/>
      </c>
      <c r="N3306" s="6">
        <f>HYPERLINK("http://www.eum.go.kr/web/ar/lu/luLandDet.jsp?pnu=3611031023106790000&amp;isNoScr=script&amp;mode=search", "토지이음")</f>
        <v/>
      </c>
      <c r="O3306" s="3" t="inlineStr">
        <is>
          <t>도안우미린올레</t>
        </is>
      </c>
      <c r="P3306" s="3" t="n">
        <v>1</v>
      </c>
      <c r="Q3306" s="3" t="n">
        <v>1306</v>
      </c>
      <c r="R3306" s="3" t="inlineStr">
        <is>
          <t>지정되지않음</t>
        </is>
      </c>
      <c r="S3306" s="3" t="inlineStr">
        <is>
          <t>단독</t>
        </is>
      </c>
      <c r="T3306" s="3" t="inlineStr">
        <is>
          <t>평지</t>
        </is>
      </c>
      <c r="U3306" s="3" t="inlineStr">
        <is>
          <t>부정형</t>
        </is>
      </c>
      <c r="V3306" s="3" t="inlineStr">
        <is>
          <t>세로한면(가)</t>
        </is>
      </c>
    </row>
    <row r="3307">
      <c r="A3307" s="3" t="inlineStr">
        <is>
          <t>세종특별자치시 연기면 눌왕리 680-7</t>
        </is>
      </c>
      <c r="B3307" s="3" t="inlineStr">
        <is>
          <t>계획관리지역</t>
        </is>
      </c>
      <c r="C3307" s="3" t="inlineStr">
        <is>
          <t>목장용지</t>
        </is>
      </c>
      <c r="D3307" s="3" t="inlineStr">
        <is>
          <t>목장용지</t>
        </is>
      </c>
      <c r="E3307" s="3" t="inlineStr">
        <is>
          <t>매매</t>
        </is>
      </c>
      <c r="F3307" s="4" t="n">
        <v>220000</v>
      </c>
      <c r="G3307" s="4" t="n">
        <v>4833</v>
      </c>
      <c r="H3307" s="4" t="n">
        <v>1462</v>
      </c>
      <c r="I3307" s="5" t="n">
        <v>150.5</v>
      </c>
      <c r="J3307" s="4" t="n">
        <v>70.40000000000001</v>
      </c>
      <c r="K3307" s="3" t="inlineStr">
        <is>
          <t>자연 속에서 미래 가치를 담아낼 수 있는 특별한 토지 매물</t>
        </is>
      </c>
      <c r="L3307" s="6">
        <f>HYPERLINK("https://fin.land.naver.com/articles/2647438118", "매물Link")</f>
        <v/>
      </c>
      <c r="M3307" s="6">
        <f>HYPERLINK("https://map.naver.com/p/search/세종특별자치시 연기면 눌왕리 680-7", "지도Link")</f>
        <v/>
      </c>
      <c r="N3307" s="6">
        <f>HYPERLINK("http://www.eum.go.kr/web/ar/lu/luLandDet.jsp?pnu=3611031023106800007&amp;isNoScr=script&amp;mode=search", "토지이음")</f>
        <v/>
      </c>
      <c r="O3307" s="3" t="inlineStr">
        <is>
          <t>번암주공</t>
        </is>
      </c>
      <c r="P3307" s="3" t="n">
        <v>1</v>
      </c>
      <c r="Q3307" s="3" t="n">
        <v>3171</v>
      </c>
      <c r="R3307" s="3" t="inlineStr">
        <is>
          <t>지정되지않음</t>
        </is>
      </c>
      <c r="S3307" s="3" t="inlineStr">
        <is>
          <t>전기타</t>
        </is>
      </c>
      <c r="T3307" s="3" t="inlineStr">
        <is>
          <t>평지</t>
        </is>
      </c>
      <c r="U3307" s="3" t="inlineStr">
        <is>
          <t>사다리형</t>
        </is>
      </c>
      <c r="V3307" s="3" t="inlineStr">
        <is>
          <t>세로한면(가)</t>
        </is>
      </c>
    </row>
    <row r="3308">
      <c r="A3308" s="3" t="inlineStr">
        <is>
          <t>세종특별자치시 연기면 눌왕리 699-1</t>
        </is>
      </c>
      <c r="B3308" s="3" t="inlineStr">
        <is>
          <t>계획관리지역</t>
        </is>
      </c>
      <c r="C3308" s="3" t="inlineStr">
        <is>
          <t>전</t>
        </is>
      </c>
      <c r="D3308" s="3" t="inlineStr">
        <is>
          <t>전</t>
        </is>
      </c>
      <c r="E3308" s="3" t="inlineStr">
        <is>
          <t>매매</t>
        </is>
      </c>
      <c r="F3308" s="4" t="n">
        <v>60000</v>
      </c>
      <c r="G3308" s="4" t="n">
        <v>990</v>
      </c>
      <c r="H3308" s="4" t="n">
        <v>299</v>
      </c>
      <c r="I3308" s="5" t="n">
        <v>200.7</v>
      </c>
      <c r="J3308" s="4" t="n">
        <v>63.9</v>
      </c>
      <c r="K3308" s="3" t="inlineStr">
        <is>
          <t>nan</t>
        </is>
      </c>
      <c r="L3308" s="6">
        <f>HYPERLINK("https://fin.land.naver.com/articles/2649719803", "매물Link")</f>
        <v/>
      </c>
      <c r="M3308" s="6">
        <f>HYPERLINK("https://map.naver.com/p/search/세종특별자치시 연기면 눌왕리 699-1", "지도Link")</f>
        <v/>
      </c>
      <c r="N3308" s="6">
        <f>HYPERLINK("http://www.eum.go.kr/web/ar/lu/luLandDet.jsp?pnu=3611031023106990001&amp;isNoScr=script&amp;mode=search", "토지이음")</f>
        <v/>
      </c>
      <c r="O3308" s="3" t="inlineStr">
        <is>
          <t>KB세종</t>
        </is>
      </c>
      <c r="P3308" s="3" t="n">
        <v>1</v>
      </c>
      <c r="Q3308" s="3" t="n">
        <v>1874</v>
      </c>
      <c r="R3308" s="3" t="inlineStr">
        <is>
          <t>지정되지않음</t>
        </is>
      </c>
      <c r="S3308" s="3" t="inlineStr">
        <is>
          <t>전</t>
        </is>
      </c>
      <c r="T3308" s="3" t="inlineStr">
        <is>
          <t>평지</t>
        </is>
      </c>
      <c r="U3308" s="3" t="inlineStr">
        <is>
          <t>부정형</t>
        </is>
      </c>
      <c r="V3308" s="3" t="inlineStr">
        <is>
          <t>세로한면(가)</t>
        </is>
      </c>
    </row>
    <row r="3309">
      <c r="A3309" s="3" t="inlineStr">
        <is>
          <t>세종특별자치시 연기면 눌왕리 산18-1</t>
        </is>
      </c>
      <c r="B3309" s="3" t="inlineStr">
        <is>
          <t>계획관리지역</t>
        </is>
      </c>
      <c r="C3309" s="3" t="inlineStr">
        <is>
          <t>임야</t>
        </is>
      </c>
      <c r="D3309" s="3" t="inlineStr">
        <is>
          <t>임야</t>
        </is>
      </c>
      <c r="E3309" s="3" t="inlineStr">
        <is>
          <t>매매</t>
        </is>
      </c>
      <c r="F3309" s="4" t="n">
        <v>500000</v>
      </c>
      <c r="G3309" s="4" t="n">
        <v>6942</v>
      </c>
      <c r="H3309" s="4" t="n">
        <v>2100</v>
      </c>
      <c r="I3309" s="5" t="n">
        <v>238.1</v>
      </c>
      <c r="J3309" s="4" t="n">
        <v>20.7</v>
      </c>
      <c r="K3309" s="3" t="inlineStr">
        <is>
          <t>세종시 계획관리지역, 산단 주변 개발호재 가능성</t>
        </is>
      </c>
      <c r="L3309" s="6">
        <f>HYPERLINK("https://fin.land.naver.com/articles/2645587184", "매물Link")</f>
        <v/>
      </c>
      <c r="M3309" s="6">
        <f>HYPERLINK("https://map.naver.com/p/search/세종특별자치시 연기면 눌왕리 산18-1", "지도Link")</f>
        <v/>
      </c>
      <c r="N3309" s="6">
        <f>HYPERLINK("http://www.eum.go.kr/web/ar/lu/luLandDet.jsp?pnu=3611031023200180001&amp;isNoScr=script&amp;mode=search", "토지이음")</f>
        <v/>
      </c>
      <c r="O3309" s="3" t="inlineStr">
        <is>
          <t>미래</t>
        </is>
      </c>
      <c r="P3309" s="3" t="n">
        <v>1</v>
      </c>
      <c r="Q3309" s="3" t="n">
        <v>5554</v>
      </c>
      <c r="R3309" s="3" t="inlineStr">
        <is>
          <t>지정되지않음</t>
        </is>
      </c>
      <c r="S3309" s="3" t="inlineStr">
        <is>
          <t>자연림</t>
        </is>
      </c>
      <c r="T3309" s="3" t="inlineStr">
        <is>
          <t>완경사</t>
        </is>
      </c>
      <c r="U3309" s="3" t="inlineStr">
        <is>
          <t>부정형</t>
        </is>
      </c>
      <c r="V3309" s="3" t="inlineStr">
        <is>
          <t>세로한면(가)</t>
        </is>
      </c>
    </row>
    <row r="3310">
      <c r="A3310" s="3" t="inlineStr">
        <is>
          <t>세종특별자치시 연기면 눌왕리 산20-1</t>
        </is>
      </c>
      <c r="B3310" s="3" t="inlineStr">
        <is>
          <t>계획관리지역</t>
        </is>
      </c>
      <c r="C3310" s="3" t="inlineStr">
        <is>
          <t>임야</t>
        </is>
      </c>
      <c r="D3310" s="3" t="inlineStr">
        <is>
          <t>임야</t>
        </is>
      </c>
      <c r="E3310" s="3" t="inlineStr">
        <is>
          <t>매매</t>
        </is>
      </c>
      <c r="F3310" s="4" t="n">
        <v>92000</v>
      </c>
      <c r="G3310" s="4" t="n">
        <v>1515</v>
      </c>
      <c r="H3310" s="4" t="n">
        <v>458</v>
      </c>
      <c r="I3310" s="5" t="n">
        <v>200.9</v>
      </c>
      <c r="J3310" s="4" t="n">
        <v>17.8</v>
      </c>
      <c r="K3310" s="3" t="inlineStr">
        <is>
          <t>투자목적,
국가 산업단지 인근
가격조정 최대한 해 보겠습니다.</t>
        </is>
      </c>
      <c r="L3310" s="6">
        <f>HYPERLINK("https://fin.land.naver.com/articles/2646204092", "매물Link")</f>
        <v/>
      </c>
      <c r="M3310" s="6">
        <f>HYPERLINK("https://map.naver.com/p/search/세종특별자치시 연기면 눌왕리 산20-1", "지도Link")</f>
        <v/>
      </c>
      <c r="N3310" s="6">
        <f>HYPERLINK("http://www.eum.go.kr/web/ar/lu/luLandDet.jsp?pnu=3611031023200200001&amp;isNoScr=script&amp;mode=search", "토지이음")</f>
        <v/>
      </c>
      <c r="O3310" s="3" t="inlineStr">
        <is>
          <t>해들일번지</t>
        </is>
      </c>
      <c r="P3310" s="3" t="n">
        <v>1</v>
      </c>
      <c r="Q3310" s="3" t="n">
        <v>1515</v>
      </c>
      <c r="R3310" s="3" t="inlineStr">
        <is>
          <t>지정되지않음</t>
        </is>
      </c>
      <c r="S3310" s="3" t="inlineStr">
        <is>
          <t>자연림</t>
        </is>
      </c>
      <c r="T3310" s="3" t="inlineStr">
        <is>
          <t>완경사</t>
        </is>
      </c>
      <c r="U3310" s="3" t="inlineStr">
        <is>
          <t>부정형</t>
        </is>
      </c>
      <c r="V3310" s="3" t="inlineStr">
        <is>
          <t>맹지</t>
        </is>
      </c>
    </row>
    <row r="3311">
      <c r="A3311" s="3" t="inlineStr">
        <is>
          <t>세종특별자치시 연기면 눌왕리 산71-1</t>
        </is>
      </c>
      <c r="B3311" s="3" t="inlineStr">
        <is>
          <t>보전관리지역</t>
        </is>
      </c>
      <c r="C3311" s="3" t="inlineStr">
        <is>
          <t>임야</t>
        </is>
      </c>
      <c r="D3311" s="3" t="inlineStr">
        <is>
          <t>임야</t>
        </is>
      </c>
      <c r="E3311" s="3" t="inlineStr">
        <is>
          <t>매매</t>
        </is>
      </c>
      <c r="F3311" s="4" t="n">
        <v>33000</v>
      </c>
      <c r="G3311" s="4" t="n">
        <v>843</v>
      </c>
      <c r="H3311" s="4" t="n">
        <v>255</v>
      </c>
      <c r="I3311" s="5" t="n">
        <v>129.4</v>
      </c>
      <c r="J3311" s="4" t="n">
        <v>12.3</v>
      </c>
      <c r="K3311" s="3" t="inlineStr">
        <is>
          <t>관리지역 토지매매주택건축,투자 등</t>
        </is>
      </c>
      <c r="L3311" s="6">
        <f>HYPERLINK("https://fin.land.naver.com/articles/2648813405", "매물Link")</f>
        <v/>
      </c>
      <c r="M3311" s="6">
        <f>HYPERLINK("https://map.naver.com/p/search/세종특별자치시 연기면 눌왕리 산71-1", "지도Link")</f>
        <v/>
      </c>
      <c r="N3311" s="6">
        <f>HYPERLINK("http://www.eum.go.kr/web/ar/lu/luLandDet.jsp?pnu=3611031023200710001&amp;isNoScr=script&amp;mode=search", "토지이음")</f>
        <v/>
      </c>
      <c r="O3311" s="3" t="inlineStr">
        <is>
          <t>세종대박</t>
        </is>
      </c>
      <c r="P3311" s="3" t="n">
        <v>1</v>
      </c>
      <c r="Q3311" s="3" t="n">
        <v>843</v>
      </c>
      <c r="R3311" s="3" t="inlineStr">
        <is>
          <t>지정되지않음</t>
        </is>
      </c>
      <c r="S3311" s="3" t="inlineStr">
        <is>
          <t>자연림</t>
        </is>
      </c>
      <c r="T3311" s="3" t="inlineStr">
        <is>
          <t>완경사</t>
        </is>
      </c>
      <c r="U3311" s="3" t="inlineStr">
        <is>
          <t>사다리형</t>
        </is>
      </c>
      <c r="V3311" s="3" t="inlineStr">
        <is>
          <t>세로한면(가)</t>
        </is>
      </c>
    </row>
    <row r="3312">
      <c r="A3312" s="3" t="inlineStr">
        <is>
          <t>세종특별자치시 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HYPERLINK("https://map.naver.com/p/search/세종특별자치시 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세종특별자치시 연기면 눌왕리 산78-20</t>
        </is>
      </c>
      <c r="B3313" s="3" t="inlineStr">
        <is>
          <t>보전관리지역</t>
        </is>
      </c>
      <c r="C3313" s="3" t="inlineStr">
        <is>
          <t>임야</t>
        </is>
      </c>
      <c r="D3313" s="3" t="inlineStr">
        <is>
          <t>임야</t>
        </is>
      </c>
      <c r="E3313" s="3" t="inlineStr">
        <is>
          <t>매매</t>
        </is>
      </c>
      <c r="F3313" s="4" t="n">
        <v>175000</v>
      </c>
      <c r="G3313" s="4" t="n">
        <v>7685</v>
      </c>
      <c r="H3313" s="4" t="n">
        <v>2325</v>
      </c>
      <c r="I3313" s="5" t="n">
        <v>75.3</v>
      </c>
      <c r="J3313" s="4" t="n">
        <v>9.800000000000001</v>
      </c>
      <c r="K3313" s="3" t="inlineStr">
        <is>
          <t>도로접 보전관리지역 성장관리계획구역 분할매매가능</t>
        </is>
      </c>
      <c r="L3313" s="6">
        <f>HYPERLINK("https://fin.land.naver.com/articles/2646529009", "매물Link")</f>
        <v/>
      </c>
      <c r="M3313" s="6">
        <f>HYPERLINK("https://map.naver.com/p/search/세종특별자치시 연기면 눌왕리 산78-20", "지도Link")</f>
        <v/>
      </c>
      <c r="N3313" s="6">
        <f>HYPERLINK("http://www.eum.go.kr/web/ar/lu/luLandDet.jsp?pnu=3611031023200780020&amp;isNoScr=script&amp;mode=search", "토지이음")</f>
        <v/>
      </c>
      <c r="O3313" s="3" t="inlineStr">
        <is>
          <t>사계절(합동)</t>
        </is>
      </c>
      <c r="P3313" s="3" t="n">
        <v>1</v>
      </c>
      <c r="Q3313" s="3" t="n">
        <v>7160</v>
      </c>
      <c r="R3313" s="3" t="inlineStr">
        <is>
          <t>지정되지않음</t>
        </is>
      </c>
      <c r="S3313" s="3" t="inlineStr">
        <is>
          <t>자연림</t>
        </is>
      </c>
      <c r="T3313" s="3" t="inlineStr">
        <is>
          <t>급경사</t>
        </is>
      </c>
      <c r="U3313" s="3" t="inlineStr">
        <is>
          <t>부정형</t>
        </is>
      </c>
      <c r="V3313" s="3" t="inlineStr">
        <is>
          <t>세로한면(가)</t>
        </is>
      </c>
    </row>
    <row r="3314">
      <c r="A3314" s="3" t="inlineStr">
        <is>
          <t>세종특별자치시 연기면 보통리 12-3</t>
        </is>
      </c>
      <c r="B3314" s="3" t="inlineStr">
        <is>
          <t>계획관리지역</t>
        </is>
      </c>
      <c r="C3314" s="3" t="inlineStr">
        <is>
          <t>목장용지</t>
        </is>
      </c>
      <c r="D3314" s="3" t="inlineStr">
        <is>
          <t>목장용지</t>
        </is>
      </c>
      <c r="E3314" s="3" t="inlineStr">
        <is>
          <t>매매</t>
        </is>
      </c>
      <c r="F3314" s="4" t="n">
        <v>27000</v>
      </c>
      <c r="G3314" s="4" t="n">
        <v>293</v>
      </c>
      <c r="H3314" s="4" t="n">
        <v>89</v>
      </c>
      <c r="I3314" s="5" t="n">
        <v>303.4</v>
      </c>
      <c r="J3314" s="4" t="n">
        <v>73</v>
      </c>
      <c r="K3314" s="3" t="inlineStr">
        <is>
          <t>도로접한 계획관리 토지 매매</t>
        </is>
      </c>
      <c r="L3314" s="6">
        <f>HYPERLINK("https://fin.land.naver.com/articles/2646007473", "매물Link")</f>
        <v/>
      </c>
      <c r="M3314" s="6">
        <f>HYPERLINK("https://map.naver.com/p/search/세종특별자치시 연기면 보통리 12-3", "지도Link")</f>
        <v/>
      </c>
      <c r="N3314" s="6">
        <f>HYPERLINK("http://www.eum.go.kr/web/ar/lu/luLandDet.jsp?pnu=3611031022100120003&amp;isNoScr=script&amp;mode=search", "토지이음")</f>
        <v/>
      </c>
      <c r="O3314" s="3" t="inlineStr">
        <is>
          <t>세종대박</t>
        </is>
      </c>
      <c r="P3314" s="3" t="n">
        <v>1</v>
      </c>
      <c r="Q3314" s="3" t="n">
        <v>293</v>
      </c>
      <c r="R3314" s="3" t="inlineStr">
        <is>
          <t>지정되지않음</t>
        </is>
      </c>
      <c r="S3314" s="3" t="inlineStr">
        <is>
          <t>전기타</t>
        </is>
      </c>
      <c r="T3314" s="3" t="inlineStr">
        <is>
          <t>평지</t>
        </is>
      </c>
      <c r="U3314" s="3" t="inlineStr">
        <is>
          <t>부정형</t>
        </is>
      </c>
      <c r="V3314" s="3" t="inlineStr">
        <is>
          <t>세로한면(가)</t>
        </is>
      </c>
    </row>
    <row r="3315">
      <c r="A3315" s="3" t="inlineStr">
        <is>
          <t>세종특별자치시 연기면 보통리 388-26</t>
        </is>
      </c>
      <c r="B3315" s="3" t="inlineStr">
        <is>
          <t>계획관리지역</t>
        </is>
      </c>
      <c r="C3315" s="3" t="inlineStr">
        <is>
          <t>주차장</t>
        </is>
      </c>
      <c r="D3315" s="3" t="inlineStr">
        <is>
          <t>주차장</t>
        </is>
      </c>
      <c r="E3315" s="3" t="inlineStr">
        <is>
          <t>매매</t>
        </is>
      </c>
      <c r="F3315" s="4" t="n">
        <v>118000</v>
      </c>
      <c r="G3315" s="4" t="n">
        <v>640</v>
      </c>
      <c r="H3315" s="4" t="n">
        <v>194</v>
      </c>
      <c r="I3315" s="5" t="n">
        <v>608.2</v>
      </c>
      <c r="J3315" s="4" t="n">
        <v>137.6</v>
      </c>
      <c r="K3315" s="3" t="inlineStr">
        <is>
          <t>국가산업단지 인근 계획관리토지현주차장</t>
        </is>
      </c>
      <c r="L3315" s="6">
        <f>HYPERLINK("https://fin.land.naver.com/articles/2644444566", "매물Link")</f>
        <v/>
      </c>
      <c r="M3315" s="6">
        <f>HYPERLINK("https://map.naver.com/p/search/세종특별자치시 연기면 보통리 388-26", "지도Link")</f>
        <v/>
      </c>
      <c r="N3315" s="6">
        <f>HYPERLINK("http://www.eum.go.kr/web/ar/lu/luLandDet.jsp?pnu=3611031022103880026&amp;isNoScr=script&amp;mode=search", "토지이음")</f>
        <v/>
      </c>
      <c r="O3315" s="3" t="inlineStr">
        <is>
          <t>세종대박</t>
        </is>
      </c>
      <c r="P3315" s="3" t="n">
        <v>1</v>
      </c>
      <c r="Q3315" s="3" t="n">
        <v>640.3</v>
      </c>
      <c r="R3315" s="3" t="inlineStr">
        <is>
          <t>지정되지않음</t>
        </is>
      </c>
      <c r="S3315" s="3" t="inlineStr">
        <is>
          <t>주차장등</t>
        </is>
      </c>
      <c r="T3315" s="3" t="inlineStr">
        <is>
          <t>평지</t>
        </is>
      </c>
      <c r="U3315" s="3" t="inlineStr">
        <is>
          <t>세로장방</t>
        </is>
      </c>
      <c r="V3315" s="3" t="inlineStr">
        <is>
          <t>세로한면(가)</t>
        </is>
      </c>
    </row>
    <row r="3316">
      <c r="A3316" s="3" t="inlineStr">
        <is>
          <t>세종특별자치시 연기면 보통리 406</t>
        </is>
      </c>
      <c r="B3316" s="3" t="inlineStr">
        <is>
          <t>농림지역</t>
        </is>
      </c>
      <c r="C3316" s="3" t="inlineStr">
        <is>
          <t>답</t>
        </is>
      </c>
      <c r="D3316" s="3" t="inlineStr">
        <is>
          <t>답</t>
        </is>
      </c>
      <c r="E3316" s="3" t="inlineStr">
        <is>
          <t>매매</t>
        </is>
      </c>
      <c r="F3316" s="4" t="n">
        <v>270000</v>
      </c>
      <c r="G3316" s="4" t="n">
        <v>3568</v>
      </c>
      <c r="H3316" s="4" t="n">
        <v>1079</v>
      </c>
      <c r="I3316" s="5" t="n">
        <v>250.2</v>
      </c>
      <c r="J3316" s="4" t="n">
        <v>53.5</v>
      </c>
      <c r="K3316" s="3" t="inlineStr">
        <is>
          <t>도로접한 농지 매매</t>
        </is>
      </c>
      <c r="L3316" s="6">
        <f>HYPERLINK("https://fin.land.naver.com/articles/2644915781", "매물Link")</f>
        <v/>
      </c>
      <c r="M3316" s="6">
        <f>HYPERLINK("https://map.naver.com/p/search/세종특별자치시 연기면 보통리 406", "지도Link")</f>
        <v/>
      </c>
      <c r="N3316" s="6">
        <f>HYPERLINK("http://www.eum.go.kr/web/ar/lu/luLandDet.jsp?pnu=3611031022104060000&amp;isNoScr=script&amp;mode=search", "토지이음")</f>
        <v/>
      </c>
      <c r="O3316" s="3" t="inlineStr">
        <is>
          <t>세종대박</t>
        </is>
      </c>
      <c r="P3316" s="3" t="n">
        <v>1</v>
      </c>
      <c r="Q3316" s="3" t="n">
        <v>3568.4</v>
      </c>
      <c r="R3316" s="3" t="inlineStr">
        <is>
          <t>지정되지않음</t>
        </is>
      </c>
      <c r="S3316" s="3" t="inlineStr">
        <is>
          <t>답</t>
        </is>
      </c>
      <c r="T3316" s="3" t="inlineStr">
        <is>
          <t>평지</t>
        </is>
      </c>
      <c r="U3316" s="3" t="inlineStr">
        <is>
          <t>가로장방</t>
        </is>
      </c>
      <c r="V3316" s="3" t="inlineStr">
        <is>
          <t>세로한면(불)</t>
        </is>
      </c>
    </row>
    <row r="3317">
      <c r="A3317" s="3" t="inlineStr">
        <is>
          <t>세종특별자치시 연기면 수산리 103-3</t>
        </is>
      </c>
      <c r="B3317" s="3" t="inlineStr">
        <is>
          <t>계획관리지역</t>
        </is>
      </c>
      <c r="C3317" s="3" t="inlineStr">
        <is>
          <t>답</t>
        </is>
      </c>
      <c r="D3317" s="3" t="inlineStr">
        <is>
          <t>답</t>
        </is>
      </c>
      <c r="E3317" s="3" t="inlineStr">
        <is>
          <t>매매</t>
        </is>
      </c>
      <c r="F3317" s="4" t="n">
        <v>200000</v>
      </c>
      <c r="G3317" s="4" t="n">
        <v>1339</v>
      </c>
      <c r="H3317" s="4" t="n">
        <v>405</v>
      </c>
      <c r="I3317" s="5" t="n">
        <v>493.8</v>
      </c>
      <c r="J3317" s="4" t="n">
        <v>56.4</v>
      </c>
      <c r="K3317" s="3" t="inlineStr">
        <is>
          <t>추천. 세종인근 대형식당자리</t>
        </is>
      </c>
      <c r="L3317" s="6">
        <f>HYPERLINK("https://fin.land.naver.com/articles/2645464393", "매물Link")</f>
        <v/>
      </c>
      <c r="M3317" s="6">
        <f>HYPERLINK("https://map.naver.com/p/search/세종특별자치시 연기면 수산리 103-3", "지도Link")</f>
        <v/>
      </c>
      <c r="N3317" s="6">
        <f>HYPERLINK("http://www.eum.go.kr/web/ar/lu/luLandDet.jsp?pnu=3611031024101030003&amp;isNoScr=script&amp;mode=search", "토지이음")</f>
        <v/>
      </c>
      <c r="O3317" s="3" t="inlineStr">
        <is>
          <t>강아지풀</t>
        </is>
      </c>
      <c r="P3317" s="3" t="n">
        <v>2</v>
      </c>
      <c r="Q3317" s="3" t="n">
        <v>1339</v>
      </c>
      <c r="R3317" s="3" t="inlineStr">
        <is>
          <t>지정되지않음</t>
        </is>
      </c>
      <c r="S3317" s="3" t="inlineStr">
        <is>
          <t>답</t>
        </is>
      </c>
      <c r="T3317" s="3" t="inlineStr">
        <is>
          <t>평지</t>
        </is>
      </c>
      <c r="U3317" s="3" t="inlineStr">
        <is>
          <t>부정형</t>
        </is>
      </c>
      <c r="V3317" s="3" t="inlineStr">
        <is>
          <t>세로한면(가)</t>
        </is>
      </c>
    </row>
    <row r="3318">
      <c r="A3318" s="3" t="inlineStr">
        <is>
          <t>세종특별자치시 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행복도시에서 가까운 토지 대토 투자적합 연서산단에서도 가까움</t>
        </is>
      </c>
      <c r="L3318" s="6">
        <f>HYPERLINK("https://fin.land.naver.com/articles/2646912503", "매물Link")</f>
        <v/>
      </c>
      <c r="M3318" s="6">
        <f>HYPERLINK("https://map.naver.com/p/search/세종특별자치시 연기면 수산리 11", "지도Link")</f>
        <v/>
      </c>
      <c r="N3318" s="6">
        <f>HYPERLINK("http://www.eum.go.kr/web/ar/lu/luLandDet.jsp?pnu=3611031024100110000&amp;isNoScr=script&amp;mode=search", "토지이음")</f>
        <v/>
      </c>
      <c r="O3318" s="3" t="inlineStr">
        <is>
          <t>고운동리치세종</t>
        </is>
      </c>
      <c r="P3318" s="3" t="n">
        <v>4</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세종특별자치시 연기면 수산리 11</t>
        </is>
      </c>
      <c r="B3319" s="3" t="inlineStr">
        <is>
          <t>보전관리지역</t>
        </is>
      </c>
      <c r="C3319" s="3" t="inlineStr">
        <is>
          <t>전</t>
        </is>
      </c>
      <c r="D3319" s="3" t="inlineStr">
        <is>
          <t>전</t>
        </is>
      </c>
      <c r="E3319" s="3" t="inlineStr">
        <is>
          <t>매매</t>
        </is>
      </c>
      <c r="F3319" s="4" t="n">
        <v>59000</v>
      </c>
      <c r="G3319" s="4" t="n">
        <v>2228</v>
      </c>
      <c r="H3319" s="4" t="n">
        <v>674</v>
      </c>
      <c r="I3319" s="5" t="n">
        <v>87.5</v>
      </c>
      <c r="J3319" s="4" t="n">
        <v>32.6</v>
      </c>
      <c r="K3319" s="3" t="inlineStr">
        <is>
          <t>산밑 남향의 농촌체류형쉼터 적지</t>
        </is>
      </c>
      <c r="L3319" s="6">
        <f>HYPERLINK("https://fin.land.naver.com/articles/2644525233", "매물Link")</f>
        <v/>
      </c>
      <c r="M3319" s="6">
        <f>HYPERLINK("https://map.naver.com/p/search/세종특별자치시 연기면 수산리 11", "지도Link")</f>
        <v/>
      </c>
      <c r="N3319" s="6">
        <f>HYPERLINK("http://www.eum.go.kr/web/ar/lu/luLandDet.jsp?pnu=3611031024100110000&amp;isNoScr=script&amp;mode=search", "토지이음")</f>
        <v/>
      </c>
      <c r="O3319" s="3" t="inlineStr">
        <is>
          <t>용궁</t>
        </is>
      </c>
      <c r="P3319" s="3" t="n">
        <v>1</v>
      </c>
      <c r="Q3319" s="3" t="n">
        <v>2228</v>
      </c>
      <c r="R3319" s="3" t="inlineStr">
        <is>
          <t>지정되지않음</t>
        </is>
      </c>
      <c r="S3319" s="3" t="inlineStr">
        <is>
          <t>전</t>
        </is>
      </c>
      <c r="T3319" s="3" t="inlineStr">
        <is>
          <t>완경사</t>
        </is>
      </c>
      <c r="U3319" s="3" t="inlineStr">
        <is>
          <t>부정형</t>
        </is>
      </c>
      <c r="V3319" s="3" t="inlineStr">
        <is>
          <t>세로한면(불)</t>
        </is>
      </c>
    </row>
    <row r="3320">
      <c r="A3320" s="3" t="inlineStr">
        <is>
          <t>세종특별자치시 연기면 수산리 119</t>
        </is>
      </c>
      <c r="B3320" s="3" t="inlineStr">
        <is>
          <t>생산관리지역</t>
        </is>
      </c>
      <c r="C3320" s="3" t="inlineStr">
        <is>
          <t>전</t>
        </is>
      </c>
      <c r="D3320" s="3" t="inlineStr">
        <is>
          <t>전</t>
        </is>
      </c>
      <c r="E3320" s="3" t="inlineStr">
        <is>
          <t>매매</t>
        </is>
      </c>
      <c r="F3320" s="4" t="n">
        <v>179800</v>
      </c>
      <c r="G3320" s="4" t="n">
        <v>1918</v>
      </c>
      <c r="H3320" s="4" t="n">
        <v>580</v>
      </c>
      <c r="I3320" s="5" t="n">
        <v>310</v>
      </c>
      <c r="J3320" s="4" t="n">
        <v>58.2</v>
      </c>
      <c r="K3320" s="3" t="inlineStr">
        <is>
          <t>수산3거리,2차선변 입지좋은 토지 매매.</t>
        </is>
      </c>
      <c r="L3320" s="6">
        <f>HYPERLINK("https://fin.land.naver.com/articles/2644148468", "매물Link")</f>
        <v/>
      </c>
      <c r="M3320" s="6">
        <f>HYPERLINK("https://map.naver.com/p/search/세종특별자치시 연기면 수산리 119", "지도Link")</f>
        <v/>
      </c>
      <c r="N3320" s="6">
        <f>HYPERLINK("http://www.eum.go.kr/web/ar/lu/luLandDet.jsp?pnu=3611031024101190000&amp;isNoScr=script&amp;mode=search", "토지이음")</f>
        <v/>
      </c>
      <c r="O3320" s="3" t="inlineStr">
        <is>
          <t>세종강산</t>
        </is>
      </c>
      <c r="P3320" s="3" t="n">
        <v>1</v>
      </c>
      <c r="Q3320" s="3" t="n">
        <v>1010</v>
      </c>
      <c r="R3320" s="3" t="inlineStr">
        <is>
          <t>지정되지않음</t>
        </is>
      </c>
      <c r="S3320" s="3" t="inlineStr">
        <is>
          <t>전</t>
        </is>
      </c>
      <c r="T3320" s="3" t="inlineStr">
        <is>
          <t>평지</t>
        </is>
      </c>
      <c r="U3320" s="3" t="inlineStr">
        <is>
          <t>부정형</t>
        </is>
      </c>
      <c r="V3320" s="3" t="inlineStr">
        <is>
          <t>소로한면</t>
        </is>
      </c>
    </row>
    <row r="3321">
      <c r="A3321" s="3" t="inlineStr">
        <is>
          <t>세종특별자치시 연기면 수산리 123</t>
        </is>
      </c>
      <c r="B3321" s="3" t="inlineStr">
        <is>
          <t>계획관리지역</t>
        </is>
      </c>
      <c r="C3321" s="3" t="inlineStr">
        <is>
          <t>전</t>
        </is>
      </c>
      <c r="D3321" s="3" t="inlineStr">
        <is>
          <t>전</t>
        </is>
      </c>
      <c r="E3321" s="3" t="inlineStr">
        <is>
          <t>매매</t>
        </is>
      </c>
      <c r="F3321" s="4" t="n">
        <v>182000</v>
      </c>
      <c r="G3321" s="4" t="n">
        <v>1716</v>
      </c>
      <c r="H3321" s="4" t="n">
        <v>519</v>
      </c>
      <c r="I3321" s="5" t="n">
        <v>350.7</v>
      </c>
      <c r="J3321" s="4" t="n">
        <v>66</v>
      </c>
      <c r="K3321" s="3" t="inlineStr">
        <is>
          <t>수산 IC 근접 계획관리 지역 매매</t>
        </is>
      </c>
      <c r="L3321" s="6">
        <f>HYPERLINK("https://fin.land.naver.com/articles/2646666738", "매물Link")</f>
        <v/>
      </c>
      <c r="M3321" s="6">
        <f>HYPERLINK("https://map.naver.com/p/search/세종특별자치시 연기면 수산리 123", "지도Link")</f>
        <v/>
      </c>
      <c r="N3321" s="6">
        <f>HYPERLINK("http://www.eum.go.kr/web/ar/lu/luLandDet.jsp?pnu=3611031024101230000&amp;isNoScr=script&amp;mode=search", "토지이음")</f>
        <v/>
      </c>
      <c r="O3321" s="3" t="inlineStr">
        <is>
          <t>강나루</t>
        </is>
      </c>
      <c r="P3321" s="3" t="n">
        <v>1</v>
      </c>
      <c r="Q3321" s="3" t="n">
        <v>1716</v>
      </c>
      <c r="R3321" s="3" t="inlineStr">
        <is>
          <t>지정되지않음</t>
        </is>
      </c>
      <c r="S3321" s="3" t="inlineStr">
        <is>
          <t>전</t>
        </is>
      </c>
      <c r="T3321" s="3" t="inlineStr">
        <is>
          <t>평지</t>
        </is>
      </c>
      <c r="U3321" s="3" t="inlineStr">
        <is>
          <t>부정형</t>
        </is>
      </c>
      <c r="V3321" s="3" t="inlineStr">
        <is>
          <t>세로한면(가)</t>
        </is>
      </c>
    </row>
    <row r="3322">
      <c r="A3322" s="3" t="inlineStr">
        <is>
          <t>세종특별자치시 연기면 수산리 130</t>
        </is>
      </c>
      <c r="B3322" s="3" t="inlineStr">
        <is>
          <t>계획관리지역</t>
        </is>
      </c>
      <c r="C3322" s="3" t="inlineStr">
        <is>
          <t>전</t>
        </is>
      </c>
      <c r="D3322" s="3" t="inlineStr">
        <is>
          <t>전</t>
        </is>
      </c>
      <c r="E3322" s="3" t="inlineStr">
        <is>
          <t>매매</t>
        </is>
      </c>
      <c r="F3322" s="4" t="n">
        <v>65000</v>
      </c>
      <c r="G3322" s="4" t="n">
        <v>534</v>
      </c>
      <c r="H3322" s="4" t="n">
        <v>162</v>
      </c>
      <c r="I3322" s="5" t="n">
        <v>401.2</v>
      </c>
      <c r="J3322" s="4" t="n">
        <v>68</v>
      </c>
      <c r="K3322" s="3" t="inlineStr">
        <is>
          <t>수산교차로 지가상승 기대되는 토지</t>
        </is>
      </c>
      <c r="L3322" s="6">
        <f>HYPERLINK("https://fin.land.naver.com/articles/2648813389", "매물Link")</f>
        <v/>
      </c>
      <c r="M3322" s="6">
        <f>HYPERLINK("https://map.naver.com/p/search/세종특별자치시 연기면 수산리 130", "지도Link")</f>
        <v/>
      </c>
      <c r="N3322" s="6">
        <f>HYPERLINK("http://www.eum.go.kr/web/ar/lu/luLandDet.jsp?pnu=3611031024101300000&amp;isNoScr=script&amp;mode=search", "토지이음")</f>
        <v/>
      </c>
      <c r="O3322" s="3" t="inlineStr">
        <is>
          <t>세종대박</t>
        </is>
      </c>
      <c r="P3322" s="3" t="n">
        <v>1</v>
      </c>
      <c r="Q3322" s="3" t="n">
        <v>287</v>
      </c>
      <c r="R3322" s="3" t="inlineStr">
        <is>
          <t>지정되지않음</t>
        </is>
      </c>
      <c r="S3322" s="3" t="inlineStr">
        <is>
          <t>전</t>
        </is>
      </c>
      <c r="T3322" s="3" t="inlineStr">
        <is>
          <t>평지</t>
        </is>
      </c>
      <c r="U3322" s="3" t="inlineStr">
        <is>
          <t>사다리형</t>
        </is>
      </c>
      <c r="V3322" s="3" t="inlineStr">
        <is>
          <t>세로한면(가)</t>
        </is>
      </c>
    </row>
    <row r="3323">
      <c r="A3323" s="3" t="inlineStr">
        <is>
          <t>세종특별자치시 연기면 수산리 137-2</t>
        </is>
      </c>
      <c r="B3323" s="3" t="inlineStr">
        <is>
          <t>계획관리지역</t>
        </is>
      </c>
      <c r="C3323" s="3" t="inlineStr">
        <is>
          <t>답</t>
        </is>
      </c>
      <c r="D3323" s="3" t="inlineStr">
        <is>
          <t>답</t>
        </is>
      </c>
      <c r="E3323" s="3" t="inlineStr">
        <is>
          <t>매매</t>
        </is>
      </c>
      <c r="F3323" s="4" t="n">
        <v>58200</v>
      </c>
      <c r="G3323" s="4" t="n">
        <v>1283</v>
      </c>
      <c r="H3323" s="4" t="n">
        <v>388</v>
      </c>
      <c r="I3323" s="5" t="n">
        <v>150</v>
      </c>
      <c r="J3323" s="4" t="n">
        <v>55.1</v>
      </c>
      <c r="K3323" s="3" t="inlineStr">
        <is>
          <t>세종 행복도시 인접 연기면 수산리 계획관리 토지 매매 수산교차로</t>
        </is>
      </c>
      <c r="L3323" s="6">
        <f>HYPERLINK("https://fin.land.naver.com/articles/2647172394", "매물Link")</f>
        <v/>
      </c>
      <c r="M3323" s="6">
        <f>HYPERLINK("https://map.naver.com/p/search/세종특별자치시 연기면 수산리 137-2", "지도Link")</f>
        <v/>
      </c>
      <c r="N3323" s="6">
        <f>HYPERLINK("http://www.eum.go.kr/web/ar/lu/luLandDet.jsp?pnu=3611031024101370002&amp;isNoScr=script&amp;mode=search", "토지이음")</f>
        <v/>
      </c>
      <c r="O3323" s="3" t="inlineStr">
        <is>
          <t>엄지척</t>
        </is>
      </c>
      <c r="P3323" s="3" t="n">
        <v>1</v>
      </c>
      <c r="Q3323" s="3" t="n">
        <v>1283</v>
      </c>
      <c r="R3323" s="3" t="inlineStr">
        <is>
          <t>지정되지않음</t>
        </is>
      </c>
      <c r="S3323" s="3" t="inlineStr">
        <is>
          <t>답</t>
        </is>
      </c>
      <c r="T3323" s="3" t="inlineStr">
        <is>
          <t>평지</t>
        </is>
      </c>
      <c r="U3323" s="3" t="inlineStr">
        <is>
          <t>부정형</t>
        </is>
      </c>
      <c r="V3323" s="3" t="inlineStr">
        <is>
          <t>세로한면(불)</t>
        </is>
      </c>
    </row>
    <row r="3324">
      <c r="A3324" s="3" t="inlineStr">
        <is>
          <t>세종특별자치시 연기면 수산리 193-4</t>
        </is>
      </c>
      <c r="B3324" s="3" t="inlineStr">
        <is>
          <t>농림지역</t>
        </is>
      </c>
      <c r="C3324" s="3" t="inlineStr">
        <is>
          <t>답</t>
        </is>
      </c>
      <c r="D3324" s="3" t="inlineStr">
        <is>
          <t>답</t>
        </is>
      </c>
      <c r="E3324" s="3" t="inlineStr">
        <is>
          <t>매매</t>
        </is>
      </c>
      <c r="F3324" s="4" t="n">
        <v>35000</v>
      </c>
      <c r="G3324" s="4" t="n">
        <v>793</v>
      </c>
      <c r="H3324" s="4" t="n">
        <v>240</v>
      </c>
      <c r="I3324" s="5" t="n">
        <v>145.8</v>
      </c>
      <c r="J3324" s="4" t="n">
        <v>36.6</v>
      </c>
      <c r="K3324" s="3" t="inlineStr">
        <is>
          <t>세종신도시 인근 소액 투자용 토지</t>
        </is>
      </c>
      <c r="L3324" s="6">
        <f>HYPERLINK("https://fin.land.naver.com/articles/2647250999", "매물Link")</f>
        <v/>
      </c>
      <c r="M3324" s="6">
        <f>HYPERLINK("https://map.naver.com/p/search/세종특별자치시 연기면 수산리 193-4", "지도Link")</f>
        <v/>
      </c>
      <c r="N3324" s="6">
        <f>HYPERLINK("http://www.eum.go.kr/web/ar/lu/luLandDet.jsp?pnu=3611031024101930004&amp;isNoScr=script&amp;mode=search", "토지이음")</f>
        <v/>
      </c>
      <c r="O3324" s="3" t="inlineStr">
        <is>
          <t>세종공감</t>
        </is>
      </c>
      <c r="P3324" s="3" t="n">
        <v>1</v>
      </c>
      <c r="Q3324" s="3" t="n">
        <v>793</v>
      </c>
      <c r="R3324" s="3" t="inlineStr">
        <is>
          <t>지정되지않음</t>
        </is>
      </c>
      <c r="S3324" s="3" t="inlineStr">
        <is>
          <t>답</t>
        </is>
      </c>
      <c r="T3324" s="3" t="inlineStr">
        <is>
          <t>평지</t>
        </is>
      </c>
      <c r="U3324" s="3" t="inlineStr">
        <is>
          <t>사다리형</t>
        </is>
      </c>
      <c r="V3324" s="3" t="inlineStr">
        <is>
          <t>세로한면(불)</t>
        </is>
      </c>
    </row>
    <row r="3325">
      <c r="A3325" s="3" t="inlineStr">
        <is>
          <t>세종특별자치시 연기면 수산리 194-1</t>
        </is>
      </c>
      <c r="B3325" s="3" t="inlineStr">
        <is>
          <t>농림지역</t>
        </is>
      </c>
      <c r="C3325" s="3" t="inlineStr">
        <is>
          <t>답</t>
        </is>
      </c>
      <c r="D3325" s="3" t="inlineStr">
        <is>
          <t>답</t>
        </is>
      </c>
      <c r="E3325" s="3" t="inlineStr">
        <is>
          <t>매매</t>
        </is>
      </c>
      <c r="F3325" s="4" t="n">
        <v>85000</v>
      </c>
      <c r="G3325" s="4" t="n">
        <v>2026</v>
      </c>
      <c r="H3325" s="4" t="n">
        <v>613</v>
      </c>
      <c r="I3325" s="5" t="n">
        <v>138.7</v>
      </c>
      <c r="J3325" s="4" t="n">
        <v>36.6</v>
      </c>
      <c r="K3325" s="3" t="inlineStr">
        <is>
          <t>농림지역의 답으로 지목이 되어있지만 한달간의 복토작업으로 현재 전으로사용</t>
        </is>
      </c>
      <c r="L3325" s="6">
        <f>HYPERLINK("https://fin.land.naver.com/articles/2645422470", "매물Link")</f>
        <v/>
      </c>
      <c r="M3325" s="6">
        <f>HYPERLINK("https://map.naver.com/p/search/세종특별자치시 연기면 수산리 194-1", "지도Link")</f>
        <v/>
      </c>
      <c r="N3325" s="6">
        <f>HYPERLINK("http://www.eum.go.kr/web/ar/lu/luLandDet.jsp?pnu=3611031024101940001&amp;isNoScr=script&amp;mode=search", "토지이음")</f>
        <v/>
      </c>
      <c r="O3325" s="3" t="inlineStr">
        <is>
          <t>둔곡타워</t>
        </is>
      </c>
      <c r="P3325" s="3" t="n">
        <v>1</v>
      </c>
      <c r="Q3325" s="3" t="n">
        <v>2026</v>
      </c>
      <c r="R3325" s="3" t="inlineStr">
        <is>
          <t>지정되지않음</t>
        </is>
      </c>
      <c r="S3325" s="3" t="inlineStr">
        <is>
          <t>답</t>
        </is>
      </c>
      <c r="T3325" s="3" t="inlineStr">
        <is>
          <t>평지</t>
        </is>
      </c>
      <c r="U3325" s="3" t="inlineStr">
        <is>
          <t>사다리형</t>
        </is>
      </c>
      <c r="V3325" s="3" t="inlineStr">
        <is>
          <t>세로한면(불)</t>
        </is>
      </c>
    </row>
    <row r="3326">
      <c r="A3326" s="3" t="inlineStr">
        <is>
          <t>세종특별자치시 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수산리 마을 포장도로에 접해 있는 평탄하고 면적이 큰 원형지형태 전입니다</t>
        </is>
      </c>
      <c r="L3326" s="6">
        <f>HYPERLINK("https://fin.land.naver.com/articles/2647888290", "매물Link")</f>
        <v/>
      </c>
      <c r="M3326" s="6">
        <f>HYPERLINK("https://map.naver.com/p/search/세종특별자치시 연기면 수산리 203", "지도Link")</f>
        <v/>
      </c>
      <c r="N3326" s="6">
        <f>HYPERLINK("http://www.eum.go.kr/web/ar/lu/luLandDet.jsp?pnu=3611031024102030000&amp;isNoScr=script&amp;mode=search", "토지이음")</f>
        <v/>
      </c>
      <c r="O3326" s="3" t="inlineStr">
        <is>
          <t>스마일세종</t>
        </is>
      </c>
      <c r="P3326" s="3" t="n">
        <v>3</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세종특별자치시 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원주민 장기보유. 도로 잘 접한 투자 유망. 청사5K,국가산단2.5K</t>
        </is>
      </c>
      <c r="L3327" s="6">
        <f>HYPERLINK("https://fin.land.naver.com/articles/2645384808", "매물Link")</f>
        <v/>
      </c>
      <c r="M3327" s="6">
        <f>HYPERLINK("https://map.naver.com/p/search/세종특별자치시 연기면 수산리 203", "지도Link")</f>
        <v/>
      </c>
      <c r="N3327" s="6">
        <f>HYPERLINK("http://www.eum.go.kr/web/ar/lu/luLandDet.jsp?pnu=3611031024102030000&amp;isNoScr=script&amp;mode=search", "토지이음")</f>
        <v/>
      </c>
      <c r="O3327" s="3" t="inlineStr">
        <is>
          <t>세종소담114</t>
        </is>
      </c>
      <c r="P3327" s="3" t="n">
        <v>1</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세종특별자치시 연기면 수산리 203</t>
        </is>
      </c>
      <c r="B3328" s="3" t="inlineStr">
        <is>
          <t>농림지역</t>
        </is>
      </c>
      <c r="C3328" s="3" t="inlineStr">
        <is>
          <t>전</t>
        </is>
      </c>
      <c r="D3328" s="3" t="inlineStr">
        <is>
          <t>전</t>
        </is>
      </c>
      <c r="E3328" s="3" t="inlineStr">
        <is>
          <t>매매</t>
        </is>
      </c>
      <c r="F3328" s="4" t="n">
        <v>180000</v>
      </c>
      <c r="G3328" s="4" t="n">
        <v>3838</v>
      </c>
      <c r="H3328" s="4" t="n">
        <v>1161</v>
      </c>
      <c r="I3328" s="5" t="n">
        <v>155</v>
      </c>
      <c r="J3328" s="4" t="n">
        <v>43.3</v>
      </c>
      <c r="K3328" s="3" t="inlineStr">
        <is>
          <t>nan</t>
        </is>
      </c>
      <c r="L3328" s="6">
        <f>HYPERLINK("https://fin.land.naver.com/articles/2647122549", "매물Link")</f>
        <v/>
      </c>
      <c r="M3328" s="6">
        <f>HYPERLINK("https://map.naver.com/p/search/세종특별자치시 연기면 수산리 203", "지도Link")</f>
        <v/>
      </c>
      <c r="N3328" s="6">
        <f>HYPERLINK("http://www.eum.go.kr/web/ar/lu/luLandDet.jsp?pnu=3611031024102030000&amp;isNoScr=script&amp;mode=search", "토지이음")</f>
        <v/>
      </c>
      <c r="O3328" s="3" t="inlineStr">
        <is>
          <t>세종나성동ST</t>
        </is>
      </c>
      <c r="P3328" s="3" t="n">
        <v>1</v>
      </c>
      <c r="Q3328" s="3" t="n">
        <v>3838</v>
      </c>
      <c r="R3328" s="3" t="inlineStr">
        <is>
          <t>지정되지않음</t>
        </is>
      </c>
      <c r="S3328" s="3" t="inlineStr">
        <is>
          <t>전</t>
        </is>
      </c>
      <c r="T3328" s="3" t="inlineStr">
        <is>
          <t>완경사</t>
        </is>
      </c>
      <c r="U3328" s="3" t="inlineStr">
        <is>
          <t>부정형</t>
        </is>
      </c>
      <c r="V3328" s="3" t="inlineStr">
        <is>
          <t>세로한면(가)</t>
        </is>
      </c>
    </row>
    <row r="3329">
      <c r="A3329" s="3" t="inlineStr">
        <is>
          <t>세종특별자치시 연기면 수산리 230-1</t>
        </is>
      </c>
      <c r="B3329" s="3" t="inlineStr">
        <is>
          <t>생산관리지역</t>
        </is>
      </c>
      <c r="C3329" s="3" t="inlineStr">
        <is>
          <t>대</t>
        </is>
      </c>
      <c r="D3329" s="3" t="inlineStr">
        <is>
          <t>대</t>
        </is>
      </c>
      <c r="E3329" s="3" t="inlineStr">
        <is>
          <t>매매</t>
        </is>
      </c>
      <c r="F3329" s="4" t="n">
        <v>100000</v>
      </c>
      <c r="G3329" s="4" t="n">
        <v>826</v>
      </c>
      <c r="H3329" s="4" t="n">
        <v>250</v>
      </c>
      <c r="I3329" s="5" t="n">
        <v>400</v>
      </c>
      <c r="J3329" s="4" t="n">
        <v>97.8</v>
      </c>
      <c r="K3329" s="3" t="inlineStr">
        <is>
          <t>O급매O단독주택매매   정안IC O전원주택조성완료 보전관리</t>
        </is>
      </c>
      <c r="L3329" s="6">
        <f>HYPERLINK("https://fin.land.naver.com/articles/2649670353", "매물Link")</f>
        <v/>
      </c>
      <c r="M3329" s="6">
        <f>HYPERLINK("https://map.naver.com/p/search/세종특별자치시 연기면 수산리 230-1", "지도Link")</f>
        <v/>
      </c>
      <c r="N3329" s="6">
        <f>HYPERLINK("http://www.eum.go.kr/web/ar/lu/luLandDet.jsp?pnu=3611031024102300001&amp;isNoScr=script&amp;mode=search", "토지이음")</f>
        <v/>
      </c>
      <c r="O3329" s="3" t="inlineStr">
        <is>
          <t>공간</t>
        </is>
      </c>
      <c r="P3329" s="3" t="n">
        <v>1</v>
      </c>
      <c r="Q3329" s="3" t="n">
        <v>999</v>
      </c>
      <c r="R3329" s="3" t="inlineStr">
        <is>
          <t>지정되지않음</t>
        </is>
      </c>
      <c r="S3329" s="3" t="inlineStr">
        <is>
          <t>단독</t>
        </is>
      </c>
      <c r="T3329" s="3" t="inlineStr">
        <is>
          <t>완경사</t>
        </is>
      </c>
      <c r="U3329" s="3" t="inlineStr">
        <is>
          <t>사다리형</t>
        </is>
      </c>
      <c r="V3329" s="3" t="inlineStr">
        <is>
          <t>세로각지(가)</t>
        </is>
      </c>
    </row>
    <row r="3330">
      <c r="A3330" s="3" t="inlineStr">
        <is>
          <t>세종특별자치시 연기면 수산리 233-8</t>
        </is>
      </c>
      <c r="B3330" s="3" t="inlineStr">
        <is>
          <t>보전관리지역</t>
        </is>
      </c>
      <c r="C3330" s="3" t="inlineStr">
        <is>
          <t>대</t>
        </is>
      </c>
      <c r="D3330" s="3" t="inlineStr">
        <is>
          <t>대</t>
        </is>
      </c>
      <c r="E3330" s="3" t="inlineStr">
        <is>
          <t>매매</t>
        </is>
      </c>
      <c r="F3330" s="4" t="n">
        <v>60000</v>
      </c>
      <c r="G3330" s="4" t="n">
        <v>661</v>
      </c>
      <c r="H3330" s="4" t="n">
        <v>200</v>
      </c>
      <c r="I3330" s="5" t="n">
        <v>300</v>
      </c>
      <c r="J3330" s="4" t="n">
        <v>84.59999999999999</v>
      </c>
      <c r="K3330" s="3" t="inlineStr">
        <is>
          <t>O급매O분할 평당300만원행복도시경계 정안ICO전원주택조성완료 보전관리</t>
        </is>
      </c>
      <c r="L3330" s="6">
        <f>HYPERLINK("https://fin.land.naver.com/articles/2649670043", "매물Link")</f>
        <v/>
      </c>
      <c r="M3330" s="6">
        <f>HYPERLINK("https://map.naver.com/p/search/세종특별자치시 연기면 수산리 233-8", "지도Link")</f>
        <v/>
      </c>
      <c r="N3330" s="6">
        <f>HYPERLINK("http://www.eum.go.kr/web/ar/lu/luLandDet.jsp?pnu=3611031024102330008&amp;isNoScr=script&amp;mode=search", "토지이음")</f>
        <v/>
      </c>
      <c r="O3330" s="3" t="inlineStr">
        <is>
          <t>공간</t>
        </is>
      </c>
      <c r="P3330" s="3" t="n">
        <v>1</v>
      </c>
      <c r="Q3330" s="3" t="n">
        <v>578</v>
      </c>
      <c r="R3330" s="3" t="inlineStr">
        <is>
          <t>지정되지않음</t>
        </is>
      </c>
      <c r="S3330" s="3" t="inlineStr">
        <is>
          <t>단독</t>
        </is>
      </c>
      <c r="T3330" s="3" t="inlineStr">
        <is>
          <t>완경사</t>
        </is>
      </c>
      <c r="U3330" s="3" t="inlineStr">
        <is>
          <t>사다리형</t>
        </is>
      </c>
      <c r="V3330" s="3" t="inlineStr">
        <is>
          <t>세로한면(가)</t>
        </is>
      </c>
    </row>
    <row r="3331">
      <c r="A3331" s="3" t="inlineStr">
        <is>
          <t>세종특별자치시 연기면 수산리 241-10</t>
        </is>
      </c>
      <c r="B3331" s="3" t="inlineStr">
        <is>
          <t>보전관리지역</t>
        </is>
      </c>
      <c r="C3331" s="3" t="inlineStr">
        <is>
          <t>임야</t>
        </is>
      </c>
      <c r="D3331" s="3" t="inlineStr">
        <is>
          <t>임야</t>
        </is>
      </c>
      <c r="E3331" s="3" t="inlineStr">
        <is>
          <t>매매</t>
        </is>
      </c>
      <c r="F3331" s="4" t="n">
        <v>44000</v>
      </c>
      <c r="G3331" s="4" t="n">
        <v>582</v>
      </c>
      <c r="H3331" s="4" t="n">
        <v>176</v>
      </c>
      <c r="I3331" s="5" t="n">
        <v>250</v>
      </c>
      <c r="J3331" s="4" t="n">
        <v>82.2</v>
      </c>
      <c r="K3331" s="3" t="inlineStr">
        <is>
          <t>연기면 수산리에 있는 전원주택을 지을수 있는 택지개발한 임야입니다</t>
        </is>
      </c>
      <c r="L3331" s="6">
        <f>HYPERLINK("https://fin.land.naver.com/articles/2650021993", "매물Link")</f>
        <v/>
      </c>
      <c r="M3331" s="6">
        <f>HYPERLINK("https://map.naver.com/p/search/세종특별자치시 연기면 수산리 241-10", "지도Link")</f>
        <v/>
      </c>
      <c r="N3331" s="6">
        <f>HYPERLINK("http://www.eum.go.kr/web/ar/lu/luLandDet.jsp?pnu=3611031024102410010&amp;isNoScr=script&amp;mode=search", "토지이음")</f>
        <v/>
      </c>
      <c r="O3331" s="3" t="inlineStr">
        <is>
          <t>스마일세종</t>
        </is>
      </c>
      <c r="P3331" s="3" t="n">
        <v>1</v>
      </c>
      <c r="Q3331" s="3" t="n">
        <v>512</v>
      </c>
      <c r="R3331" s="3" t="inlineStr">
        <is>
          <t>지정되지않음</t>
        </is>
      </c>
      <c r="S3331" s="3" t="inlineStr">
        <is>
          <t>주거나지</t>
        </is>
      </c>
      <c r="T3331" s="3" t="inlineStr">
        <is>
          <t>완경사</t>
        </is>
      </c>
      <c r="U3331" s="3" t="inlineStr">
        <is>
          <t>사다리형</t>
        </is>
      </c>
      <c r="V3331" s="3" t="inlineStr">
        <is>
          <t>세로한면(가)</t>
        </is>
      </c>
    </row>
    <row r="3332">
      <c r="A3332" s="3" t="inlineStr">
        <is>
          <t>세종특별자치시 연기면 수산리 293-2</t>
        </is>
      </c>
      <c r="B3332" s="3" t="inlineStr">
        <is>
          <t>농림지역</t>
        </is>
      </c>
      <c r="C3332" s="3" t="inlineStr">
        <is>
          <t>답</t>
        </is>
      </c>
      <c r="D3332" s="3" t="inlineStr">
        <is>
          <t>답</t>
        </is>
      </c>
      <c r="E3332" s="3" t="inlineStr">
        <is>
          <t>매매</t>
        </is>
      </c>
      <c r="F3332" s="4" t="n">
        <v>105000</v>
      </c>
      <c r="G3332" s="4" t="n">
        <v>4043</v>
      </c>
      <c r="H3332" s="4" t="n">
        <v>1223</v>
      </c>
      <c r="I3332" s="5" t="n">
        <v>85.90000000000001</v>
      </c>
      <c r="J3332" s="4" t="n">
        <v>30.6</v>
      </c>
      <c r="K3332" s="3" t="inlineStr">
        <is>
          <t>연기면 수산리 급매, 차량진입도로 유</t>
        </is>
      </c>
      <c r="L3332" s="6">
        <f>HYPERLINK("https://fin.land.naver.com/articles/2647514072", "매물Link")</f>
        <v/>
      </c>
      <c r="M3332" s="6">
        <f>HYPERLINK("https://map.naver.com/p/search/세종특별자치시 연기면 수산리 293-2", "지도Link")</f>
        <v/>
      </c>
      <c r="N3332" s="6">
        <f>HYPERLINK("http://www.eum.go.kr/web/ar/lu/luLandDet.jsp?pnu=3611031024102930002&amp;isNoScr=script&amp;mode=search", "토지이음")</f>
        <v/>
      </c>
      <c r="O3332" s="3" t="inlineStr">
        <is>
          <t>올바른</t>
        </is>
      </c>
      <c r="P3332" s="3" t="n">
        <v>1</v>
      </c>
      <c r="Q3332" s="3" t="n">
        <v>3147</v>
      </c>
      <c r="R3332" s="3" t="inlineStr">
        <is>
          <t>지정되지않음</t>
        </is>
      </c>
      <c r="S3332" s="3" t="inlineStr">
        <is>
          <t>답</t>
        </is>
      </c>
      <c r="T3332" s="3" t="inlineStr">
        <is>
          <t>완경사</t>
        </is>
      </c>
      <c r="U3332" s="3" t="inlineStr">
        <is>
          <t>부정형</t>
        </is>
      </c>
      <c r="V3332" s="3" t="inlineStr">
        <is>
          <t>맹지</t>
        </is>
      </c>
    </row>
    <row r="3333">
      <c r="A3333" s="3" t="inlineStr">
        <is>
          <t>세종특별자치시 연기면 수산리 30-1</t>
        </is>
      </c>
      <c r="B3333" s="3" t="inlineStr">
        <is>
          <t>계획관리지역</t>
        </is>
      </c>
      <c r="C3333" s="3" t="inlineStr">
        <is>
          <t>답</t>
        </is>
      </c>
      <c r="D3333" s="3" t="inlineStr">
        <is>
          <t>답</t>
        </is>
      </c>
      <c r="E3333" s="3" t="inlineStr">
        <is>
          <t>매매</t>
        </is>
      </c>
      <c r="F3333" s="4" t="n">
        <v>56000</v>
      </c>
      <c r="G3333" s="4" t="n">
        <v>913</v>
      </c>
      <c r="H3333" s="4" t="n">
        <v>276</v>
      </c>
      <c r="I3333" s="5" t="n">
        <v>202.9</v>
      </c>
      <c r="J3333" s="4" t="n">
        <v>62.9</v>
      </c>
      <c r="K3333" s="3" t="inlineStr">
        <is>
          <t>계획관리지역</t>
        </is>
      </c>
      <c r="L3333" s="6">
        <f>HYPERLINK("https://fin.land.naver.com/articles/2647406746", "매물Link")</f>
        <v/>
      </c>
      <c r="M3333" s="6">
        <f>HYPERLINK("https://map.naver.com/p/search/세종특별자치시 연기면 수산리 30-1", "지도Link")</f>
        <v/>
      </c>
      <c r="N3333" s="6">
        <f>HYPERLINK("http://www.eum.go.kr/web/ar/lu/luLandDet.jsp?pnu=3611031024100300001&amp;isNoScr=script&amp;mode=search", "토지이음")</f>
        <v/>
      </c>
      <c r="O3333" s="3" t="inlineStr">
        <is>
          <t>로데오상가</t>
        </is>
      </c>
      <c r="P3333" s="3" t="n">
        <v>1</v>
      </c>
      <c r="Q3333" s="3" t="n">
        <v>913</v>
      </c>
      <c r="R3333" s="3" t="inlineStr">
        <is>
          <t>지정되지않음</t>
        </is>
      </c>
      <c r="S3333" s="3" t="inlineStr">
        <is>
          <t>답</t>
        </is>
      </c>
      <c r="T3333" s="3" t="inlineStr">
        <is>
          <t>완경사</t>
        </is>
      </c>
      <c r="U3333" s="3" t="inlineStr">
        <is>
          <t>정방형</t>
        </is>
      </c>
      <c r="V3333" s="3" t="inlineStr">
        <is>
          <t>세로한면(가)</t>
        </is>
      </c>
    </row>
    <row r="3334">
      <c r="A3334" s="3" t="inlineStr">
        <is>
          <t>세종특별자치시 연기면 수산리 442-1</t>
        </is>
      </c>
      <c r="B3334" s="3" t="inlineStr">
        <is>
          <t>생산관리지역</t>
        </is>
      </c>
      <c r="C3334" s="3" t="inlineStr">
        <is>
          <t>답</t>
        </is>
      </c>
      <c r="D3334" s="3" t="inlineStr">
        <is>
          <t>답</t>
        </is>
      </c>
      <c r="E3334" s="3" t="inlineStr">
        <is>
          <t>매매</t>
        </is>
      </c>
      <c r="F3334" s="4" t="n">
        <v>88000</v>
      </c>
      <c r="G3334" s="4" t="n">
        <v>1456</v>
      </c>
      <c r="H3334" s="4" t="n">
        <v>440</v>
      </c>
      <c r="I3334" s="5" t="n">
        <v>200</v>
      </c>
      <c r="J3334" s="4" t="n">
        <v>45.9</v>
      </c>
      <c r="K3334" s="3" t="inlineStr">
        <is>
          <t>밭으로 잘 사용 가능한 땅</t>
        </is>
      </c>
      <c r="L3334" s="6">
        <f>HYPERLINK("https://fin.land.naver.com/articles/2649973570", "매물Link")</f>
        <v/>
      </c>
      <c r="M3334" s="6">
        <f>HYPERLINK("https://map.naver.com/p/search/세종특별자치시 연기면 수산리 442-1", "지도Link")</f>
        <v/>
      </c>
      <c r="N3334" s="6">
        <f>HYPERLINK("http://www.eum.go.kr/web/ar/lu/luLandDet.jsp?pnu=3611031024104420001&amp;isNoScr=script&amp;mode=search", "토지이음")</f>
        <v/>
      </c>
      <c r="O3334" s="3" t="inlineStr">
        <is>
          <t>푸르지오시티1차</t>
        </is>
      </c>
      <c r="P3334" s="3" t="n">
        <v>1</v>
      </c>
      <c r="Q3334" s="3" t="n">
        <v>1456</v>
      </c>
      <c r="R3334" s="3" t="inlineStr">
        <is>
          <t>지정되지않음</t>
        </is>
      </c>
      <c r="S3334" s="3" t="inlineStr">
        <is>
          <t>전</t>
        </is>
      </c>
      <c r="T3334" s="3" t="inlineStr">
        <is>
          <t>평지</t>
        </is>
      </c>
      <c r="U3334" s="3" t="inlineStr">
        <is>
          <t>부정형</t>
        </is>
      </c>
      <c r="V3334" s="3" t="inlineStr">
        <is>
          <t>세로한면(가)</t>
        </is>
      </c>
    </row>
    <row r="3335">
      <c r="A3335" s="3" t="inlineStr">
        <is>
          <t>세종특별자치시 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HYPERLINK("https://map.naver.com/p/search/세종특별자치시 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세종특별자치시 연기면 수산리 503-1</t>
        </is>
      </c>
      <c r="B3336" s="3" t="inlineStr">
        <is>
          <t>계획관리지역</t>
        </is>
      </c>
      <c r="C3336" s="3" t="inlineStr">
        <is>
          <t>답</t>
        </is>
      </c>
      <c r="D3336" s="3" t="inlineStr">
        <is>
          <t>답</t>
        </is>
      </c>
      <c r="E3336" s="3" t="inlineStr">
        <is>
          <t>매매</t>
        </is>
      </c>
      <c r="F3336" s="4" t="n">
        <v>161000</v>
      </c>
      <c r="G3336" s="4" t="n">
        <v>1517</v>
      </c>
      <c r="H3336" s="4" t="n">
        <v>459</v>
      </c>
      <c r="I3336" s="5" t="n">
        <v>350.8</v>
      </c>
      <c r="J3336" s="4" t="n">
        <v>54.8</v>
      </c>
      <c r="K3336" s="3" t="inlineStr">
        <is>
          <t>수산리 도로접한 계획관리 토지 급매</t>
        </is>
      </c>
      <c r="L3336" s="6">
        <f>HYPERLINK("https://fin.land.naver.com/articles/2647465103", "매물Link")</f>
        <v/>
      </c>
      <c r="M3336" s="6">
        <f>HYPERLINK("https://map.naver.com/p/search/세종특별자치시 연기면 수산리 503-1", "지도Link")</f>
        <v/>
      </c>
      <c r="N3336" s="6">
        <f>HYPERLINK("http://www.eum.go.kr/web/ar/lu/luLandDet.jsp?pnu=3611031024105030001&amp;isNoScr=script&amp;mode=search", "토지이음")</f>
        <v/>
      </c>
      <c r="O3336" s="3" t="inlineStr">
        <is>
          <t>한화타운</t>
        </is>
      </c>
      <c r="P3336" s="3" t="n">
        <v>1</v>
      </c>
      <c r="Q3336" s="3" t="n">
        <v>750</v>
      </c>
      <c r="R3336" s="3" t="inlineStr">
        <is>
          <t>지정되지않음</t>
        </is>
      </c>
      <c r="S3336" s="3" t="inlineStr">
        <is>
          <t>답</t>
        </is>
      </c>
      <c r="T3336" s="3" t="inlineStr">
        <is>
          <t>완경사</t>
        </is>
      </c>
      <c r="U3336" s="3" t="inlineStr">
        <is>
          <t>사다리형</t>
        </is>
      </c>
      <c r="V3336" s="3" t="inlineStr">
        <is>
          <t>세로한면(가)</t>
        </is>
      </c>
    </row>
    <row r="3337">
      <c r="A3337" s="3" t="inlineStr">
        <is>
          <t>세종특별자치시 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HYPERLINK("https://map.naver.com/p/search/세종특별자치시 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세종특별자치시 연기면 수산리 503-2</t>
        </is>
      </c>
      <c r="B3338" s="3" t="inlineStr">
        <is>
          <t>계획관리지역</t>
        </is>
      </c>
      <c r="C3338" s="3" t="inlineStr">
        <is>
          <t>답</t>
        </is>
      </c>
      <c r="D3338" s="3" t="inlineStr">
        <is>
          <t>답</t>
        </is>
      </c>
      <c r="E3338" s="3" t="inlineStr">
        <is>
          <t>매매</t>
        </is>
      </c>
      <c r="F3338" s="4" t="n">
        <v>82000</v>
      </c>
      <c r="G3338" s="4" t="n">
        <v>767</v>
      </c>
      <c r="H3338" s="4" t="n">
        <v>232</v>
      </c>
      <c r="I3338" s="5" t="n">
        <v>353.4</v>
      </c>
      <c r="J3338" s="4" t="n">
        <v>52.2</v>
      </c>
      <c r="K3338" s="3" t="inlineStr">
        <is>
          <t>Click 수산교차로 인근 계획관리지역 Click</t>
        </is>
      </c>
      <c r="L3338" s="6">
        <f>HYPERLINK("https://fin.land.naver.com/articles/2646090437", "매물Link")</f>
        <v/>
      </c>
      <c r="M3338" s="6">
        <f>HYPERLINK("https://map.naver.com/p/search/세종특별자치시 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세종특별자치시 연기면 수산리 503-2</t>
        </is>
      </c>
      <c r="B3339" s="3" t="inlineStr">
        <is>
          <t>계획관리지역</t>
        </is>
      </c>
      <c r="C3339" s="3" t="inlineStr">
        <is>
          <t>답</t>
        </is>
      </c>
      <c r="D3339" s="3" t="inlineStr">
        <is>
          <t>답</t>
        </is>
      </c>
      <c r="E3339" s="3" t="inlineStr">
        <is>
          <t>매매</t>
        </is>
      </c>
      <c r="F3339" s="4" t="n">
        <v>162000</v>
      </c>
      <c r="G3339" s="4" t="n">
        <v>1517</v>
      </c>
      <c r="H3339" s="4" t="n">
        <v>459</v>
      </c>
      <c r="I3339" s="5" t="n">
        <v>352.9</v>
      </c>
      <c r="J3339" s="4" t="n">
        <v>52.2</v>
      </c>
      <c r="K3339" s="3" t="inlineStr">
        <is>
          <t>Click 수산교차로 인근 계획관리지역 2필지 도로접 Click</t>
        </is>
      </c>
      <c r="L3339" s="6">
        <f>HYPERLINK("https://fin.land.naver.com/articles/2646090653", "매물Link")</f>
        <v/>
      </c>
      <c r="M3339" s="6">
        <f>HYPERLINK("https://map.naver.com/p/search/세종특별자치시 연기면 수산리 503-2", "지도Link")</f>
        <v/>
      </c>
      <c r="N3339" s="6">
        <f>HYPERLINK("http://www.eum.go.kr/web/ar/lu/luLandDet.jsp?pnu=3611031024105030002&amp;isNoScr=script&amp;mode=search", "토지이음")</f>
        <v/>
      </c>
      <c r="O3339" s="3" t="inlineStr">
        <is>
          <t>해뜰</t>
        </is>
      </c>
      <c r="P3339" s="3" t="n">
        <v>1</v>
      </c>
      <c r="Q3339" s="3" t="n">
        <v>767</v>
      </c>
      <c r="R3339" s="3" t="inlineStr">
        <is>
          <t>지정되지않음</t>
        </is>
      </c>
      <c r="S3339" s="3" t="inlineStr">
        <is>
          <t>답</t>
        </is>
      </c>
      <c r="T3339" s="3" t="inlineStr">
        <is>
          <t>완경사</t>
        </is>
      </c>
      <c r="U3339" s="3" t="inlineStr">
        <is>
          <t>부정형</t>
        </is>
      </c>
      <c r="V3339" s="3" t="inlineStr">
        <is>
          <t>세로한면(가)</t>
        </is>
      </c>
    </row>
    <row r="3340">
      <c r="A3340" s="3" t="inlineStr">
        <is>
          <t>세종특별자치시 연기면 수산리 505</t>
        </is>
      </c>
      <c r="B3340" s="3" t="inlineStr">
        <is>
          <t>농림지역</t>
        </is>
      </c>
      <c r="C3340" s="3" t="inlineStr">
        <is>
          <t>전</t>
        </is>
      </c>
      <c r="D3340" s="3" t="inlineStr">
        <is>
          <t>전</t>
        </is>
      </c>
      <c r="E3340" s="3" t="inlineStr">
        <is>
          <t>매매</t>
        </is>
      </c>
      <c r="F3340" s="4" t="n">
        <v>60000</v>
      </c>
      <c r="G3340" s="4" t="n">
        <v>16512</v>
      </c>
      <c r="H3340" s="4" t="n">
        <v>4995</v>
      </c>
      <c r="I3340" s="5" t="n">
        <v>12</v>
      </c>
      <c r="J3340" s="4" t="n">
        <v>5.8</v>
      </c>
      <c r="K3340" s="3" t="inlineStr">
        <is>
          <t>2필지일괄매매,조율가능</t>
        </is>
      </c>
      <c r="L3340" s="6">
        <f>HYPERLINK("https://fin.land.naver.com/articles/2649745707", "매물Link")</f>
        <v/>
      </c>
      <c r="M3340" s="6">
        <f>HYPERLINK("https://map.naver.com/p/search/세종특별자치시 연기면 수산리 505", "지도Link")</f>
        <v/>
      </c>
      <c r="N3340" s="6">
        <f>HYPERLINK("http://www.eum.go.kr/web/ar/lu/luLandDet.jsp?pnu=3611031024105050000&amp;isNoScr=script&amp;mode=search", "토지이음")</f>
        <v/>
      </c>
      <c r="O3340" s="3" t="inlineStr">
        <is>
          <t>인서</t>
        </is>
      </c>
      <c r="P3340" s="3" t="n">
        <v>1</v>
      </c>
      <c r="Q3340" s="3" t="n">
        <v>879</v>
      </c>
      <c r="R3340" s="3" t="inlineStr">
        <is>
          <t>지정되지않음</t>
        </is>
      </c>
      <c r="S3340" s="3" t="inlineStr">
        <is>
          <t>전</t>
        </is>
      </c>
      <c r="T3340" s="3" t="inlineStr">
        <is>
          <t>급경사</t>
        </is>
      </c>
      <c r="U3340" s="3" t="inlineStr">
        <is>
          <t>부정형</t>
        </is>
      </c>
      <c r="V3340" s="3" t="inlineStr">
        <is>
          <t>세로한면(불)</t>
        </is>
      </c>
    </row>
    <row r="3341">
      <c r="A3341" s="3" t="inlineStr">
        <is>
          <t>세종특별자치시 연기면 수산리 511-2</t>
        </is>
      </c>
      <c r="B3341" s="3" t="inlineStr">
        <is>
          <t>생산관리지역</t>
        </is>
      </c>
      <c r="C3341" s="3" t="inlineStr">
        <is>
          <t>답</t>
        </is>
      </c>
      <c r="D3341" s="3" t="inlineStr">
        <is>
          <t>답</t>
        </is>
      </c>
      <c r="E3341" s="3" t="inlineStr">
        <is>
          <t>매매</t>
        </is>
      </c>
      <c r="F3341" s="4" t="n">
        <v>90000</v>
      </c>
      <c r="G3341" s="4" t="n">
        <v>2945</v>
      </c>
      <c r="H3341" s="4" t="n">
        <v>891</v>
      </c>
      <c r="I3341" s="5" t="n">
        <v>101</v>
      </c>
      <c r="J3341" s="4" t="n">
        <v>42.7</v>
      </c>
      <c r="K3341" s="3" t="inlineStr">
        <is>
          <t>e루다 ic부근 투자용 890p , 적극조율,세종시행정수도 저렴매매</t>
        </is>
      </c>
      <c r="L3341" s="6">
        <f>HYPERLINK("https://fin.land.naver.com/articles/2649834329", "매물Link")</f>
        <v/>
      </c>
      <c r="M3341" s="6">
        <f>HYPERLINK("https://map.naver.com/p/search/세종특별자치시 연기면 수산리 511-2", "지도Link")</f>
        <v/>
      </c>
      <c r="N3341" s="6">
        <f>HYPERLINK("http://www.eum.go.kr/web/ar/lu/luLandDet.jsp?pnu=3611031024105110002&amp;isNoScr=script&amp;mode=search", "토지이음")</f>
        <v/>
      </c>
      <c r="O3341" s="3" t="inlineStr">
        <is>
          <t>이루다</t>
        </is>
      </c>
      <c r="P3341" s="3" t="n">
        <v>1</v>
      </c>
      <c r="Q3341" s="3" t="n">
        <v>2945</v>
      </c>
      <c r="R3341" s="3" t="inlineStr">
        <is>
          <t>지정되지않음</t>
        </is>
      </c>
      <c r="S3341" s="3" t="inlineStr">
        <is>
          <t>답</t>
        </is>
      </c>
      <c r="T3341" s="3" t="inlineStr">
        <is>
          <t>완경사</t>
        </is>
      </c>
      <c r="U3341" s="3" t="inlineStr">
        <is>
          <t>부정형</t>
        </is>
      </c>
      <c r="V3341" s="3" t="inlineStr">
        <is>
          <t>세로한면(가)</t>
        </is>
      </c>
    </row>
    <row r="3342">
      <c r="A3342" s="3" t="inlineStr">
        <is>
          <t>세종특별자치시 연기면 수산리 534-17</t>
        </is>
      </c>
      <c r="B3342" s="3" t="inlineStr">
        <is>
          <t>보전관리지역</t>
        </is>
      </c>
      <c r="C3342" s="3" t="inlineStr">
        <is>
          <t>임야</t>
        </is>
      </c>
      <c r="D3342" s="3" t="inlineStr">
        <is>
          <t>임야</t>
        </is>
      </c>
      <c r="E3342" s="3" t="inlineStr">
        <is>
          <t>매매</t>
        </is>
      </c>
      <c r="F3342" s="4" t="n">
        <v>35400</v>
      </c>
      <c r="G3342" s="4" t="n">
        <v>507</v>
      </c>
      <c r="H3342" s="4" t="n">
        <v>153</v>
      </c>
      <c r="I3342" s="5" t="n">
        <v>231.4</v>
      </c>
      <c r="J3342" s="4" t="n">
        <v>52.3</v>
      </c>
      <c r="K3342" s="3" t="inlineStr">
        <is>
          <t>건축 가능한 정비된 택지, 급매 협의가능</t>
        </is>
      </c>
      <c r="L3342" s="6">
        <f>HYPERLINK("https://fin.land.naver.com/articles/2649398253", "매물Link")</f>
        <v/>
      </c>
      <c r="M3342" s="6">
        <f>HYPERLINK("https://map.naver.com/p/search/세종특별자치시 연기면 수산리 534-17", "지도Link")</f>
        <v/>
      </c>
      <c r="N3342" s="6">
        <f>HYPERLINK("http://www.eum.go.kr/web/ar/lu/luLandDet.jsp?pnu=3611031024105340017&amp;isNoScr=script&amp;mode=search", "토지이음")</f>
        <v/>
      </c>
      <c r="O3342" s="3" t="inlineStr">
        <is>
          <t>세종나라</t>
        </is>
      </c>
      <c r="P3342" s="3" t="n">
        <v>3</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세종특별자치시 연기면 수산리 534-17</t>
        </is>
      </c>
      <c r="B3343" s="3" t="inlineStr">
        <is>
          <t>보전관리지역</t>
        </is>
      </c>
      <c r="C3343" s="3" t="inlineStr">
        <is>
          <t>임야</t>
        </is>
      </c>
      <c r="D3343" s="3" t="inlineStr">
        <is>
          <t>임야</t>
        </is>
      </c>
      <c r="E3343" s="3" t="inlineStr">
        <is>
          <t>매매</t>
        </is>
      </c>
      <c r="F3343" s="4" t="n">
        <v>43240</v>
      </c>
      <c r="G3343" s="4" t="n">
        <v>622</v>
      </c>
      <c r="H3343" s="4" t="n">
        <v>188</v>
      </c>
      <c r="I3343" s="5" t="n">
        <v>230</v>
      </c>
      <c r="J3343" s="4" t="n">
        <v>52.3</v>
      </c>
      <c r="K3343" s="3" t="inlineStr">
        <is>
          <t>nan</t>
        </is>
      </c>
      <c r="L3343" s="6">
        <f>HYPERLINK("https://fin.land.naver.com/articles/2644183646", "매물Link")</f>
        <v/>
      </c>
      <c r="M3343" s="6">
        <f>HYPERLINK("https://map.naver.com/p/search/세종특별자치시 연기면 수산리 534-17", "지도Link")</f>
        <v/>
      </c>
      <c r="N3343" s="6">
        <f>HYPERLINK("http://www.eum.go.kr/web/ar/lu/luLandDet.jsp?pnu=3611031024105340017&amp;isNoScr=script&amp;mode=search", "토지이음")</f>
        <v/>
      </c>
      <c r="O3343" s="3" t="inlineStr">
        <is>
          <t>세종소담114</t>
        </is>
      </c>
      <c r="P3343" s="3" t="n">
        <v>1</v>
      </c>
      <c r="Q3343" s="3" t="n">
        <v>507</v>
      </c>
      <c r="R3343" s="3" t="inlineStr">
        <is>
          <t>지정되지않음</t>
        </is>
      </c>
      <c r="S3343" s="3" t="inlineStr">
        <is>
          <t>전기타</t>
        </is>
      </c>
      <c r="T3343" s="3" t="inlineStr">
        <is>
          <t>완경사</t>
        </is>
      </c>
      <c r="U3343" s="3" t="inlineStr">
        <is>
          <t>자루형</t>
        </is>
      </c>
      <c r="V3343" s="3" t="inlineStr">
        <is>
          <t>세로한면(가)</t>
        </is>
      </c>
    </row>
    <row r="3344">
      <c r="A3344" s="3" t="inlineStr">
        <is>
          <t>세종특별자치시 연기면 수산리 534-7</t>
        </is>
      </c>
      <c r="B3344" s="3" t="inlineStr">
        <is>
          <t>보전관리지역</t>
        </is>
      </c>
      <c r="C3344" s="3" t="inlineStr">
        <is>
          <t>대</t>
        </is>
      </c>
      <c r="D3344" s="3" t="inlineStr">
        <is>
          <t>대</t>
        </is>
      </c>
      <c r="E3344" s="3" t="inlineStr">
        <is>
          <t>매매</t>
        </is>
      </c>
      <c r="F3344" s="4" t="n">
        <v>35500</v>
      </c>
      <c r="G3344" s="4" t="n">
        <v>470</v>
      </c>
      <c r="H3344" s="4" t="n">
        <v>142</v>
      </c>
      <c r="I3344" s="5" t="n">
        <v>250</v>
      </c>
      <c r="J3344" s="4" t="n">
        <v>76.40000000000001</v>
      </c>
      <c r="K3344" s="3" t="inlineStr">
        <is>
          <t>토목공사 완료된 독일마을 전원주택부지</t>
        </is>
      </c>
      <c r="L3344" s="6">
        <f>HYPERLINK("https://fin.land.naver.com/articles/2644444569", "매물Link")</f>
        <v/>
      </c>
      <c r="M3344" s="6">
        <f>HYPERLINK("https://map.naver.com/p/search/세종특별자치시 연기면 수산리 534-7", "지도Link")</f>
        <v/>
      </c>
      <c r="N3344" s="6">
        <f>HYPERLINK("http://www.eum.go.kr/web/ar/lu/luLandDet.jsp?pnu=3611031024105340007&amp;isNoScr=script&amp;mode=search", "토지이음")</f>
        <v/>
      </c>
      <c r="O3344" s="3" t="inlineStr">
        <is>
          <t>세종대박</t>
        </is>
      </c>
      <c r="P3344" s="3" t="n">
        <v>1</v>
      </c>
      <c r="Q3344" s="3" t="n">
        <v>470</v>
      </c>
      <c r="R3344" s="3" t="inlineStr">
        <is>
          <t>지정되지않음</t>
        </is>
      </c>
      <c r="S3344" s="3" t="inlineStr">
        <is>
          <t>단독</t>
        </is>
      </c>
      <c r="T3344" s="3" t="inlineStr">
        <is>
          <t>완경사</t>
        </is>
      </c>
      <c r="U3344" s="3" t="inlineStr">
        <is>
          <t>자루형</t>
        </is>
      </c>
      <c r="V3344" s="3" t="inlineStr">
        <is>
          <t>세로한면(가)</t>
        </is>
      </c>
    </row>
    <row r="3345">
      <c r="A3345" s="3" t="inlineStr">
        <is>
          <t>세종특별자치시 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서울세종간고속도로 진입램프와 가까운 수산리지역 토지</t>
        </is>
      </c>
      <c r="L3345" s="6">
        <f>HYPERLINK("https://fin.land.naver.com/articles/2645551337", "매물Link")</f>
        <v/>
      </c>
      <c r="M3345" s="6">
        <f>HYPERLINK("https://map.naver.com/p/search/세종특별자치시 연기면 수산리 536-2", "지도Link")</f>
        <v/>
      </c>
      <c r="N3345" s="6">
        <f>HYPERLINK("http://www.eum.go.kr/web/ar/lu/luLandDet.jsp?pnu=3611031024105360002&amp;isNoScr=script&amp;mode=search", "토지이음")</f>
        <v/>
      </c>
      <c r="O3345" s="3" t="inlineStr">
        <is>
          <t>미스터홈즈강남지사</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세종특별자치시 연기면 수산리 536-2</t>
        </is>
      </c>
      <c r="B3346" s="3" t="inlineStr">
        <is>
          <t>계획관리지역</t>
        </is>
      </c>
      <c r="C3346" s="3" t="inlineStr">
        <is>
          <t>답</t>
        </is>
      </c>
      <c r="D3346" s="3" t="inlineStr">
        <is>
          <t>답</t>
        </is>
      </c>
      <c r="E3346" s="3" t="inlineStr">
        <is>
          <t>매매</t>
        </is>
      </c>
      <c r="F3346" s="4" t="n">
        <v>37700</v>
      </c>
      <c r="G3346" s="4" t="n">
        <v>1246</v>
      </c>
      <c r="H3346" s="4" t="n">
        <v>377</v>
      </c>
      <c r="I3346" s="5" t="n">
        <v>100</v>
      </c>
      <c r="J3346" s="4" t="n">
        <v>38.2</v>
      </c>
      <c r="K3346" s="3" t="inlineStr">
        <is>
          <t>세종시 초인접 계획관리 답</t>
        </is>
      </c>
      <c r="L3346" s="6">
        <f>HYPERLINK("https://fin.land.naver.com/articles/2646666701", "매물Link")</f>
        <v/>
      </c>
      <c r="M3346" s="6">
        <f>HYPERLINK("https://map.naver.com/p/search/세종특별자치시 연기면 수산리 536-2", "지도Link")</f>
        <v/>
      </c>
      <c r="N3346" s="6">
        <f>HYPERLINK("http://www.eum.go.kr/web/ar/lu/luLandDet.jsp?pnu=3611031024105360002&amp;isNoScr=script&amp;mode=search", "토지이음")</f>
        <v/>
      </c>
      <c r="O3346" s="3" t="inlineStr">
        <is>
          <t>강나루</t>
        </is>
      </c>
      <c r="P3346" s="3" t="n">
        <v>1</v>
      </c>
      <c r="Q3346" s="3" t="n">
        <v>1246</v>
      </c>
      <c r="R3346" s="3" t="inlineStr">
        <is>
          <t>지정되지않음</t>
        </is>
      </c>
      <c r="S3346" s="3" t="inlineStr">
        <is>
          <t>답</t>
        </is>
      </c>
      <c r="T3346" s="3" t="inlineStr">
        <is>
          <t>완경사</t>
        </is>
      </c>
      <c r="U3346" s="3" t="inlineStr">
        <is>
          <t>부정형</t>
        </is>
      </c>
      <c r="V3346" s="3" t="inlineStr">
        <is>
          <t>세로한면(가)</t>
        </is>
      </c>
    </row>
    <row r="3347">
      <c r="A3347" s="3" t="inlineStr">
        <is>
          <t>세종특별자치시 연기면 수산리 539-1</t>
        </is>
      </c>
      <c r="B3347" s="3" t="inlineStr">
        <is>
          <t>보전관리지역</t>
        </is>
      </c>
      <c r="C3347" s="3" t="inlineStr">
        <is>
          <t>임야</t>
        </is>
      </c>
      <c r="D3347" s="3" t="inlineStr">
        <is>
          <t>임야</t>
        </is>
      </c>
      <c r="E3347" s="3" t="inlineStr">
        <is>
          <t>매매</t>
        </is>
      </c>
      <c r="F3347" s="4" t="n">
        <v>58000</v>
      </c>
      <c r="G3347" s="4" t="n">
        <v>767</v>
      </c>
      <c r="H3347" s="4" t="n">
        <v>232</v>
      </c>
      <c r="I3347" s="5" t="n">
        <v>250</v>
      </c>
      <c r="J3347" s="4" t="n">
        <v>55</v>
      </c>
      <c r="K3347" s="3" t="inlineStr">
        <is>
          <t>nan</t>
        </is>
      </c>
      <c r="L3347" s="6">
        <f>HYPERLINK("https://fin.land.naver.com/articles/2646616005", "매물Link")</f>
        <v/>
      </c>
      <c r="M3347" s="6">
        <f>HYPERLINK("https://map.naver.com/p/search/세종특별자치시 연기면 수산리 539-1", "지도Link")</f>
        <v/>
      </c>
      <c r="N3347" s="6">
        <f>HYPERLINK("http://www.eum.go.kr/web/ar/lu/luLandDet.jsp?pnu=3611031024105390001&amp;isNoScr=script&amp;mode=search", "토지이음")</f>
        <v/>
      </c>
      <c r="O3347" s="3" t="inlineStr">
        <is>
          <t>에바다</t>
        </is>
      </c>
      <c r="P3347" s="3" t="n">
        <v>1</v>
      </c>
      <c r="Q3347" s="3" t="n">
        <v>767</v>
      </c>
      <c r="R3347" s="3" t="inlineStr">
        <is>
          <t>지정되지않음</t>
        </is>
      </c>
      <c r="S3347" s="3" t="inlineStr">
        <is>
          <t>전기타</t>
        </is>
      </c>
      <c r="T3347" s="3" t="inlineStr">
        <is>
          <t>완경사</t>
        </is>
      </c>
      <c r="U3347" s="3" t="inlineStr">
        <is>
          <t>사다리형</t>
        </is>
      </c>
      <c r="V3347" s="3" t="inlineStr">
        <is>
          <t>세로한면(가)</t>
        </is>
      </c>
    </row>
    <row r="3348">
      <c r="A3348" s="3" t="inlineStr">
        <is>
          <t>세종특별자치시 연기면 수산리 542-2</t>
        </is>
      </c>
      <c r="B3348" s="3" t="inlineStr">
        <is>
          <t>보전관리지역</t>
        </is>
      </c>
      <c r="C3348" s="3" t="inlineStr">
        <is>
          <t>임야</t>
        </is>
      </c>
      <c r="D3348" s="3" t="inlineStr">
        <is>
          <t>임야</t>
        </is>
      </c>
      <c r="E3348" s="3" t="inlineStr">
        <is>
          <t>매매</t>
        </is>
      </c>
      <c r="F3348" s="4" t="n">
        <v>30000</v>
      </c>
      <c r="G3348" s="4" t="n">
        <v>438</v>
      </c>
      <c r="H3348" s="4" t="n">
        <v>132</v>
      </c>
      <c r="I3348" s="5" t="n">
        <v>227.3</v>
      </c>
      <c r="J3348" s="4" t="n">
        <v>64.90000000000001</v>
      </c>
      <c r="K3348" s="3" t="inlineStr">
        <is>
          <t>nan</t>
        </is>
      </c>
      <c r="L3348" s="6">
        <f>HYPERLINK("https://fin.land.naver.com/articles/2644400865", "매물Link")</f>
        <v/>
      </c>
      <c r="M3348" s="6">
        <f>HYPERLINK("https://map.naver.com/p/search/세종특별자치시 연기면 수산리 542-2", "지도Link")</f>
        <v/>
      </c>
      <c r="N3348" s="6">
        <f>HYPERLINK("http://www.eum.go.kr/web/ar/lu/luLandDet.jsp?pnu=3611031024105420002&amp;isNoScr=script&amp;mode=search", "토지이음")</f>
        <v/>
      </c>
      <c r="O3348" s="3" t="inlineStr">
        <is>
          <t>세종몽땅</t>
        </is>
      </c>
      <c r="P3348" s="3" t="n">
        <v>1</v>
      </c>
      <c r="Q3348" s="3" t="n">
        <v>436</v>
      </c>
      <c r="R3348" s="3" t="inlineStr">
        <is>
          <t>지정되지않음</t>
        </is>
      </c>
      <c r="S3348" s="3" t="inlineStr">
        <is>
          <t>주거나지</t>
        </is>
      </c>
      <c r="T3348" s="3" t="inlineStr">
        <is>
          <t>급경사</t>
        </is>
      </c>
      <c r="U3348" s="3" t="inlineStr">
        <is>
          <t>부정형</t>
        </is>
      </c>
      <c r="V3348" s="3" t="inlineStr">
        <is>
          <t>세로한면(가)</t>
        </is>
      </c>
    </row>
    <row r="3349">
      <c r="A3349" s="3" t="inlineStr">
        <is>
          <t>세종특별자치시 연기면 수산리 542-7</t>
        </is>
      </c>
      <c r="B3349" s="3" t="inlineStr">
        <is>
          <t>보전관리지역</t>
        </is>
      </c>
      <c r="C3349" s="3" t="inlineStr">
        <is>
          <t>임야</t>
        </is>
      </c>
      <c r="D3349" s="3" t="inlineStr">
        <is>
          <t>임야</t>
        </is>
      </c>
      <c r="E3349" s="3" t="inlineStr">
        <is>
          <t>매매</t>
        </is>
      </c>
      <c r="F3349" s="4" t="n">
        <v>25000</v>
      </c>
      <c r="G3349" s="4" t="n">
        <v>544</v>
      </c>
      <c r="H3349" s="4" t="n">
        <v>165</v>
      </c>
      <c r="I3349" s="5" t="n">
        <v>151.5</v>
      </c>
      <c r="J3349" s="4" t="n">
        <v>82.2</v>
      </c>
      <c r="K3349" s="3" t="inlineStr">
        <is>
          <t>가격조정가능, 세종시.정안IC 15분이내, 전망 좋은 전원주택지</t>
        </is>
      </c>
      <c r="L3349" s="6">
        <f>HYPERLINK("https://fin.land.naver.com/articles/2646674769", "매물Link")</f>
        <v/>
      </c>
      <c r="M3349" s="6">
        <f>HYPERLINK("https://map.naver.com/p/search/세종특별자치시 연기면 수산리 542-7", "지도Link")</f>
        <v/>
      </c>
      <c r="N3349" s="6">
        <f>HYPERLINK("http://www.eum.go.kr/web/ar/lu/luLandDet.jsp?pnu=3611031024105420007&amp;isNoScr=script&amp;mode=search", "토지이음")</f>
        <v/>
      </c>
      <c r="O3349" s="3" t="inlineStr">
        <is>
          <t>한빛</t>
        </is>
      </c>
      <c r="P3349" s="3" t="n">
        <v>1</v>
      </c>
      <c r="Q3349" s="3" t="n">
        <v>444</v>
      </c>
      <c r="R3349" s="3" t="inlineStr">
        <is>
          <t>지정되지않음</t>
        </is>
      </c>
      <c r="S3349" s="3" t="inlineStr">
        <is>
          <t>주거나지</t>
        </is>
      </c>
      <c r="T3349" s="3" t="inlineStr">
        <is>
          <t>완경사</t>
        </is>
      </c>
      <c r="U3349" s="3" t="inlineStr">
        <is>
          <t>가로장방</t>
        </is>
      </c>
      <c r="V3349" s="3" t="inlineStr">
        <is>
          <t>세로한면(가)</t>
        </is>
      </c>
    </row>
    <row r="3350">
      <c r="A3350" s="3" t="inlineStr">
        <is>
          <t>세종특별자치시 연기면 수산리 553</t>
        </is>
      </c>
      <c r="B3350" s="3" t="inlineStr">
        <is>
          <t>계획관리지역</t>
        </is>
      </c>
      <c r="C3350" s="3" t="inlineStr">
        <is>
          <t>답</t>
        </is>
      </c>
      <c r="D3350" s="3" t="inlineStr">
        <is>
          <t>답</t>
        </is>
      </c>
      <c r="E3350" s="3" t="inlineStr">
        <is>
          <t>매매</t>
        </is>
      </c>
      <c r="F3350" s="4" t="n">
        <v>87400</v>
      </c>
      <c r="G3350" s="4" t="n">
        <v>2889</v>
      </c>
      <c r="H3350" s="4" t="n">
        <v>874</v>
      </c>
      <c r="I3350" s="5" t="n">
        <v>100</v>
      </c>
      <c r="J3350" s="4" t="n">
        <v>34.6</v>
      </c>
      <c r="K3350" s="3" t="inlineStr">
        <is>
          <t>세종시내와 가까운 저렴한 계획관리</t>
        </is>
      </c>
      <c r="L3350" s="6">
        <f>HYPERLINK("https://fin.land.naver.com/articles/2647424348", "매물Link")</f>
        <v/>
      </c>
      <c r="M3350" s="6">
        <f>HYPERLINK("https://map.naver.com/p/search/세종특별자치시 연기면 수산리 553", "지도Link")</f>
        <v/>
      </c>
      <c r="N3350" s="6">
        <f>HYPERLINK("http://www.eum.go.kr/web/ar/lu/luLandDet.jsp?pnu=3611031024105530000&amp;isNoScr=script&amp;mode=search", "토지이음")</f>
        <v/>
      </c>
      <c r="O3350" s="3" t="inlineStr">
        <is>
          <t>황제</t>
        </is>
      </c>
      <c r="P3350" s="3" t="n">
        <v>2</v>
      </c>
      <c r="Q3350" s="3" t="n">
        <v>2889</v>
      </c>
      <c r="R3350" s="3" t="inlineStr">
        <is>
          <t>지정되지않음</t>
        </is>
      </c>
      <c r="S3350" s="3" t="inlineStr">
        <is>
          <t>답</t>
        </is>
      </c>
      <c r="T3350" s="3" t="inlineStr">
        <is>
          <t>완경사</t>
        </is>
      </c>
      <c r="U3350" s="3" t="inlineStr">
        <is>
          <t>부정형</t>
        </is>
      </c>
      <c r="V3350" s="3" t="inlineStr">
        <is>
          <t>세로한면(불)</t>
        </is>
      </c>
    </row>
    <row r="3351">
      <c r="A3351" s="3" t="inlineStr">
        <is>
          <t>세종특별자치시 연기면 수산리 564-5</t>
        </is>
      </c>
      <c r="B3351" s="3" t="inlineStr">
        <is>
          <t>보전관리지역</t>
        </is>
      </c>
      <c r="C3351" s="3" t="inlineStr">
        <is>
          <t>대</t>
        </is>
      </c>
      <c r="D3351" s="3" t="inlineStr">
        <is>
          <t>대</t>
        </is>
      </c>
      <c r="E3351" s="3" t="inlineStr">
        <is>
          <t>매매</t>
        </is>
      </c>
      <c r="F3351" s="4" t="n">
        <v>39000</v>
      </c>
      <c r="G3351" s="4" t="n">
        <v>552</v>
      </c>
      <c r="H3351" s="4" t="n">
        <v>167</v>
      </c>
      <c r="I3351" s="5" t="n">
        <v>233.5</v>
      </c>
      <c r="J3351" s="4" t="n">
        <v>84.59999999999999</v>
      </c>
      <c r="K3351" s="3" t="inlineStr">
        <is>
          <t>nan</t>
        </is>
      </c>
      <c r="L3351" s="6">
        <f>HYPERLINK("https://fin.land.naver.com/articles/2644332907", "매물Link")</f>
        <v/>
      </c>
      <c r="M3351" s="6">
        <f>HYPERLINK("https://map.naver.com/p/search/세종특별자치시 연기면 수산리 564-5", "지도Link")</f>
        <v/>
      </c>
      <c r="N3351" s="6">
        <f>HYPERLINK("http://www.eum.go.kr/web/ar/lu/luLandDet.jsp?pnu=3611031024105640005&amp;isNoScr=script&amp;mode=search", "토지이음")</f>
        <v/>
      </c>
      <c r="O3351" s="3" t="inlineStr">
        <is>
          <t>신와촌</t>
        </is>
      </c>
      <c r="P3351" s="3" t="n">
        <v>1</v>
      </c>
      <c r="Q3351" s="3" t="n">
        <v>404</v>
      </c>
      <c r="R3351" s="3" t="inlineStr">
        <is>
          <t>지정되지않음</t>
        </is>
      </c>
      <c r="S3351" s="3" t="inlineStr">
        <is>
          <t>주거기타</t>
        </is>
      </c>
      <c r="T3351" s="3" t="inlineStr">
        <is>
          <t>완경사</t>
        </is>
      </c>
      <c r="U3351" s="3" t="inlineStr">
        <is>
          <t>정방형</t>
        </is>
      </c>
      <c r="V3351" s="3" t="inlineStr">
        <is>
          <t>세로한면(가)</t>
        </is>
      </c>
    </row>
    <row r="3352">
      <c r="A3352" s="3" t="inlineStr">
        <is>
          <t>세종특별자치시 연기면 수산리 566-1</t>
        </is>
      </c>
      <c r="B3352" s="3" t="inlineStr">
        <is>
          <t>계획관리지역</t>
        </is>
      </c>
      <c r="C3352" s="3" t="inlineStr">
        <is>
          <t>답</t>
        </is>
      </c>
      <c r="D3352" s="3" t="inlineStr">
        <is>
          <t>답</t>
        </is>
      </c>
      <c r="E3352" s="3" t="inlineStr">
        <is>
          <t>매매</t>
        </is>
      </c>
      <c r="F3352" s="4" t="n">
        <v>65000</v>
      </c>
      <c r="G3352" s="4" t="n">
        <v>827</v>
      </c>
      <c r="H3352" s="4" t="n">
        <v>250</v>
      </c>
      <c r="I3352" s="5" t="n">
        <v>260</v>
      </c>
      <c r="J3352" s="4" t="n">
        <v>38.2</v>
      </c>
      <c r="K3352" s="3" t="inlineStr">
        <is>
          <t>계획관리구역내 전원주택 부지, 토목공사완료</t>
        </is>
      </c>
      <c r="L3352" s="6">
        <f>HYPERLINK("https://fin.land.naver.com/articles/2645251793", "매물Link")</f>
        <v/>
      </c>
      <c r="M3352" s="6">
        <f>HYPERLINK("https://map.naver.com/p/search/세종특별자치시 연기면 수산리 566-1", "지도Link")</f>
        <v/>
      </c>
      <c r="N3352" s="6">
        <f>HYPERLINK("http://www.eum.go.kr/web/ar/lu/luLandDet.jsp?pnu=3611031024105660001&amp;isNoScr=script&amp;mode=search", "토지이음")</f>
        <v/>
      </c>
      <c r="O3352" s="3" t="inlineStr">
        <is>
          <t>한화최고</t>
        </is>
      </c>
      <c r="P3352" s="3" t="n">
        <v>1</v>
      </c>
      <c r="Q3352" s="3" t="n">
        <v>827</v>
      </c>
      <c r="R3352" s="3" t="inlineStr">
        <is>
          <t>지정되지않음</t>
        </is>
      </c>
      <c r="S3352" s="3" t="inlineStr">
        <is>
          <t>답</t>
        </is>
      </c>
      <c r="T3352" s="3" t="inlineStr">
        <is>
          <t>완경사</t>
        </is>
      </c>
      <c r="U3352" s="3" t="inlineStr">
        <is>
          <t>부정형</t>
        </is>
      </c>
      <c r="V3352" s="3" t="inlineStr">
        <is>
          <t>세로한면(가)</t>
        </is>
      </c>
    </row>
    <row r="3353">
      <c r="A3353" s="3" t="inlineStr">
        <is>
          <t>세종특별자치시 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HYPERLINK("https://map.naver.com/p/search/세종특별자치시 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세종특별자치시 연기면 수산리 575-2</t>
        </is>
      </c>
      <c r="B3354" s="3" t="inlineStr">
        <is>
          <t>보전관리지역</t>
        </is>
      </c>
      <c r="C3354" s="3" t="inlineStr">
        <is>
          <t>임야</t>
        </is>
      </c>
      <c r="D3354" s="3" t="inlineStr">
        <is>
          <t>임야</t>
        </is>
      </c>
      <c r="E3354" s="3" t="inlineStr">
        <is>
          <t>매매</t>
        </is>
      </c>
      <c r="F3354" s="4" t="n">
        <v>42000</v>
      </c>
      <c r="G3354" s="4" t="n">
        <v>30129</v>
      </c>
      <c r="H3354" s="4" t="n">
        <v>9114</v>
      </c>
      <c r="I3354" s="5" t="n">
        <v>4.6</v>
      </c>
      <c r="J3354" s="4" t="n">
        <v>5.1</v>
      </c>
      <c r="K3354" s="3" t="inlineStr">
        <is>
          <t>세종 연기면  대형 임야｜보전관리지역준보전산지 매매</t>
        </is>
      </c>
      <c r="L3354" s="6">
        <f>HYPERLINK("https://fin.land.naver.com/articles/2648304173", "매물Link")</f>
        <v/>
      </c>
      <c r="M3354" s="6">
        <f>HYPERLINK("https://map.naver.com/p/search/세종특별자치시 연기면 수산리 575-2", "지도Link")</f>
        <v/>
      </c>
      <c r="N3354" s="6">
        <f>HYPERLINK("http://www.eum.go.kr/web/ar/lu/luLandDet.jsp?pnu=3611031024105750002&amp;isNoScr=script&amp;mode=search", "토지이음")</f>
        <v/>
      </c>
      <c r="O3354" s="3" t="inlineStr">
        <is>
          <t>세종몽땅</t>
        </is>
      </c>
      <c r="P3354" s="3" t="n">
        <v>1</v>
      </c>
      <c r="Q3354" s="3" t="n">
        <v>30129</v>
      </c>
      <c r="R3354" s="3" t="inlineStr">
        <is>
          <t>지정되지않음</t>
        </is>
      </c>
      <c r="S3354" s="3" t="inlineStr">
        <is>
          <t>자연림</t>
        </is>
      </c>
      <c r="T3354" s="3" t="inlineStr">
        <is>
          <t>고지</t>
        </is>
      </c>
      <c r="U3354" s="3" t="inlineStr">
        <is>
          <t>부정형</t>
        </is>
      </c>
      <c r="V3354" s="3" t="inlineStr">
        <is>
          <t>세로한면(가)</t>
        </is>
      </c>
    </row>
    <row r="3355">
      <c r="A3355" s="3" t="inlineStr">
        <is>
          <t>세종특별자치시 연기면 수산리 58-1</t>
        </is>
      </c>
      <c r="B3355" s="3" t="inlineStr">
        <is>
          <t>계획관리지역</t>
        </is>
      </c>
      <c r="C3355" s="3" t="inlineStr">
        <is>
          <t>전</t>
        </is>
      </c>
      <c r="D3355" s="3" t="inlineStr">
        <is>
          <t>전</t>
        </is>
      </c>
      <c r="E3355" s="3" t="inlineStr">
        <is>
          <t>매매</t>
        </is>
      </c>
      <c r="F3355" s="4" t="n">
        <v>186000</v>
      </c>
      <c r="G3355" s="4" t="n">
        <v>3626</v>
      </c>
      <c r="H3355" s="4" t="n">
        <v>1097</v>
      </c>
      <c r="I3355" s="5" t="n">
        <v>169.6</v>
      </c>
      <c r="J3355" s="4" t="n">
        <v>64.5</v>
      </c>
      <c r="K3355" s="3" t="inlineStr">
        <is>
          <t>계획관리,도로접함</t>
        </is>
      </c>
      <c r="L3355" s="6">
        <f>HYPERLINK("https://fin.land.naver.com/articles/2646007811", "매물Link")</f>
        <v/>
      </c>
      <c r="M3355" s="6">
        <f>HYPERLINK("https://map.naver.com/p/search/세종특별자치시 연기면 수산리 58-1", "지도Link")</f>
        <v/>
      </c>
      <c r="N3355" s="6">
        <f>HYPERLINK("http://www.eum.go.kr/web/ar/lu/luLandDet.jsp?pnu=3611031024100580001&amp;isNoScr=script&amp;mode=search", "토지이음")</f>
        <v/>
      </c>
      <c r="O3355" s="3" t="inlineStr">
        <is>
          <t>세종대박</t>
        </is>
      </c>
      <c r="P3355" s="3" t="n">
        <v>1</v>
      </c>
      <c r="Q3355" s="3" t="n">
        <v>3626</v>
      </c>
      <c r="R3355" s="3" t="inlineStr">
        <is>
          <t>지정되지않음</t>
        </is>
      </c>
      <c r="S3355" s="3" t="inlineStr">
        <is>
          <t>전</t>
        </is>
      </c>
      <c r="T3355" s="3" t="inlineStr">
        <is>
          <t>평지</t>
        </is>
      </c>
      <c r="U3355" s="3" t="inlineStr">
        <is>
          <t>부정형</t>
        </is>
      </c>
      <c r="V3355" s="3" t="inlineStr">
        <is>
          <t>세로한면(가)</t>
        </is>
      </c>
    </row>
    <row r="3356">
      <c r="A3356" s="3" t="inlineStr">
        <is>
          <t>세종특별자치시 연기면 수산리 68-4</t>
        </is>
      </c>
      <c r="B3356" s="3" t="inlineStr">
        <is>
          <t>계획관리지역</t>
        </is>
      </c>
      <c r="C3356" s="3" t="inlineStr">
        <is>
          <t>전</t>
        </is>
      </c>
      <c r="D3356" s="3" t="inlineStr">
        <is>
          <t>전</t>
        </is>
      </c>
      <c r="E3356" s="3" t="inlineStr">
        <is>
          <t>매매</t>
        </is>
      </c>
      <c r="F3356" s="4" t="n">
        <v>108500</v>
      </c>
      <c r="G3356" s="4" t="n">
        <v>652</v>
      </c>
      <c r="H3356" s="4" t="n">
        <v>197</v>
      </c>
      <c r="I3356" s="5" t="n">
        <v>550.8</v>
      </c>
      <c r="J3356" s="4" t="n">
        <v>58.8</v>
      </c>
      <c r="K3356" s="3" t="inlineStr">
        <is>
          <t>가시성 좋은 위치의 계획관리토지</t>
        </is>
      </c>
      <c r="L3356" s="6">
        <f>HYPERLINK("https://fin.land.naver.com/articles/2645605192", "매물Link")</f>
        <v/>
      </c>
      <c r="M3356" s="6">
        <f>HYPERLINK("https://map.naver.com/p/search/세종특별자치시 연기면 수산리 68-4", "지도Link")</f>
        <v/>
      </c>
      <c r="N3356" s="6">
        <f>HYPERLINK("http://www.eum.go.kr/web/ar/lu/luLandDet.jsp?pnu=3611031024100680004&amp;isNoScr=script&amp;mode=search", "토지이음")</f>
        <v/>
      </c>
      <c r="O3356" s="3" t="inlineStr">
        <is>
          <t>미스터홈즈강남지사</t>
        </is>
      </c>
      <c r="P3356" s="3" t="n">
        <v>1</v>
      </c>
      <c r="Q3356" s="3" t="n">
        <v>652</v>
      </c>
      <c r="R3356" s="3" t="inlineStr">
        <is>
          <t>지정되지않음</t>
        </is>
      </c>
      <c r="S3356" s="3" t="inlineStr">
        <is>
          <t>전</t>
        </is>
      </c>
      <c r="T3356" s="3" t="inlineStr">
        <is>
          <t>완경사</t>
        </is>
      </c>
      <c r="U3356" s="3" t="inlineStr">
        <is>
          <t>사다리형</t>
        </is>
      </c>
      <c r="V3356" s="3" t="inlineStr">
        <is>
          <t>세로한면(가)</t>
        </is>
      </c>
    </row>
    <row r="3357">
      <c r="A3357" s="3" t="inlineStr">
        <is>
          <t>세종특별자치시 연기면 수산리 72</t>
        </is>
      </c>
      <c r="B3357" s="3" t="inlineStr">
        <is>
          <t>계획관리지역</t>
        </is>
      </c>
      <c r="C3357" s="3" t="inlineStr">
        <is>
          <t>전</t>
        </is>
      </c>
      <c r="D3357" s="3" t="inlineStr">
        <is>
          <t>전</t>
        </is>
      </c>
      <c r="E3357" s="3" t="inlineStr">
        <is>
          <t>매매</t>
        </is>
      </c>
      <c r="F3357" s="4" t="n">
        <v>167000</v>
      </c>
      <c r="G3357" s="4" t="n">
        <v>1369</v>
      </c>
      <c r="H3357" s="4" t="n">
        <v>414</v>
      </c>
      <c r="I3357" s="5" t="n">
        <v>403.4</v>
      </c>
      <c r="J3357" s="4" t="n">
        <v>50</v>
      </c>
      <c r="K3357" s="3" t="inlineStr">
        <is>
          <t>수산리 음식점 까페적지 계획관리지역</t>
        </is>
      </c>
      <c r="L3357" s="6">
        <f>HYPERLINK("https://fin.land.naver.com/articles/2648416166", "매물Link")</f>
        <v/>
      </c>
      <c r="M3357" s="6">
        <f>HYPERLINK("https://map.naver.com/p/search/세종특별자치시 연기면 수산리 72", "지도Link")</f>
        <v/>
      </c>
      <c r="N3357" s="6">
        <f>HYPERLINK("http://www.eum.go.kr/web/ar/lu/luLandDet.jsp?pnu=3611031024100720000&amp;isNoScr=script&amp;mode=search", "토지이음")</f>
        <v/>
      </c>
      <c r="O3357" s="3" t="inlineStr">
        <is>
          <t>세종천지</t>
        </is>
      </c>
      <c r="P3357" s="3" t="n">
        <v>1</v>
      </c>
      <c r="Q3357" s="3" t="n">
        <v>768</v>
      </c>
      <c r="R3357" s="3" t="inlineStr">
        <is>
          <t>지정되지않음</t>
        </is>
      </c>
      <c r="S3357" s="3" t="inlineStr">
        <is>
          <t>전</t>
        </is>
      </c>
      <c r="T3357" s="3" t="inlineStr">
        <is>
          <t>완경사</t>
        </is>
      </c>
      <c r="U3357" s="3" t="inlineStr">
        <is>
          <t>부정형</t>
        </is>
      </c>
      <c r="V3357" s="3" t="inlineStr">
        <is>
          <t>세로한면(불)</t>
        </is>
      </c>
    </row>
    <row r="3358">
      <c r="A3358" s="3" t="inlineStr">
        <is>
          <t>세종특별자치시 연기면 수산리 75</t>
        </is>
      </c>
      <c r="B3358" s="3" t="inlineStr">
        <is>
          <t>계획관리지역</t>
        </is>
      </c>
      <c r="C3358" s="3" t="inlineStr">
        <is>
          <t>답</t>
        </is>
      </c>
      <c r="D3358" s="3" t="inlineStr">
        <is>
          <t>답</t>
        </is>
      </c>
      <c r="E3358" s="3" t="inlineStr">
        <is>
          <t>매매</t>
        </is>
      </c>
      <c r="F3358" s="4" t="n">
        <v>46800</v>
      </c>
      <c r="G3358" s="4" t="n">
        <v>774</v>
      </c>
      <c r="H3358" s="4" t="n">
        <v>234</v>
      </c>
      <c r="I3358" s="5" t="n">
        <v>200</v>
      </c>
      <c r="J3358" s="4" t="n">
        <v>52.2</v>
      </c>
      <c r="K3358" s="3" t="inlineStr">
        <is>
          <t>nan</t>
        </is>
      </c>
      <c r="L3358" s="6">
        <f>HYPERLINK("https://fin.land.naver.com/articles/2645373759", "매물Link")</f>
        <v/>
      </c>
      <c r="M3358" s="6">
        <f>HYPERLINK("https://map.naver.com/p/search/세종특별자치시 연기면 수산리 75", "지도Link")</f>
        <v/>
      </c>
      <c r="N3358" s="6">
        <f>HYPERLINK("http://www.eum.go.kr/web/ar/lu/luLandDet.jsp?pnu=3611031024100750000&amp;isNoScr=script&amp;mode=search", "토지이음")</f>
        <v/>
      </c>
      <c r="O3358" s="3" t="inlineStr">
        <is>
          <t>현대엠코</t>
        </is>
      </c>
      <c r="P3358" s="3" t="n">
        <v>1</v>
      </c>
      <c r="Q3358" s="3" t="n">
        <v>774</v>
      </c>
      <c r="R3358" s="3" t="inlineStr">
        <is>
          <t>지정되지않음</t>
        </is>
      </c>
      <c r="S3358" s="3" t="inlineStr">
        <is>
          <t>답</t>
        </is>
      </c>
      <c r="T3358" s="3" t="inlineStr">
        <is>
          <t>완경사</t>
        </is>
      </c>
      <c r="U3358" s="3" t="inlineStr">
        <is>
          <t>부정형</t>
        </is>
      </c>
      <c r="V3358" s="3" t="inlineStr">
        <is>
          <t>세로한면(가)</t>
        </is>
      </c>
    </row>
    <row r="3359">
      <c r="A3359" s="3" t="inlineStr">
        <is>
          <t>세종특별자치시 연기면 수산리 90-3</t>
        </is>
      </c>
      <c r="B3359" s="3" t="inlineStr">
        <is>
          <t>계획관리지역</t>
        </is>
      </c>
      <c r="C3359" s="3" t="inlineStr">
        <is>
          <t>답</t>
        </is>
      </c>
      <c r="D3359" s="3" t="inlineStr">
        <is>
          <t>답</t>
        </is>
      </c>
      <c r="E3359" s="3" t="inlineStr">
        <is>
          <t>매매</t>
        </is>
      </c>
      <c r="F3359" s="4" t="n">
        <v>151795</v>
      </c>
      <c r="G3359" s="4" t="n">
        <v>1434</v>
      </c>
      <c r="H3359" s="4" t="n">
        <v>434</v>
      </c>
      <c r="I3359" s="5" t="n">
        <v>349.8</v>
      </c>
      <c r="J3359" s="4" t="n">
        <v>52.2</v>
      </c>
      <c r="K3359" s="3" t="inlineStr">
        <is>
          <t>저렴한 물류야적장, 식당, 사우나 건축 가능한 계획관리 급매</t>
        </is>
      </c>
      <c r="L3359" s="6">
        <f>HYPERLINK("https://fin.land.naver.com/articles/2645427585", "매물Link")</f>
        <v/>
      </c>
      <c r="M3359" s="6">
        <f>HYPERLINK("https://map.naver.com/p/search/세종특별자치시 연기면 수산리 90-3", "지도Link")</f>
        <v/>
      </c>
      <c r="N3359" s="6">
        <f>HYPERLINK("http://www.eum.go.kr/web/ar/lu/luLandDet.jsp?pnu=3611031024100900003&amp;isNoScr=script&amp;mode=search", "토지이음")</f>
        <v/>
      </c>
      <c r="O3359" s="3" t="inlineStr">
        <is>
          <t>둔곡타워</t>
        </is>
      </c>
      <c r="P3359" s="3" t="n">
        <v>1</v>
      </c>
      <c r="Q3359" s="3" t="n">
        <v>1434</v>
      </c>
      <c r="R3359" s="3" t="inlineStr">
        <is>
          <t>지정되지않음</t>
        </is>
      </c>
      <c r="S3359" s="3" t="inlineStr">
        <is>
          <t>답</t>
        </is>
      </c>
      <c r="T3359" s="3" t="inlineStr">
        <is>
          <t>완경사</t>
        </is>
      </c>
      <c r="U3359" s="3" t="inlineStr">
        <is>
          <t>부정형</t>
        </is>
      </c>
      <c r="V3359" s="3" t="inlineStr">
        <is>
          <t>세로한면(가)</t>
        </is>
      </c>
    </row>
    <row r="3360">
      <c r="A3360" s="3" t="inlineStr">
        <is>
          <t>세종특별자치시 연기면 수산리 산121</t>
        </is>
      </c>
      <c r="B3360" s="3" t="inlineStr">
        <is>
          <t>계획관리지역</t>
        </is>
      </c>
      <c r="C3360" s="3" t="inlineStr">
        <is>
          <t>임야</t>
        </is>
      </c>
      <c r="D3360" s="3" t="inlineStr">
        <is>
          <t>임야</t>
        </is>
      </c>
      <c r="E3360" s="3" t="inlineStr">
        <is>
          <t>매매</t>
        </is>
      </c>
      <c r="F3360" s="4" t="n">
        <v>80000</v>
      </c>
      <c r="G3360" s="4" t="n">
        <v>2182</v>
      </c>
      <c r="H3360" s="4" t="n">
        <v>660</v>
      </c>
      <c r="I3360" s="5" t="n">
        <v>121.2</v>
      </c>
      <c r="J3360" s="4" t="n">
        <v>19.9</v>
      </c>
      <c r="K3360" s="3" t="inlineStr">
        <is>
          <t>수산리 위치 조망 좋은 토지매매</t>
        </is>
      </c>
      <c r="L3360" s="6">
        <f>HYPERLINK("https://fin.land.naver.com/articles/2645514060", "매물Link")</f>
        <v/>
      </c>
      <c r="M3360" s="6">
        <f>HYPERLINK("https://map.naver.com/p/search/세종특별자치시 연기면 수산리 산121", "지도Link")</f>
        <v/>
      </c>
      <c r="N3360" s="6">
        <f>HYPERLINK("http://www.eum.go.kr/web/ar/lu/luLandDet.jsp?pnu=3611031024201210000&amp;isNoScr=script&amp;mode=search", "토지이음")</f>
        <v/>
      </c>
      <c r="O3360" s="3" t="inlineStr">
        <is>
          <t>에이스</t>
        </is>
      </c>
      <c r="P3360" s="3" t="n">
        <v>1</v>
      </c>
      <c r="Q3360" s="3" t="n">
        <v>2182</v>
      </c>
      <c r="R3360" s="3" t="inlineStr">
        <is>
          <t>지정되지않음</t>
        </is>
      </c>
      <c r="S3360" s="3" t="inlineStr">
        <is>
          <t>자연림</t>
        </is>
      </c>
      <c r="T3360" s="3" t="inlineStr">
        <is>
          <t>완경사</t>
        </is>
      </c>
      <c r="U3360" s="3" t="inlineStr">
        <is>
          <t>부정형</t>
        </is>
      </c>
      <c r="V3360" s="3" t="inlineStr">
        <is>
          <t>세로한면(가)</t>
        </is>
      </c>
    </row>
    <row r="3361">
      <c r="A3361" s="3" t="inlineStr">
        <is>
          <t>세종특별자치시 연기면 수산리 산25</t>
        </is>
      </c>
      <c r="B3361" s="3" t="inlineStr">
        <is>
          <t>보전관리지역</t>
        </is>
      </c>
      <c r="C3361" s="3" t="inlineStr">
        <is>
          <t>임야</t>
        </is>
      </c>
      <c r="D3361" s="3" t="inlineStr">
        <is>
          <t>임야</t>
        </is>
      </c>
      <c r="E3361" s="3" t="inlineStr">
        <is>
          <t>매매</t>
        </is>
      </c>
      <c r="F3361" s="4" t="n">
        <v>432000</v>
      </c>
      <c r="G3361" s="4" t="n">
        <v>4760</v>
      </c>
      <c r="H3361" s="4" t="n">
        <v>1440</v>
      </c>
      <c r="I3361" s="5" t="n">
        <v>300</v>
      </c>
      <c r="J3361" s="4" t="n">
        <v>10.9</v>
      </c>
      <c r="K3361" s="3" t="inlineStr">
        <is>
          <t>수산리 전원주택지 안에 있는 개발하지 않은 원형지 형태의 야산입니다</t>
        </is>
      </c>
      <c r="L3361" s="6">
        <f>HYPERLINK("https://fin.land.naver.com/articles/2645811514", "매물Link")</f>
        <v/>
      </c>
      <c r="M3361" s="6">
        <f>HYPERLINK("https://map.naver.com/p/search/세종특별자치시 연기면 수산리 산25", "지도Link")</f>
        <v/>
      </c>
      <c r="N3361" s="6">
        <f>HYPERLINK("http://www.eum.go.kr/web/ar/lu/luLandDet.jsp?pnu=3611031024200250000&amp;isNoScr=script&amp;mode=search", "토지이음")</f>
        <v/>
      </c>
      <c r="O3361" s="3" t="inlineStr">
        <is>
          <t>스마일세종</t>
        </is>
      </c>
      <c r="P3361" s="3" t="n">
        <v>1</v>
      </c>
      <c r="Q3361" s="3" t="n">
        <v>4760</v>
      </c>
      <c r="R3361" s="3" t="inlineStr">
        <is>
          <t>지정되지않음</t>
        </is>
      </c>
      <c r="S3361" s="3" t="inlineStr">
        <is>
          <t>자연림</t>
        </is>
      </c>
      <c r="T3361" s="3" t="inlineStr">
        <is>
          <t>완경사</t>
        </is>
      </c>
      <c r="U3361" s="3" t="inlineStr">
        <is>
          <t>부정형</t>
        </is>
      </c>
      <c r="V3361" s="3" t="inlineStr">
        <is>
          <t>세로한면(가)</t>
        </is>
      </c>
    </row>
    <row r="3362">
      <c r="A3362" s="3" t="inlineStr">
        <is>
          <t>세종특별자치시 연기면 연기리 1-19</t>
        </is>
      </c>
      <c r="B3362" s="3" t="inlineStr">
        <is>
          <t>계획관리지역</t>
        </is>
      </c>
      <c r="C3362" s="3" t="inlineStr">
        <is>
          <t>전</t>
        </is>
      </c>
      <c r="D3362" s="3" t="inlineStr">
        <is>
          <t>전</t>
        </is>
      </c>
      <c r="E3362" s="3" t="inlineStr">
        <is>
          <t>매매</t>
        </is>
      </c>
      <c r="F3362" s="4" t="n">
        <v>32000</v>
      </c>
      <c r="G3362" s="4" t="n">
        <v>302</v>
      </c>
      <c r="H3362" s="4" t="n">
        <v>91</v>
      </c>
      <c r="I3362" s="5" t="n">
        <v>351.6</v>
      </c>
      <c r="J3362" s="4" t="n">
        <v>175.7</v>
      </c>
      <c r="K3362" s="3" t="inlineStr">
        <is>
          <t>명성공인, 전용91.35, 연기리 계획관리 추천 매물</t>
        </is>
      </c>
      <c r="L3362" s="6">
        <f>HYPERLINK("https://fin.land.naver.com/articles/2644147192", "매물Link")</f>
        <v/>
      </c>
      <c r="M3362" s="6">
        <f>HYPERLINK("https://map.naver.com/p/search/세종특별자치시 연기면 연기리 1-19", "지도Link")</f>
        <v/>
      </c>
      <c r="N3362" s="6">
        <f>HYPERLINK("http://www.eum.go.kr/web/ar/lu/luLandDet.jsp?pnu=3611031021100010019&amp;isNoScr=script&amp;mode=search", "토지이음")</f>
        <v/>
      </c>
      <c r="O3362" s="3" t="inlineStr">
        <is>
          <t>명성</t>
        </is>
      </c>
      <c r="P3362" s="3" t="n">
        <v>2</v>
      </c>
      <c r="Q3362" s="3" t="n">
        <v>302</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세종특별자치시 연기면 연기리 1-20</t>
        </is>
      </c>
      <c r="B3363" s="3" t="inlineStr">
        <is>
          <t>계획관리지역</t>
        </is>
      </c>
      <c r="C3363" s="3" t="inlineStr">
        <is>
          <t>전</t>
        </is>
      </c>
      <c r="D3363" s="3" t="inlineStr">
        <is>
          <t>전</t>
        </is>
      </c>
      <c r="E3363" s="3" t="inlineStr">
        <is>
          <t>매매</t>
        </is>
      </c>
      <c r="F3363" s="4" t="n">
        <v>36000</v>
      </c>
      <c r="G3363" s="4" t="n">
        <v>360</v>
      </c>
      <c r="H3363" s="4" t="n">
        <v>109</v>
      </c>
      <c r="I3363" s="5" t="n">
        <v>330.3</v>
      </c>
      <c r="J3363" s="4" t="n">
        <v>175.7</v>
      </c>
      <c r="K3363" s="3" t="inlineStr">
        <is>
          <t>전원주택,다가구 위치로 좋은 토지</t>
        </is>
      </c>
      <c r="L3363" s="6">
        <f>HYPERLINK("https://fin.land.naver.com/articles/2646007808", "매물Link")</f>
        <v/>
      </c>
      <c r="M3363" s="6">
        <f>HYPERLINK("https://map.naver.com/p/search/세종특별자치시 연기면 연기리 1-20", "지도Link")</f>
        <v/>
      </c>
      <c r="N3363" s="6">
        <f>HYPERLINK("http://www.eum.go.kr/web/ar/lu/luLandDet.jsp?pnu=3611031021100010020&amp;isNoScr=script&amp;mode=search", "토지이음")</f>
        <v/>
      </c>
      <c r="O3363" s="3" t="inlineStr">
        <is>
          <t>세종대박</t>
        </is>
      </c>
      <c r="P3363" s="3" t="n">
        <v>1</v>
      </c>
      <c r="Q3363" s="3" t="n">
        <v>319</v>
      </c>
      <c r="R3363" s="3" t="inlineStr">
        <is>
          <t>지정되지않음</t>
        </is>
      </c>
      <c r="S3363" s="3" t="inlineStr">
        <is>
          <t>주거나지</t>
        </is>
      </c>
      <c r="T3363" s="3" t="inlineStr">
        <is>
          <t>완경사</t>
        </is>
      </c>
      <c r="U3363" s="3" t="inlineStr">
        <is>
          <t>사다리형</t>
        </is>
      </c>
      <c r="V3363" s="3" t="inlineStr">
        <is>
          <t>세로한면(가)</t>
        </is>
      </c>
    </row>
    <row r="3364">
      <c r="A3364" s="3" t="inlineStr">
        <is>
          <t>세종특별자치시 연기면 연기리 1-51</t>
        </is>
      </c>
      <c r="B3364" s="3" t="inlineStr">
        <is>
          <t>계획관리지역</t>
        </is>
      </c>
      <c r="C3364" s="3" t="inlineStr">
        <is>
          <t>전</t>
        </is>
      </c>
      <c r="D3364" s="3" t="inlineStr">
        <is>
          <t>전</t>
        </is>
      </c>
      <c r="E3364" s="3" t="inlineStr">
        <is>
          <t>매매</t>
        </is>
      </c>
      <c r="F3364" s="4" t="n">
        <v>27000</v>
      </c>
      <c r="G3364" s="4" t="n">
        <v>289</v>
      </c>
      <c r="H3364" s="4" t="n">
        <v>87</v>
      </c>
      <c r="I3364" s="5" t="n">
        <v>310.3</v>
      </c>
      <c r="J3364" s="4" t="n">
        <v>122.2</v>
      </c>
      <c r="K3364" s="3" t="inlineStr">
        <is>
          <t>개발가능한 토지,다가구 등</t>
        </is>
      </c>
      <c r="L3364" s="6">
        <f>HYPERLINK("https://fin.land.naver.com/articles/2644444821", "매물Link")</f>
        <v/>
      </c>
      <c r="M3364" s="6">
        <f>HYPERLINK("https://map.naver.com/p/search/세종특별자치시 연기면 연기리 1-51", "지도Link")</f>
        <v/>
      </c>
      <c r="N3364" s="6">
        <f>HYPERLINK("http://www.eum.go.kr/web/ar/lu/luLandDet.jsp?pnu=3611031021100010051&amp;isNoScr=script&amp;mode=search", "토지이음")</f>
        <v/>
      </c>
      <c r="O3364" s="3" t="inlineStr">
        <is>
          <t>세종대박</t>
        </is>
      </c>
      <c r="P3364" s="3" t="n">
        <v>2</v>
      </c>
      <c r="Q3364" s="3" t="n">
        <v>288.9</v>
      </c>
      <c r="R3364" s="3" t="inlineStr">
        <is>
          <t>지정되지않음</t>
        </is>
      </c>
      <c r="S3364" s="3" t="inlineStr">
        <is>
          <t>전</t>
        </is>
      </c>
      <c r="T3364" s="3" t="inlineStr">
        <is>
          <t>완경사</t>
        </is>
      </c>
      <c r="U3364" s="3" t="inlineStr">
        <is>
          <t>사다리형</t>
        </is>
      </c>
      <c r="V3364" s="3" t="inlineStr">
        <is>
          <t>세로한면(불)</t>
        </is>
      </c>
    </row>
    <row r="3365">
      <c r="A3365" s="3" t="inlineStr">
        <is>
          <t>세종특별자치시 연기면 연기리 1-56</t>
        </is>
      </c>
      <c r="B3365" s="3" t="inlineStr">
        <is>
          <t>계획관리지역</t>
        </is>
      </c>
      <c r="C3365" s="3" t="inlineStr">
        <is>
          <t>전</t>
        </is>
      </c>
      <c r="D3365" s="3" t="inlineStr">
        <is>
          <t>대</t>
        </is>
      </c>
      <c r="E3365" s="3" t="inlineStr">
        <is>
          <t>매매</t>
        </is>
      </c>
      <c r="F3365" s="4" t="n">
        <v>40000</v>
      </c>
      <c r="G3365" s="4" t="n">
        <v>568</v>
      </c>
      <c r="H3365" s="4" t="n">
        <v>172</v>
      </c>
      <c r="I3365" s="5" t="n">
        <v>232.6</v>
      </c>
      <c r="J3365" s="4" t="n">
        <v>175.7</v>
      </c>
      <c r="K3365" s="3" t="inlineStr">
        <is>
          <t>주거개발진흥지구이며 지구단위계획구역임</t>
        </is>
      </c>
      <c r="L3365" s="6">
        <f>HYPERLINK("https://fin.land.naver.com/articles/2648547626", "매물Link")</f>
        <v/>
      </c>
      <c r="M3365" s="6">
        <f>HYPERLINK("https://map.naver.com/p/search/세종특별자치시 연기면 연기리 1-56", "지도Link")</f>
        <v/>
      </c>
      <c r="N3365" s="6">
        <f>HYPERLINK("http://www.eum.go.kr/web/ar/lu/luLandDet.jsp?pnu=3611031021100010056&amp;isNoScr=script&amp;mode=search", "토지이음")</f>
        <v/>
      </c>
      <c r="O3365" s="3" t="inlineStr">
        <is>
          <t>세종리츠</t>
        </is>
      </c>
      <c r="P3365" s="3" t="n">
        <v>3</v>
      </c>
      <c r="Q3365" s="3" t="n">
        <v>99</v>
      </c>
      <c r="R3365" s="3" t="inlineStr">
        <is>
          <t>지정되지않음</t>
        </is>
      </c>
      <c r="S3365" s="3" t="inlineStr">
        <is>
          <t>주거나지</t>
        </is>
      </c>
      <c r="T3365" s="3" t="inlineStr">
        <is>
          <t>완경사</t>
        </is>
      </c>
      <c r="U3365" s="3" t="inlineStr">
        <is>
          <t>사다리형</t>
        </is>
      </c>
      <c r="V3365" s="3" t="inlineStr">
        <is>
          <t>세로한면(가)</t>
        </is>
      </c>
    </row>
    <row r="3366">
      <c r="A3366" s="3" t="inlineStr">
        <is>
          <t>세종특별자치시 연기면 연기리 1-8</t>
        </is>
      </c>
      <c r="B3366" s="3" t="inlineStr">
        <is>
          <t>계획관리지역</t>
        </is>
      </c>
      <c r="C3366" s="3" t="inlineStr">
        <is>
          <t>전</t>
        </is>
      </c>
      <c r="D3366" s="3" t="inlineStr">
        <is>
          <t>전</t>
        </is>
      </c>
      <c r="E3366" s="3" t="inlineStr">
        <is>
          <t>매매</t>
        </is>
      </c>
      <c r="F3366" s="4" t="n">
        <v>20000</v>
      </c>
      <c r="G3366" s="4" t="n">
        <v>202</v>
      </c>
      <c r="H3366" s="4" t="n">
        <v>61</v>
      </c>
      <c r="I3366" s="5" t="n">
        <v>327.9</v>
      </c>
      <c r="J3366" s="4" t="n">
        <v>175.7</v>
      </c>
      <c r="K3366" s="3" t="inlineStr">
        <is>
          <t>계획관리지역 내 네모반듯한 토지</t>
        </is>
      </c>
      <c r="L3366" s="6">
        <f>HYPERLINK("https://fin.land.naver.com/articles/2647298607", "매물Link")</f>
        <v/>
      </c>
      <c r="M3366" s="6">
        <f>HYPERLINK("https://map.naver.com/p/search/세종특별자치시 연기면 연기리 1-8", "지도Link")</f>
        <v/>
      </c>
      <c r="N3366" s="6">
        <f>HYPERLINK("http://www.eum.go.kr/web/ar/lu/luLandDet.jsp?pnu=3611031021100010008&amp;isNoScr=script&amp;mode=search", "토지이음")</f>
        <v/>
      </c>
      <c r="O3366" s="3" t="inlineStr">
        <is>
          <t>KS</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세종특별자치시 연기면 연기리 1-8</t>
        </is>
      </c>
      <c r="B3367" s="3" t="inlineStr">
        <is>
          <t>계획관리지역</t>
        </is>
      </c>
      <c r="C3367" s="3" t="inlineStr">
        <is>
          <t>전</t>
        </is>
      </c>
      <c r="D3367" s="3" t="inlineStr">
        <is>
          <t>전</t>
        </is>
      </c>
      <c r="E3367" s="3" t="inlineStr">
        <is>
          <t>매매</t>
        </is>
      </c>
      <c r="F3367" s="4" t="n">
        <v>19000</v>
      </c>
      <c r="G3367" s="4" t="n">
        <v>202</v>
      </c>
      <c r="H3367" s="4" t="n">
        <v>61</v>
      </c>
      <c r="I3367" s="5" t="n">
        <v>311.5</v>
      </c>
      <c r="J3367" s="4" t="n">
        <v>175.7</v>
      </c>
      <c r="K3367" s="3" t="inlineStr">
        <is>
          <t>계획관리 토지건축,투자</t>
        </is>
      </c>
      <c r="L3367" s="6">
        <f>HYPERLINK("https://fin.land.naver.com/articles/2644444818", "매물Link")</f>
        <v/>
      </c>
      <c r="M3367" s="6">
        <f>HYPERLINK("https://map.naver.com/p/search/세종특별자치시 연기면 연기리 1-8", "지도Link")</f>
        <v/>
      </c>
      <c r="N3367" s="6">
        <f>HYPERLINK("http://www.eum.go.kr/web/ar/lu/luLandDet.jsp?pnu=3611031021100010008&amp;isNoScr=script&amp;mode=search", "토지이음")</f>
        <v/>
      </c>
      <c r="O3367" s="3" t="inlineStr">
        <is>
          <t>세종대박</t>
        </is>
      </c>
      <c r="P3367" s="3" t="n">
        <v>1</v>
      </c>
      <c r="Q3367" s="3" t="n">
        <v>202</v>
      </c>
      <c r="R3367" s="3" t="inlineStr">
        <is>
          <t>지정되지않음</t>
        </is>
      </c>
      <c r="S3367" s="3" t="inlineStr">
        <is>
          <t>주거나지</t>
        </is>
      </c>
      <c r="T3367" s="3" t="inlineStr">
        <is>
          <t>완경사</t>
        </is>
      </c>
      <c r="U3367" s="3" t="inlineStr">
        <is>
          <t>정방형</t>
        </is>
      </c>
      <c r="V3367" s="3" t="inlineStr">
        <is>
          <t>세로한면(가)</t>
        </is>
      </c>
    </row>
    <row r="3368">
      <c r="A3368" s="3" t="inlineStr">
        <is>
          <t>세종특별자치시 연기면 연기리 1-94</t>
        </is>
      </c>
      <c r="B3368" s="3" t="inlineStr">
        <is>
          <t>계획관리지역</t>
        </is>
      </c>
      <c r="C3368" s="3" t="inlineStr">
        <is>
          <t>대</t>
        </is>
      </c>
      <c r="D3368" s="3" t="inlineStr">
        <is>
          <t>대</t>
        </is>
      </c>
      <c r="E3368" s="3" t="inlineStr">
        <is>
          <t>매매</t>
        </is>
      </c>
      <c r="F3368" s="4" t="n">
        <v>45000</v>
      </c>
      <c r="G3368" s="4" t="n">
        <v>568</v>
      </c>
      <c r="H3368" s="4" t="n">
        <v>172</v>
      </c>
      <c r="I3368" s="5" t="n">
        <v>261.6</v>
      </c>
      <c r="J3368" s="4" t="n">
        <v>175.7</v>
      </c>
      <c r="K3368" s="3" t="inlineStr">
        <is>
          <t>급매 연기리 개발,투자,보유 반듯한 알짜 토지</t>
        </is>
      </c>
      <c r="L3368" s="6">
        <f>HYPERLINK("https://fin.land.naver.com/articles/2649057830", "매물Link")</f>
        <v/>
      </c>
      <c r="M3368" s="6">
        <f>HYPERLINK("https://map.naver.com/p/search/세종특별자치시 연기면 연기리 1-94", "지도Link")</f>
        <v/>
      </c>
      <c r="N3368" s="6">
        <f>HYPERLINK("http://www.eum.go.kr/web/ar/lu/luLandDet.jsp?pnu=3611031021100010094&amp;isNoScr=script&amp;mode=search", "토지이음")</f>
        <v/>
      </c>
      <c r="O3368" s="3" t="inlineStr">
        <is>
          <t>다옴</t>
        </is>
      </c>
      <c r="P3368" s="3" t="n">
        <v>1</v>
      </c>
      <c r="Q3368" s="3" t="n">
        <v>186</v>
      </c>
      <c r="R3368" s="3" t="inlineStr">
        <is>
          <t>지정되지않음</t>
        </is>
      </c>
      <c r="S3368" s="3" t="inlineStr">
        <is>
          <t>주거나지</t>
        </is>
      </c>
      <c r="T3368" s="3" t="inlineStr">
        <is>
          <t>완경사</t>
        </is>
      </c>
      <c r="U3368" s="3" t="inlineStr">
        <is>
          <t>사다리형</t>
        </is>
      </c>
      <c r="V3368" s="3" t="inlineStr">
        <is>
          <t>세로한면(가)</t>
        </is>
      </c>
    </row>
    <row r="3369">
      <c r="A3369" s="3" t="inlineStr">
        <is>
          <t>세종특별자치시 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HYPERLINK("https://map.naver.com/p/search/세종특별자치시 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세종특별자치시 연기면 연기리 1-95</t>
        </is>
      </c>
      <c r="B3370" s="3" t="inlineStr">
        <is>
          <t>계획관리지역</t>
        </is>
      </c>
      <c r="C3370" s="3" t="inlineStr">
        <is>
          <t>대</t>
        </is>
      </c>
      <c r="D3370" s="3" t="inlineStr">
        <is>
          <t>대</t>
        </is>
      </c>
      <c r="E3370" s="3" t="inlineStr">
        <is>
          <t>매매</t>
        </is>
      </c>
      <c r="F3370" s="4" t="n">
        <v>60000</v>
      </c>
      <c r="G3370" s="4" t="n">
        <v>568</v>
      </c>
      <c r="H3370" s="4" t="n">
        <v>172</v>
      </c>
      <c r="I3370" s="5" t="n">
        <v>348.8</v>
      </c>
      <c r="J3370" s="4" t="n">
        <v>175.7</v>
      </c>
      <c r="K3370" s="3" t="inlineStr">
        <is>
          <t>연기리 토지 매매</t>
        </is>
      </c>
      <c r="L3370" s="6">
        <f>HYPERLINK("https://fin.land.naver.com/articles/2648993312", "매물Link")</f>
        <v/>
      </c>
      <c r="M3370" s="6">
        <f>HYPERLINK("https://map.naver.com/p/search/세종특별자치시 연기면 연기리 1-95", "지도Link")</f>
        <v/>
      </c>
      <c r="N3370" s="6">
        <f>HYPERLINK("http://www.eum.go.kr/web/ar/lu/luLandDet.jsp?pnu=3611031021100010095&amp;isNoScr=script&amp;mode=search", "토지이음")</f>
        <v/>
      </c>
      <c r="O3370" s="3" t="inlineStr">
        <is>
          <t>김준희</t>
        </is>
      </c>
      <c r="P3370" s="3" t="n">
        <v>1</v>
      </c>
      <c r="Q3370" s="3" t="n">
        <v>151</v>
      </c>
      <c r="R3370" s="3" t="inlineStr">
        <is>
          <t>지정되지않음</t>
        </is>
      </c>
      <c r="S3370" s="3" t="inlineStr">
        <is>
          <t>주거나지</t>
        </is>
      </c>
      <c r="T3370" s="3" t="inlineStr">
        <is>
          <t>완경사</t>
        </is>
      </c>
      <c r="U3370" s="3" t="inlineStr">
        <is>
          <t>세로장방</t>
        </is>
      </c>
      <c r="V3370" s="3" t="inlineStr">
        <is>
          <t>세로한면(가)</t>
        </is>
      </c>
    </row>
    <row r="3371">
      <c r="A3371" s="3" t="inlineStr">
        <is>
          <t>세종특별자치시 연기면 연기리 10</t>
        </is>
      </c>
      <c r="B3371" s="3" t="inlineStr">
        <is>
          <t>계획관리지역</t>
        </is>
      </c>
      <c r="C3371" s="3" t="inlineStr">
        <is>
          <t>전</t>
        </is>
      </c>
      <c r="D3371" s="3" t="inlineStr">
        <is>
          <t>전</t>
        </is>
      </c>
      <c r="E3371" s="3" t="inlineStr">
        <is>
          <t>매매</t>
        </is>
      </c>
      <c r="F3371" s="4" t="n">
        <v>70000</v>
      </c>
      <c r="G3371" s="4" t="n">
        <v>529</v>
      </c>
      <c r="H3371" s="4" t="n">
        <v>160</v>
      </c>
      <c r="I3371" s="5" t="n">
        <v>437.5</v>
      </c>
      <c r="J3371" s="4" t="n">
        <v>78.3</v>
      </c>
      <c r="K3371" s="3" t="inlineStr">
        <is>
          <t>세종시 연기리 수용되는 지구단위계획과 인접한 토지로 투자가치가 높습니다.</t>
        </is>
      </c>
      <c r="L3371" s="6">
        <f>HYPERLINK("https://fin.land.naver.com/articles/2644789685", "매물Link")</f>
        <v/>
      </c>
      <c r="M3371" s="6">
        <f>HYPERLINK("https://map.naver.com/p/search/세종특별자치시 연기면 연기리 10", "지도Link")</f>
        <v/>
      </c>
      <c r="N3371" s="6">
        <f>HYPERLINK("http://www.eum.go.kr/web/ar/lu/luLandDet.jsp?pnu=3611031021100100000&amp;isNoScr=script&amp;mode=search", "토지이음")</f>
        <v/>
      </c>
      <c r="O3371" s="3" t="inlineStr">
        <is>
          <t>리더스</t>
        </is>
      </c>
      <c r="P3371" s="3" t="n">
        <v>1</v>
      </c>
      <c r="Q3371" s="3" t="n">
        <v>529</v>
      </c>
      <c r="R3371" s="3" t="inlineStr">
        <is>
          <t>지정되지않음</t>
        </is>
      </c>
      <c r="S3371" s="3" t="inlineStr">
        <is>
          <t>전</t>
        </is>
      </c>
      <c r="T3371" s="3" t="inlineStr">
        <is>
          <t>완경사</t>
        </is>
      </c>
      <c r="U3371" s="3" t="inlineStr">
        <is>
          <t>사다리형</t>
        </is>
      </c>
      <c r="V3371" s="3" t="inlineStr">
        <is>
          <t>맹지</t>
        </is>
      </c>
    </row>
    <row r="3372">
      <c r="A3372" s="3" t="inlineStr">
        <is>
          <t>세종특별자치시 연기면 연기리 11-3</t>
        </is>
      </c>
      <c r="B3372" s="3" t="inlineStr">
        <is>
          <t>계획관리지역</t>
        </is>
      </c>
      <c r="C3372" s="3" t="inlineStr">
        <is>
          <t>전</t>
        </is>
      </c>
      <c r="D3372" s="3" t="inlineStr">
        <is>
          <t>전</t>
        </is>
      </c>
      <c r="E3372" s="3" t="inlineStr">
        <is>
          <t>매매</t>
        </is>
      </c>
      <c r="F3372" s="4" t="n">
        <v>68000</v>
      </c>
      <c r="G3372" s="4" t="n">
        <v>543</v>
      </c>
      <c r="H3372" s="4" t="n">
        <v>164</v>
      </c>
      <c r="I3372" s="5" t="n">
        <v>414.6</v>
      </c>
      <c r="J3372" s="4" t="n">
        <v>83</v>
      </c>
      <c r="K3372" s="3" t="inlineStr">
        <is>
          <t>계획관리지역, 추천매매</t>
        </is>
      </c>
      <c r="L3372" s="6">
        <f>HYPERLINK("https://fin.land.naver.com/articles/2646231808", "매물Link")</f>
        <v/>
      </c>
      <c r="M3372" s="6">
        <f>HYPERLINK("https://map.naver.com/p/search/세종특별자치시 연기면 연기리 11-3", "지도Link")</f>
        <v/>
      </c>
      <c r="N3372" s="6">
        <f>HYPERLINK("http://www.eum.go.kr/web/ar/lu/luLandDet.jsp?pnu=3611031021100110003&amp;isNoScr=script&amp;mode=search", "토지이음")</f>
        <v/>
      </c>
      <c r="O3372" s="3" t="inlineStr">
        <is>
          <t>Home</t>
        </is>
      </c>
      <c r="P3372" s="3" t="n">
        <v>2</v>
      </c>
      <c r="Q3372" s="3" t="n">
        <v>543</v>
      </c>
      <c r="R3372" s="3" t="inlineStr">
        <is>
          <t>지정되지않음</t>
        </is>
      </c>
      <c r="S3372" s="3" t="inlineStr">
        <is>
          <t>과수원</t>
        </is>
      </c>
      <c r="T3372" s="3" t="inlineStr">
        <is>
          <t>완경사</t>
        </is>
      </c>
      <c r="U3372" s="3" t="inlineStr">
        <is>
          <t>사다리형</t>
        </is>
      </c>
      <c r="V3372" s="3" t="inlineStr">
        <is>
          <t>세로한면(불)</t>
        </is>
      </c>
    </row>
    <row r="3373">
      <c r="A3373" s="3" t="inlineStr">
        <is>
          <t>세종특별자치시 연기면 연기리 148-4</t>
        </is>
      </c>
      <c r="B3373" s="3" t="inlineStr">
        <is>
          <t>농림지역</t>
        </is>
      </c>
      <c r="C3373" s="3" t="inlineStr">
        <is>
          <t>답</t>
        </is>
      </c>
      <c r="D3373" s="3" t="inlineStr">
        <is>
          <t>답</t>
        </is>
      </c>
      <c r="E3373" s="3" t="inlineStr">
        <is>
          <t>매매</t>
        </is>
      </c>
      <c r="F3373" s="4" t="n">
        <v>122000</v>
      </c>
      <c r="G3373" s="4" t="n">
        <v>1605</v>
      </c>
      <c r="H3373" s="4" t="n">
        <v>486</v>
      </c>
      <c r="I3373" s="5" t="n">
        <v>251</v>
      </c>
      <c r="J3373" s="4" t="n">
        <v>89.90000000000001</v>
      </c>
      <c r="K3373" s="3" t="inlineStr">
        <is>
          <t>도로접한 토지</t>
        </is>
      </c>
      <c r="L3373" s="6">
        <f>HYPERLINK("https://fin.land.naver.com/articles/2648813364", "매물Link")</f>
        <v/>
      </c>
      <c r="M3373" s="6">
        <f>HYPERLINK("https://map.naver.com/p/search/세종특별자치시 연기면 연기리 148-4", "지도Link")</f>
        <v/>
      </c>
      <c r="N3373" s="6">
        <f>HYPERLINK("http://www.eum.go.kr/web/ar/lu/luLandDet.jsp?pnu=3611031021101480004&amp;isNoScr=script&amp;mode=search", "토지이음")</f>
        <v/>
      </c>
      <c r="O3373" s="3" t="inlineStr">
        <is>
          <t>세종대박</t>
        </is>
      </c>
      <c r="P3373" s="3" t="n">
        <v>1</v>
      </c>
      <c r="Q3373" s="3" t="n">
        <v>1605</v>
      </c>
      <c r="R3373" s="3" t="inlineStr">
        <is>
          <t>지정되지않음</t>
        </is>
      </c>
      <c r="S3373" s="3" t="inlineStr">
        <is>
          <t>답</t>
        </is>
      </c>
      <c r="T3373" s="3" t="inlineStr">
        <is>
          <t>평지</t>
        </is>
      </c>
      <c r="U3373" s="3" t="inlineStr">
        <is>
          <t>세로장방</t>
        </is>
      </c>
      <c r="V3373" s="3" t="inlineStr">
        <is>
          <t>세로한면(불)</t>
        </is>
      </c>
    </row>
    <row r="3374">
      <c r="A3374" s="3" t="inlineStr">
        <is>
          <t>세종특별자치시 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HYPERLINK("https://map.naver.com/p/search/세종특별자치시 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세종특별자치시 연기면 연기리 21-1</t>
        </is>
      </c>
      <c r="B3375" s="3" t="inlineStr">
        <is>
          <t>계획관리지역</t>
        </is>
      </c>
      <c r="C3375" s="3" t="inlineStr">
        <is>
          <t>전</t>
        </is>
      </c>
      <c r="D3375" s="3" t="inlineStr">
        <is>
          <t>전</t>
        </is>
      </c>
      <c r="E3375" s="3" t="inlineStr">
        <is>
          <t>매매</t>
        </is>
      </c>
      <c r="F3375" s="4" t="n">
        <v>58500</v>
      </c>
      <c r="G3375" s="4" t="n">
        <v>642</v>
      </c>
      <c r="H3375" s="4" t="n">
        <v>194</v>
      </c>
      <c r="I3375" s="5" t="n">
        <v>301.5</v>
      </c>
      <c r="J3375" s="4" t="n">
        <v>143.2</v>
      </c>
      <c r="K3375" s="3" t="inlineStr">
        <is>
          <t>계획관리지역 토지 매매</t>
        </is>
      </c>
      <c r="L3375" s="6">
        <f>HYPERLINK("https://fin.land.naver.com/articles/2646993844", "매물Link")</f>
        <v/>
      </c>
      <c r="M3375" s="6">
        <f>HYPERLINK("https://map.naver.com/p/search/세종특별자치시 연기면 연기리 21-1", "지도Link")</f>
        <v/>
      </c>
      <c r="N3375" s="6">
        <f>HYPERLINK("http://www.eum.go.kr/web/ar/lu/luLandDet.jsp?pnu=3611031021100210001&amp;isNoScr=script&amp;mode=search", "토지이음")</f>
        <v/>
      </c>
      <c r="O3375" s="3" t="inlineStr">
        <is>
          <t>둔곡대표</t>
        </is>
      </c>
      <c r="P3375" s="3" t="n">
        <v>1</v>
      </c>
      <c r="Q3375" s="3" t="n">
        <v>642.5</v>
      </c>
      <c r="R3375" s="3" t="inlineStr">
        <is>
          <t>지정되지않음</t>
        </is>
      </c>
      <c r="S3375" s="3" t="inlineStr">
        <is>
          <t>단독</t>
        </is>
      </c>
      <c r="T3375" s="3" t="inlineStr">
        <is>
          <t>평지</t>
        </is>
      </c>
      <c r="U3375" s="3" t="inlineStr">
        <is>
          <t>부정형</t>
        </is>
      </c>
      <c r="V3375" s="3" t="inlineStr">
        <is>
          <t>세로한면(가)</t>
        </is>
      </c>
    </row>
    <row r="3376">
      <c r="A3376" s="3" t="inlineStr">
        <is>
          <t>세종특별자치시 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HYPERLINK("https://map.naver.com/p/search/세종특별자치시 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세종특별자치시 연기면 연기리 333</t>
        </is>
      </c>
      <c r="B3377" s="3" t="inlineStr">
        <is>
          <t>계획관리지역</t>
        </is>
      </c>
      <c r="C3377" s="3" t="inlineStr">
        <is>
          <t>대</t>
        </is>
      </c>
      <c r="D3377" s="3" t="inlineStr">
        <is>
          <t>대</t>
        </is>
      </c>
      <c r="E3377" s="3" t="inlineStr">
        <is>
          <t>매매</t>
        </is>
      </c>
      <c r="F3377" s="4" t="n">
        <v>136000</v>
      </c>
      <c r="G3377" s="4" t="n">
        <v>1404</v>
      </c>
      <c r="H3377" s="4" t="n">
        <v>425</v>
      </c>
      <c r="I3377" s="5" t="n">
        <v>320</v>
      </c>
      <c r="J3377" s="4" t="n">
        <v>141.3</v>
      </c>
      <c r="K3377" s="3" t="inlineStr">
        <is>
          <t>2개필지 대지와 전이 포함됨</t>
        </is>
      </c>
      <c r="L3377" s="6">
        <f>HYPERLINK("https://fin.land.naver.com/articles/2647821067", "매물Link")</f>
        <v/>
      </c>
      <c r="M3377" s="6">
        <f>HYPERLINK("https://map.naver.com/p/search/세종특별자치시 연기면 연기리 333", "지도Link")</f>
        <v/>
      </c>
      <c r="N3377" s="6">
        <f>HYPERLINK("http://www.eum.go.kr/web/ar/lu/luLandDet.jsp?pnu=3611031021103330000&amp;isNoScr=script&amp;mode=search", "토지이음")</f>
        <v/>
      </c>
      <c r="O3377" s="3" t="inlineStr">
        <is>
          <t>초가집</t>
        </is>
      </c>
      <c r="P3377" s="3" t="n">
        <v>1</v>
      </c>
      <c r="Q3377" s="3" t="n">
        <v>461</v>
      </c>
      <c r="R3377" s="3" t="inlineStr">
        <is>
          <t>지정되지않음</t>
        </is>
      </c>
      <c r="S3377" s="3" t="inlineStr">
        <is>
          <t>단독</t>
        </is>
      </c>
      <c r="T3377" s="3" t="inlineStr">
        <is>
          <t>완경사</t>
        </is>
      </c>
      <c r="U3377" s="3" t="inlineStr">
        <is>
          <t>부정형</t>
        </is>
      </c>
      <c r="V3377" s="3" t="inlineStr">
        <is>
          <t>세로한면(가)</t>
        </is>
      </c>
    </row>
    <row r="3378">
      <c r="A3378" s="3" t="inlineStr">
        <is>
          <t>세종특별자치시 연기면 연기리 38</t>
        </is>
      </c>
      <c r="B3378" s="3" t="inlineStr">
        <is>
          <t>계획관리지역</t>
        </is>
      </c>
      <c r="C3378" s="3" t="inlineStr">
        <is>
          <t>답</t>
        </is>
      </c>
      <c r="D3378" s="3" t="inlineStr">
        <is>
          <t>답</t>
        </is>
      </c>
      <c r="E3378" s="3" t="inlineStr">
        <is>
          <t>매매</t>
        </is>
      </c>
      <c r="F3378" s="4" t="n">
        <v>800000</v>
      </c>
      <c r="G3378" s="4" t="n">
        <v>3526</v>
      </c>
      <c r="H3378" s="4" t="n">
        <v>1067</v>
      </c>
      <c r="I3378" s="5" t="n">
        <v>749.8</v>
      </c>
      <c r="J3378" s="4" t="n">
        <v>87.59999999999999</v>
      </c>
      <c r="K3378" s="3" t="inlineStr">
        <is>
          <t>대형마트.세종시 생활권 연계.계획관리지역.근린시설검토가능.차량접근용이</t>
        </is>
      </c>
      <c r="L3378" s="6">
        <f>HYPERLINK("https://fin.land.naver.com/articles/2646235681", "매물Link")</f>
        <v/>
      </c>
      <c r="M3378" s="6">
        <f>HYPERLINK("https://map.naver.com/p/search/세종특별자치시 연기면 연기리 38", "지도Link")</f>
        <v/>
      </c>
      <c r="N3378" s="6">
        <f>HYPERLINK("http://www.eum.go.kr/web/ar/lu/luLandDet.jsp?pnu=3611031021100380000&amp;isNoScr=script&amp;mode=search", "토지이음")</f>
        <v/>
      </c>
      <c r="O3378" s="3" t="inlineStr">
        <is>
          <t>씨티</t>
        </is>
      </c>
      <c r="P3378" s="3" t="n">
        <v>1</v>
      </c>
      <c r="Q3378" s="3" t="n">
        <v>2440.4</v>
      </c>
      <c r="R3378" s="3" t="inlineStr">
        <is>
          <t>지정되지않음</t>
        </is>
      </c>
      <c r="S3378" s="3" t="inlineStr">
        <is>
          <t>답</t>
        </is>
      </c>
      <c r="T3378" s="3" t="inlineStr">
        <is>
          <t>평지</t>
        </is>
      </c>
      <c r="U3378" s="3" t="inlineStr">
        <is>
          <t>부정형</t>
        </is>
      </c>
      <c r="V3378" s="3" t="inlineStr">
        <is>
          <t>세로한면(가)</t>
        </is>
      </c>
    </row>
    <row r="3379">
      <c r="A3379" s="3" t="inlineStr">
        <is>
          <t>세종특별자치시 연기면 연기리 392</t>
        </is>
      </c>
      <c r="B3379" s="3" t="inlineStr">
        <is>
          <t>계획관리지역</t>
        </is>
      </c>
      <c r="C3379" s="3" t="inlineStr">
        <is>
          <t>대</t>
        </is>
      </c>
      <c r="D3379" s="3" t="inlineStr">
        <is>
          <t>대</t>
        </is>
      </c>
      <c r="E3379" s="3" t="inlineStr">
        <is>
          <t>매매</t>
        </is>
      </c>
      <c r="F3379" s="4" t="n">
        <v>160000</v>
      </c>
      <c r="G3379" s="4" t="n">
        <v>1053</v>
      </c>
      <c r="H3379" s="4" t="n">
        <v>319</v>
      </c>
      <c r="I3379" s="5" t="n">
        <v>501.6</v>
      </c>
      <c r="J3379" s="4" t="n">
        <v>200.8</v>
      </c>
      <c r="K3379" s="3" t="inlineStr">
        <is>
          <t>계획관리  주택1동 있는 나대지</t>
        </is>
      </c>
      <c r="L3379" s="6">
        <f>HYPERLINK("https://fin.land.naver.com/articles/2648813373", "매물Link")</f>
        <v/>
      </c>
      <c r="M3379" s="6">
        <f>HYPERLINK("https://map.naver.com/p/search/세종특별자치시 연기면 연기리 392", "지도Link")</f>
        <v/>
      </c>
      <c r="N3379" s="6">
        <f>HYPERLINK("http://www.eum.go.kr/web/ar/lu/luLandDet.jsp?pnu=3611031021103920000&amp;isNoScr=script&amp;mode=search", "토지이음")</f>
        <v/>
      </c>
      <c r="O3379" s="3" t="inlineStr">
        <is>
          <t>세종대박</t>
        </is>
      </c>
      <c r="P3379" s="3" t="n">
        <v>1</v>
      </c>
      <c r="Q3379" s="3" t="n">
        <v>502</v>
      </c>
      <c r="R3379" s="3" t="inlineStr">
        <is>
          <t>지정되지않음</t>
        </is>
      </c>
      <c r="S3379" s="3" t="inlineStr">
        <is>
          <t>단독</t>
        </is>
      </c>
      <c r="T3379" s="3" t="inlineStr">
        <is>
          <t>평지</t>
        </is>
      </c>
      <c r="U3379" s="3" t="inlineStr">
        <is>
          <t>부정형</t>
        </is>
      </c>
      <c r="V3379" s="3" t="inlineStr">
        <is>
          <t>세로한면(가)</t>
        </is>
      </c>
    </row>
    <row r="3380">
      <c r="A3380" s="3" t="inlineStr">
        <is>
          <t>세종특별자치시 연기면 연기리 412-4</t>
        </is>
      </c>
      <c r="B3380" s="3" t="inlineStr">
        <is>
          <t>계획관리지역</t>
        </is>
      </c>
      <c r="C3380" s="3" t="inlineStr">
        <is>
          <t>답</t>
        </is>
      </c>
      <c r="D3380" s="3" t="inlineStr">
        <is>
          <t>답</t>
        </is>
      </c>
      <c r="E3380" s="3" t="inlineStr">
        <is>
          <t>매매</t>
        </is>
      </c>
      <c r="F3380" s="4" t="n">
        <v>53000</v>
      </c>
      <c r="G3380" s="4" t="n">
        <v>317</v>
      </c>
      <c r="H3380" s="4" t="n">
        <v>96</v>
      </c>
      <c r="I3380" s="5" t="n">
        <v>552.1</v>
      </c>
      <c r="J3380" s="4" t="n">
        <v>118.6</v>
      </c>
      <c r="K3380" s="3" t="inlineStr">
        <is>
          <t>계획관리지역 토지매매</t>
        </is>
      </c>
      <c r="L3380" s="6">
        <f>HYPERLINK("https://fin.land.naver.com/articles/2644915650", "매물Link")</f>
        <v/>
      </c>
      <c r="M3380" s="6">
        <f>HYPERLINK("https://map.naver.com/p/search/세종특별자치시 연기면 연기리 412-4", "지도Link")</f>
        <v/>
      </c>
      <c r="N3380" s="6">
        <f>HYPERLINK("http://www.eum.go.kr/web/ar/lu/luLandDet.jsp?pnu=3611031021104120004&amp;isNoScr=script&amp;mode=search", "토지이음")</f>
        <v/>
      </c>
      <c r="O3380" s="3" t="inlineStr">
        <is>
          <t>세종대박</t>
        </is>
      </c>
      <c r="P3380" s="3" t="n">
        <v>1</v>
      </c>
      <c r="Q3380" s="3" t="n">
        <v>317</v>
      </c>
      <c r="R3380" s="3" t="inlineStr">
        <is>
          <t>지정되지않음</t>
        </is>
      </c>
      <c r="S3380" s="3" t="inlineStr">
        <is>
          <t>전</t>
        </is>
      </c>
      <c r="T3380" s="3" t="inlineStr">
        <is>
          <t>평지</t>
        </is>
      </c>
      <c r="U3380" s="3" t="inlineStr">
        <is>
          <t>부정형</t>
        </is>
      </c>
      <c r="V3380" s="3" t="inlineStr">
        <is>
          <t>세로각지(가)</t>
        </is>
      </c>
    </row>
    <row r="3381">
      <c r="A3381" s="3" t="inlineStr">
        <is>
          <t>세종특별자치시 연기면 연기리 420-16</t>
        </is>
      </c>
      <c r="B3381" s="3" t="inlineStr">
        <is>
          <t>계획관리지역</t>
        </is>
      </c>
      <c r="C3381" s="3" t="inlineStr">
        <is>
          <t>전</t>
        </is>
      </c>
      <c r="D3381" s="3" t="inlineStr">
        <is>
          <t>전</t>
        </is>
      </c>
      <c r="E3381" s="3" t="inlineStr">
        <is>
          <t>매매</t>
        </is>
      </c>
      <c r="F3381" s="4" t="n">
        <v>144000</v>
      </c>
      <c r="G3381" s="4" t="n">
        <v>1541</v>
      </c>
      <c r="H3381" s="4" t="n">
        <v>466</v>
      </c>
      <c r="I3381" s="5" t="n">
        <v>309</v>
      </c>
      <c r="J3381" s="4" t="n">
        <v>98.5</v>
      </c>
      <c r="K3381" s="3" t="inlineStr">
        <is>
          <t>도로에 접한 계획관리토지</t>
        </is>
      </c>
      <c r="L3381" s="6">
        <f>HYPERLINK("https://fin.land.naver.com/articles/2648813368", "매물Link")</f>
        <v/>
      </c>
      <c r="M3381" s="6">
        <f>HYPERLINK("https://map.naver.com/p/search/세종특별자치시 연기면 연기리 420-16", "지도Link")</f>
        <v/>
      </c>
      <c r="N3381" s="6">
        <f>HYPERLINK("http://www.eum.go.kr/web/ar/lu/luLandDet.jsp?pnu=3611031021104200016&amp;isNoScr=script&amp;mode=search", "토지이음")</f>
        <v/>
      </c>
      <c r="O3381" s="3" t="inlineStr">
        <is>
          <t>세종대박</t>
        </is>
      </c>
      <c r="P3381" s="3" t="n">
        <v>1</v>
      </c>
      <c r="Q3381" s="3" t="n">
        <v>277</v>
      </c>
      <c r="R3381" s="3" t="inlineStr">
        <is>
          <t>지정되지않음</t>
        </is>
      </c>
      <c r="S3381" s="3" t="inlineStr">
        <is>
          <t>전</t>
        </is>
      </c>
      <c r="T3381" s="3" t="inlineStr">
        <is>
          <t>완경사</t>
        </is>
      </c>
      <c r="U3381" s="3" t="inlineStr">
        <is>
          <t>세로장방</t>
        </is>
      </c>
      <c r="V3381" s="3" t="inlineStr">
        <is>
          <t>세로한면(가)</t>
        </is>
      </c>
    </row>
    <row r="3382">
      <c r="A3382" s="3" t="inlineStr">
        <is>
          <t>세종특별자치시 연기면 연기리 425-1</t>
        </is>
      </c>
      <c r="B3382" s="3" t="inlineStr">
        <is>
          <t>계획관리지역</t>
        </is>
      </c>
      <c r="C3382" s="3" t="inlineStr">
        <is>
          <t>대</t>
        </is>
      </c>
      <c r="D3382" s="3" t="inlineStr">
        <is>
          <t>대</t>
        </is>
      </c>
      <c r="E3382" s="3" t="inlineStr">
        <is>
          <t>매매</t>
        </is>
      </c>
      <c r="F3382" s="4" t="n">
        <v>193000</v>
      </c>
      <c r="G3382" s="4" t="n">
        <v>2024</v>
      </c>
      <c r="H3382" s="4" t="n">
        <v>612</v>
      </c>
      <c r="I3382" s="5" t="n">
        <v>315.4</v>
      </c>
      <c r="J3382" s="4" t="n">
        <v>187.9</v>
      </c>
      <c r="K3382" s="3" t="inlineStr">
        <is>
          <t>현재  도로가 있고 마을 뒤편에 있어 주택용으로 적극 추천함.</t>
        </is>
      </c>
      <c r="L3382" s="6">
        <f>HYPERLINK("https://fin.land.naver.com/articles/2648548585", "매물Link")</f>
        <v/>
      </c>
      <c r="M3382" s="6">
        <f>HYPERLINK("https://map.naver.com/p/search/세종특별자치시 연기면 연기리 425-1", "지도Link")</f>
        <v/>
      </c>
      <c r="N3382" s="6">
        <f>HYPERLINK("http://www.eum.go.kr/web/ar/lu/luLandDet.jsp?pnu=3611031021104250001&amp;isNoScr=script&amp;mode=search", "토지이음")</f>
        <v/>
      </c>
      <c r="O3382" s="3" t="inlineStr">
        <is>
          <t>세종리츠</t>
        </is>
      </c>
      <c r="P3382" s="3" t="n">
        <v>1</v>
      </c>
      <c r="Q3382" s="3" t="n">
        <v>780</v>
      </c>
      <c r="R3382" s="3" t="inlineStr">
        <is>
          <t>지정되지않음</t>
        </is>
      </c>
      <c r="S3382" s="3" t="inlineStr">
        <is>
          <t>단독</t>
        </is>
      </c>
      <c r="T3382" s="3" t="inlineStr">
        <is>
          <t>평지</t>
        </is>
      </c>
      <c r="U3382" s="3" t="inlineStr">
        <is>
          <t>정방형</t>
        </is>
      </c>
      <c r="V3382" s="3" t="inlineStr">
        <is>
          <t>세로한면(가)</t>
        </is>
      </c>
    </row>
    <row r="3383">
      <c r="A3383" s="3" t="inlineStr">
        <is>
          <t>세종특별자치시 연기면 연기리 426-1</t>
        </is>
      </c>
      <c r="B3383" s="3" t="inlineStr">
        <is>
          <t>계획관리지역</t>
        </is>
      </c>
      <c r="C3383" s="3" t="inlineStr">
        <is>
          <t>대</t>
        </is>
      </c>
      <c r="D3383" s="3" t="inlineStr">
        <is>
          <t>대</t>
        </is>
      </c>
      <c r="E3383" s="3" t="inlineStr">
        <is>
          <t>매매</t>
        </is>
      </c>
      <c r="F3383" s="4" t="n">
        <v>290000</v>
      </c>
      <c r="G3383" s="4" t="n">
        <v>1603</v>
      </c>
      <c r="H3383" s="4" t="n">
        <v>485</v>
      </c>
      <c r="I3383" s="5" t="n">
        <v>597.9</v>
      </c>
      <c r="J3383" s="4" t="n">
        <v>188.3</v>
      </c>
      <c r="K3383" s="3" t="inlineStr">
        <is>
          <t>투자하기 좋은 계획관리 대지</t>
        </is>
      </c>
      <c r="L3383" s="6">
        <f>HYPERLINK("https://fin.land.naver.com/articles/2646007798", "매물Link")</f>
        <v/>
      </c>
      <c r="M3383" s="6">
        <f>HYPERLINK("https://map.naver.com/p/search/세종특별자치시 연기면 연기리 426-1", "지도Link")</f>
        <v/>
      </c>
      <c r="N3383" s="6">
        <f>HYPERLINK("http://www.eum.go.kr/web/ar/lu/luLandDet.jsp?pnu=3611031021104260001&amp;isNoScr=script&amp;mode=search", "토지이음")</f>
        <v/>
      </c>
      <c r="O3383" s="3" t="inlineStr">
        <is>
          <t>세종대박</t>
        </is>
      </c>
      <c r="P3383" s="3" t="n">
        <v>2</v>
      </c>
      <c r="Q3383" s="3" t="n">
        <v>894</v>
      </c>
      <c r="R3383" s="3" t="inlineStr">
        <is>
          <t>지정되지않음</t>
        </is>
      </c>
      <c r="S3383" s="3" t="inlineStr">
        <is>
          <t>단독</t>
        </is>
      </c>
      <c r="T3383" s="3" t="inlineStr">
        <is>
          <t>평지</t>
        </is>
      </c>
      <c r="U3383" s="3" t="inlineStr">
        <is>
          <t>부정형</t>
        </is>
      </c>
      <c r="V3383" s="3" t="inlineStr">
        <is>
          <t>세로각지(가)</t>
        </is>
      </c>
    </row>
    <row r="3384">
      <c r="A3384" s="3" t="inlineStr">
        <is>
          <t>세종특별자치시 연기면 연기리 431-1</t>
        </is>
      </c>
      <c r="B3384" s="3" t="inlineStr">
        <is>
          <t>계획관리지역</t>
        </is>
      </c>
      <c r="C3384" s="3" t="inlineStr">
        <is>
          <t>대</t>
        </is>
      </c>
      <c r="D3384" s="3" t="inlineStr">
        <is>
          <t>대</t>
        </is>
      </c>
      <c r="E3384" s="3" t="inlineStr">
        <is>
          <t>매매</t>
        </is>
      </c>
      <c r="F3384" s="4" t="n">
        <v>372000</v>
      </c>
      <c r="G3384" s="4" t="n">
        <v>1229</v>
      </c>
      <c r="H3384" s="4" t="n">
        <v>372</v>
      </c>
      <c r="I3384" s="5" t="n">
        <v>1000</v>
      </c>
      <c r="J3384" s="4" t="n">
        <v>258</v>
      </c>
      <c r="K3384" s="3" t="inlineStr">
        <is>
          <t>2차선도로변 토지매매</t>
        </is>
      </c>
      <c r="L3384" s="6">
        <f>HYPERLINK("https://fin.land.naver.com/articles/2644444819", "매물Link")</f>
        <v/>
      </c>
      <c r="M3384" s="6">
        <f>HYPERLINK("https://map.naver.com/p/search/세종특별자치시 연기면 연기리 431-1", "지도Link")</f>
        <v/>
      </c>
      <c r="N3384" s="6">
        <f>HYPERLINK("http://www.eum.go.kr/web/ar/lu/luLandDet.jsp?pnu=3611031021104310001&amp;isNoScr=script&amp;mode=search", "토지이음")</f>
        <v/>
      </c>
      <c r="O3384" s="3" t="inlineStr">
        <is>
          <t>세종대박</t>
        </is>
      </c>
      <c r="P3384" s="3" t="n">
        <v>1</v>
      </c>
      <c r="Q3384" s="3" t="n">
        <v>936</v>
      </c>
      <c r="R3384" s="3" t="inlineStr">
        <is>
          <t>지정되지않음</t>
        </is>
      </c>
      <c r="S3384" s="3" t="inlineStr">
        <is>
          <t>단독</t>
        </is>
      </c>
      <c r="T3384" s="3" t="inlineStr">
        <is>
          <t>평지</t>
        </is>
      </c>
      <c r="U3384" s="3" t="inlineStr">
        <is>
          <t>부정형</t>
        </is>
      </c>
      <c r="V3384" s="3" t="inlineStr">
        <is>
          <t>중로한면</t>
        </is>
      </c>
    </row>
    <row r="3385">
      <c r="A3385" s="3" t="inlineStr">
        <is>
          <t>세종특별자치시 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HYPERLINK("https://map.naver.com/p/search/세종특별자치시 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세종특별자치시 연기면 연기리 466-2</t>
        </is>
      </c>
      <c r="B3386" s="3" t="inlineStr">
        <is>
          <t>계획관리지역</t>
        </is>
      </c>
      <c r="C3386" s="3" t="inlineStr">
        <is>
          <t>전</t>
        </is>
      </c>
      <c r="D3386" s="3" t="inlineStr">
        <is>
          <t>전</t>
        </is>
      </c>
      <c r="E3386" s="3" t="inlineStr">
        <is>
          <t>매매</t>
        </is>
      </c>
      <c r="F3386" s="4" t="n">
        <v>110000</v>
      </c>
      <c r="G3386" s="4" t="n">
        <v>1309</v>
      </c>
      <c r="H3386" s="4" t="n">
        <v>396</v>
      </c>
      <c r="I3386" s="5" t="n">
        <v>277.8</v>
      </c>
      <c r="J3386" s="4" t="n">
        <v>66</v>
      </c>
      <c r="K3386" s="3" t="inlineStr">
        <is>
          <t>계획관리지역,세종도심5분거리 도로예정지역으로개통시지가상승 투자용추천</t>
        </is>
      </c>
      <c r="L3386" s="6">
        <f>HYPERLINK("https://fin.land.naver.com/articles/2646929834", "매물Link")</f>
        <v/>
      </c>
      <c r="M3386" s="6">
        <f>HYPERLINK("https://map.naver.com/p/search/세종특별자치시 연기면 연기리 466-2", "지도Link")</f>
        <v/>
      </c>
      <c r="N3386" s="6">
        <f>HYPERLINK("http://www.eum.go.kr/web/ar/lu/luLandDet.jsp?pnu=3611031021104660002&amp;isNoScr=script&amp;mode=search", "토지이음")</f>
        <v/>
      </c>
      <c r="O3386" s="3" t="inlineStr">
        <is>
          <t>하트리움</t>
        </is>
      </c>
      <c r="P3386" s="3" t="n">
        <v>1</v>
      </c>
      <c r="Q3386" s="3" t="n">
        <v>892</v>
      </c>
      <c r="R3386" s="3" t="inlineStr">
        <is>
          <t>지정되지않음</t>
        </is>
      </c>
      <c r="S3386" s="3" t="inlineStr">
        <is>
          <t>전</t>
        </is>
      </c>
      <c r="T3386" s="3" t="inlineStr">
        <is>
          <t>완경사</t>
        </is>
      </c>
      <c r="U3386" s="3" t="inlineStr">
        <is>
          <t>부정형</t>
        </is>
      </c>
      <c r="V3386" s="3" t="inlineStr">
        <is>
          <t>맹지</t>
        </is>
      </c>
    </row>
    <row r="3387">
      <c r="A3387" s="3" t="inlineStr">
        <is>
          <t>세종특별자치시 연기면 연기리 483</t>
        </is>
      </c>
      <c r="B3387" s="3" t="inlineStr">
        <is>
          <t>계획관리지역</t>
        </is>
      </c>
      <c r="C3387" s="3" t="inlineStr">
        <is>
          <t>전</t>
        </is>
      </c>
      <c r="D3387" s="3" t="inlineStr">
        <is>
          <t>전</t>
        </is>
      </c>
      <c r="E3387" s="3" t="inlineStr">
        <is>
          <t>매매</t>
        </is>
      </c>
      <c r="F3387" s="4" t="n">
        <v>430000</v>
      </c>
      <c r="G3387" s="4" t="n">
        <v>1413</v>
      </c>
      <c r="H3387" s="4" t="n">
        <v>427</v>
      </c>
      <c r="I3387" s="5" t="n">
        <v>1007</v>
      </c>
      <c r="J3387" s="4" t="n">
        <v>293.7</v>
      </c>
      <c r="K3387" s="3" t="inlineStr">
        <is>
          <t>대도로변 땅  전문유통매장</t>
        </is>
      </c>
      <c r="L3387" s="6">
        <f>HYPERLINK("https://fin.land.naver.com/articles/2647437689", "매물Link")</f>
        <v/>
      </c>
      <c r="M3387" s="6">
        <f>HYPERLINK("https://map.naver.com/p/search/세종특별자치시 연기면 연기리 483", "지도Link")</f>
        <v/>
      </c>
      <c r="N3387" s="6">
        <f>HYPERLINK("http://www.eum.go.kr/web/ar/lu/luLandDet.jsp?pnu=3611031021104830000&amp;isNoScr=script&amp;mode=search", "토지이음")</f>
        <v/>
      </c>
      <c r="O3387" s="3" t="inlineStr">
        <is>
          <t>세종천지</t>
        </is>
      </c>
      <c r="P3387" s="3" t="n">
        <v>1</v>
      </c>
      <c r="Q3387" s="3" t="n">
        <v>706</v>
      </c>
      <c r="R3387" s="3" t="inlineStr">
        <is>
          <t>지정되지않음</t>
        </is>
      </c>
      <c r="S3387" s="3" t="inlineStr">
        <is>
          <t>전</t>
        </is>
      </c>
      <c r="T3387" s="3" t="inlineStr">
        <is>
          <t>완경사</t>
        </is>
      </c>
      <c r="U3387" s="3" t="inlineStr">
        <is>
          <t>사다리형</t>
        </is>
      </c>
      <c r="V3387" s="3" t="inlineStr">
        <is>
          <t>중로한면</t>
        </is>
      </c>
    </row>
    <row r="3388">
      <c r="A3388" s="3" t="inlineStr">
        <is>
          <t>세종특별자치시 연기면 연기리 484-2</t>
        </is>
      </c>
      <c r="B3388" s="3" t="inlineStr">
        <is>
          <t>계획관리지역</t>
        </is>
      </c>
      <c r="C3388" s="3" t="inlineStr">
        <is>
          <t>대</t>
        </is>
      </c>
      <c r="D3388" s="3" t="inlineStr">
        <is>
          <t>대</t>
        </is>
      </c>
      <c r="E3388" s="3" t="inlineStr">
        <is>
          <t>매매</t>
        </is>
      </c>
      <c r="F3388" s="4" t="n">
        <v>320000</v>
      </c>
      <c r="G3388" s="4" t="n">
        <v>1000</v>
      </c>
      <c r="H3388" s="4" t="n">
        <v>302</v>
      </c>
      <c r="I3388" s="5" t="n">
        <v>1059.6</v>
      </c>
      <c r="J3388" s="4" t="n">
        <v>237.7</v>
      </c>
      <c r="K3388" s="3" t="inlineStr">
        <is>
          <t>명성공인, 1번국도 대로변 광고효과 좋은 추천 매물</t>
        </is>
      </c>
      <c r="L3388" s="6">
        <f>HYPERLINK("https://fin.land.naver.com/articles/2646316239", "매물Link")</f>
        <v/>
      </c>
      <c r="M3388" s="6">
        <f>HYPERLINK("https://map.naver.com/p/search/세종특별자치시 연기면 연기리 484-2", "지도Link")</f>
        <v/>
      </c>
      <c r="N3388" s="6">
        <f>HYPERLINK("http://www.eum.go.kr/web/ar/lu/luLandDet.jsp?pnu=3611031021104840002&amp;isNoScr=script&amp;mode=search", "토지이음")</f>
        <v/>
      </c>
      <c r="O3388" s="3" t="inlineStr">
        <is>
          <t>명성</t>
        </is>
      </c>
      <c r="P3388" s="3" t="n">
        <v>1</v>
      </c>
      <c r="Q3388" s="3" t="n">
        <v>500</v>
      </c>
      <c r="R3388" s="3" t="inlineStr">
        <is>
          <t>지정되지않음</t>
        </is>
      </c>
      <c r="S3388" s="3" t="inlineStr">
        <is>
          <t>상업용</t>
        </is>
      </c>
      <c r="T3388" s="3" t="inlineStr">
        <is>
          <t>완경사</t>
        </is>
      </c>
      <c r="U3388" s="3" t="inlineStr">
        <is>
          <t>자루형</t>
        </is>
      </c>
      <c r="V3388" s="3" t="inlineStr">
        <is>
          <t>중로한면</t>
        </is>
      </c>
    </row>
    <row r="3389">
      <c r="A3389" s="3" t="inlineStr">
        <is>
          <t>세종특별자치시 연기면 연기리 485</t>
        </is>
      </c>
      <c r="B3389" s="3" t="inlineStr">
        <is>
          <t>계획관리지역</t>
        </is>
      </c>
      <c r="C3389" s="3" t="inlineStr">
        <is>
          <t>공장용지</t>
        </is>
      </c>
      <c r="D3389" s="3" t="inlineStr">
        <is>
          <t>공장용지</t>
        </is>
      </c>
      <c r="E3389" s="3" t="inlineStr">
        <is>
          <t>매매</t>
        </is>
      </c>
      <c r="F3389" s="4" t="n">
        <v>400000</v>
      </c>
      <c r="G3389" s="4" t="n">
        <v>1892</v>
      </c>
      <c r="H3389" s="4" t="n">
        <v>572</v>
      </c>
      <c r="I3389" s="5" t="n">
        <v>699.3</v>
      </c>
      <c r="J3389" s="4" t="n">
        <v>255</v>
      </c>
      <c r="K3389" s="3" t="inlineStr">
        <is>
          <t>1번국도에 접함.</t>
        </is>
      </c>
      <c r="L3389" s="6">
        <f>HYPERLINK("https://fin.land.naver.com/articles/2648553420", "매물Link")</f>
        <v/>
      </c>
      <c r="M3389" s="6">
        <f>HYPERLINK("https://map.naver.com/p/search/세종특별자치시 연기면 연기리 485", "지도Link")</f>
        <v/>
      </c>
      <c r="N3389" s="6">
        <f>HYPERLINK("http://www.eum.go.kr/web/ar/lu/luLandDet.jsp?pnu=3611031021104850000&amp;isNoScr=script&amp;mode=search", "토지이음")</f>
        <v/>
      </c>
      <c r="O3389" s="3" t="inlineStr">
        <is>
          <t>세종리츠</t>
        </is>
      </c>
      <c r="P3389" s="3" t="n">
        <v>1</v>
      </c>
      <c r="Q3389" s="3" t="n">
        <v>1295</v>
      </c>
      <c r="R3389" s="3" t="inlineStr">
        <is>
          <t>지정되지않음</t>
        </is>
      </c>
      <c r="S3389" s="3" t="inlineStr">
        <is>
          <t>공업용</t>
        </is>
      </c>
      <c r="T3389" s="3" t="inlineStr">
        <is>
          <t>완경사</t>
        </is>
      </c>
      <c r="U3389" s="3" t="inlineStr">
        <is>
          <t>사다리형</t>
        </is>
      </c>
      <c r="V3389" s="3" t="inlineStr">
        <is>
          <t>중로한면</t>
        </is>
      </c>
    </row>
    <row r="3390">
      <c r="A3390" s="3" t="inlineStr">
        <is>
          <t>세종특별자치시 연기면 연기리 495</t>
        </is>
      </c>
      <c r="B3390" s="3" t="inlineStr">
        <is>
          <t>계획관리지역</t>
        </is>
      </c>
      <c r="C3390" s="3" t="inlineStr">
        <is>
          <t>전</t>
        </is>
      </c>
      <c r="D3390" s="3" t="inlineStr">
        <is>
          <t>전</t>
        </is>
      </c>
      <c r="E3390" s="3" t="inlineStr">
        <is>
          <t>매매</t>
        </is>
      </c>
      <c r="F3390" s="4" t="n">
        <v>580000</v>
      </c>
      <c r="G3390" s="4" t="n">
        <v>2740</v>
      </c>
      <c r="H3390" s="4" t="n">
        <v>829</v>
      </c>
      <c r="I3390" s="5" t="n">
        <v>699.6</v>
      </c>
      <c r="J3390" s="4" t="n">
        <v>297.7</v>
      </c>
      <c r="K3390" s="3" t="inlineStr">
        <is>
          <t>연기리 계획관리구역 접근성좋은  2차선도로접한 토지매매</t>
        </is>
      </c>
      <c r="L3390" s="6">
        <f>HYPERLINK("https://fin.land.naver.com/articles/2644528158", "매물Link")</f>
        <v/>
      </c>
      <c r="M3390" s="6">
        <f>HYPERLINK("https://map.naver.com/p/search/세종특별자치시 연기면 연기리 495", "지도Link")</f>
        <v/>
      </c>
      <c r="N3390" s="6">
        <f>HYPERLINK("http://www.eum.go.kr/web/ar/lu/luLandDet.jsp?pnu=3611031021104950000&amp;isNoScr=script&amp;mode=search", "토지이음")</f>
        <v/>
      </c>
      <c r="O3390" s="3" t="inlineStr">
        <is>
          <t>새롬삼둥이</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세종특별자치시 연기면 연기리 495</t>
        </is>
      </c>
      <c r="B3391" s="3" t="inlineStr">
        <is>
          <t>계획관리지역</t>
        </is>
      </c>
      <c r="C3391" s="3" t="inlineStr">
        <is>
          <t>전</t>
        </is>
      </c>
      <c r="D3391" s="3" t="inlineStr">
        <is>
          <t>전</t>
        </is>
      </c>
      <c r="E3391" s="3" t="inlineStr">
        <is>
          <t>매매</t>
        </is>
      </c>
      <c r="F3391" s="4" t="n">
        <v>550000</v>
      </c>
      <c r="G3391" s="4" t="n">
        <v>2740</v>
      </c>
      <c r="H3391" s="4" t="n">
        <v>829</v>
      </c>
      <c r="I3391" s="5" t="n">
        <v>663.4</v>
      </c>
      <c r="J3391" s="4" t="n">
        <v>297.7</v>
      </c>
      <c r="K3391" s="3" t="inlineStr">
        <is>
          <t>2차선도로접 평당가 저렴, 분필하여 매도 가능합니다.</t>
        </is>
      </c>
      <c r="L3391" s="6">
        <f>HYPERLINK("https://fin.land.naver.com/articles/2646092357", "매물Link")</f>
        <v/>
      </c>
      <c r="M3391" s="6">
        <f>HYPERLINK("https://map.naver.com/p/search/세종특별자치시 연기면 연기리 495", "지도Link")</f>
        <v/>
      </c>
      <c r="N3391" s="6">
        <f>HYPERLINK("http://www.eum.go.kr/web/ar/lu/luLandDet.jsp?pnu=3611031021104950000&amp;isNoScr=script&amp;mode=search", "토지이음")</f>
        <v/>
      </c>
      <c r="O3391" s="3" t="inlineStr">
        <is>
          <t>대실반석</t>
        </is>
      </c>
      <c r="P3391" s="3" t="n">
        <v>1</v>
      </c>
      <c r="Q3391" s="3" t="n">
        <v>2740</v>
      </c>
      <c r="R3391" s="3" t="inlineStr">
        <is>
          <t>지정되지않음</t>
        </is>
      </c>
      <c r="S3391" s="3" t="inlineStr">
        <is>
          <t>전기타</t>
        </is>
      </c>
      <c r="T3391" s="3" t="inlineStr">
        <is>
          <t>평지</t>
        </is>
      </c>
      <c r="U3391" s="3" t="inlineStr">
        <is>
          <t>부정형</t>
        </is>
      </c>
      <c r="V3391" s="3" t="inlineStr">
        <is>
          <t>중로한면</t>
        </is>
      </c>
    </row>
    <row r="3392">
      <c r="A3392" s="3" t="inlineStr">
        <is>
          <t>세종특별자치시 연기면 연기리 498-6</t>
        </is>
      </c>
      <c r="B3392" s="3" t="inlineStr">
        <is>
          <t>계획관리지역</t>
        </is>
      </c>
      <c r="C3392" s="3" t="inlineStr">
        <is>
          <t>답</t>
        </is>
      </c>
      <c r="D3392" s="3" t="inlineStr">
        <is>
          <t>답</t>
        </is>
      </c>
      <c r="E3392" s="3" t="inlineStr">
        <is>
          <t>매매</t>
        </is>
      </c>
      <c r="F3392" s="4" t="n">
        <v>275000</v>
      </c>
      <c r="G3392" s="4" t="n">
        <v>1467</v>
      </c>
      <c r="H3392" s="4" t="n">
        <v>444</v>
      </c>
      <c r="I3392" s="5" t="n">
        <v>619.4</v>
      </c>
      <c r="J3392" s="4" t="n">
        <v>283.5</v>
      </c>
      <c r="K3392" s="3" t="inlineStr">
        <is>
          <t>2차선 도로변에 있는 계획관리 토지</t>
        </is>
      </c>
      <c r="L3392" s="6">
        <f>HYPERLINK("https://fin.land.naver.com/articles/2648813369", "매물Link")</f>
        <v/>
      </c>
      <c r="M3392" s="6">
        <f>HYPERLINK("https://map.naver.com/p/search/세종특별자치시 연기면 연기리 498-6", "지도Link")</f>
        <v/>
      </c>
      <c r="N3392" s="6">
        <f>HYPERLINK("http://www.eum.go.kr/web/ar/lu/luLandDet.jsp?pnu=3611031021104980006&amp;isNoScr=script&amp;mode=search", "토지이음")</f>
        <v/>
      </c>
      <c r="O3392" s="3" t="inlineStr">
        <is>
          <t>세종대박</t>
        </is>
      </c>
      <c r="P3392" s="3" t="n">
        <v>1</v>
      </c>
      <c r="Q3392" s="3" t="n">
        <v>1467</v>
      </c>
      <c r="R3392" s="3" t="inlineStr">
        <is>
          <t>지정되지않음</t>
        </is>
      </c>
      <c r="S3392" s="3" t="inlineStr">
        <is>
          <t>답</t>
        </is>
      </c>
      <c r="T3392" s="3" t="inlineStr">
        <is>
          <t>평지</t>
        </is>
      </c>
      <c r="U3392" s="3" t="inlineStr">
        <is>
          <t>부정형</t>
        </is>
      </c>
      <c r="V3392" s="3" t="inlineStr">
        <is>
          <t>중로한면</t>
        </is>
      </c>
    </row>
    <row r="3393">
      <c r="A3393" s="3" t="inlineStr">
        <is>
          <t>세종특별자치시 연기면 연기리 5</t>
        </is>
      </c>
      <c r="B3393" s="3" t="inlineStr">
        <is>
          <t>계획관리지역</t>
        </is>
      </c>
      <c r="C3393" s="3" t="inlineStr">
        <is>
          <t>대</t>
        </is>
      </c>
      <c r="D3393" s="3" t="inlineStr">
        <is>
          <t>대</t>
        </is>
      </c>
      <c r="E3393" s="3" t="inlineStr">
        <is>
          <t>매매</t>
        </is>
      </c>
      <c r="F3393" s="4" t="n">
        <v>120000</v>
      </c>
      <c r="G3393" s="4" t="n">
        <v>995</v>
      </c>
      <c r="H3393" s="4" t="n">
        <v>301</v>
      </c>
      <c r="I3393" s="5" t="n">
        <v>398.7</v>
      </c>
      <c r="J3393" s="4" t="n">
        <v>175.7</v>
      </c>
      <c r="K3393" s="3" t="inlineStr">
        <is>
          <t>6생 접한 가치상승중인 연기리 토지. 6생활권 트인뷰</t>
        </is>
      </c>
      <c r="L3393" s="6">
        <f>HYPERLINK("https://fin.land.naver.com/articles/2646150492", "매물Link")</f>
        <v/>
      </c>
      <c r="M3393" s="6">
        <f>HYPERLINK("https://map.naver.com/p/search/세종특별자치시 연기면 연기리 5", "지도Link")</f>
        <v/>
      </c>
      <c r="N3393" s="6">
        <f>HYPERLINK("http://www.eum.go.kr/web/ar/lu/luLandDet.jsp?pnu=3611031021100050000&amp;isNoScr=script&amp;mode=search", "토지이음")</f>
        <v/>
      </c>
      <c r="O3393" s="3" t="inlineStr">
        <is>
          <t>새롬삼둥이</t>
        </is>
      </c>
      <c r="P3393" s="3" t="n">
        <v>1</v>
      </c>
      <c r="Q3393" s="3" t="n">
        <v>995</v>
      </c>
      <c r="R3393" s="3" t="inlineStr">
        <is>
          <t>지정되지않음</t>
        </is>
      </c>
      <c r="S3393" s="3" t="inlineStr">
        <is>
          <t>주거기타</t>
        </is>
      </c>
      <c r="T3393" s="3" t="inlineStr">
        <is>
          <t>완경사</t>
        </is>
      </c>
      <c r="U3393" s="3" t="inlineStr">
        <is>
          <t>사다리형</t>
        </is>
      </c>
      <c r="V3393" s="3" t="inlineStr">
        <is>
          <t>세로한면(가)</t>
        </is>
      </c>
    </row>
    <row r="3394">
      <c r="A3394" s="3" t="inlineStr">
        <is>
          <t>세종특별자치시 연기면 연기리 500-11</t>
        </is>
      </c>
      <c r="B3394" s="3" t="inlineStr">
        <is>
          <t>계획관리지역</t>
        </is>
      </c>
      <c r="C3394" s="3" t="inlineStr">
        <is>
          <t>전</t>
        </is>
      </c>
      <c r="D3394" s="3" t="inlineStr">
        <is>
          <t>전</t>
        </is>
      </c>
      <c r="E3394" s="3" t="inlineStr">
        <is>
          <t>매매</t>
        </is>
      </c>
      <c r="F3394" s="4" t="n">
        <v>130000</v>
      </c>
      <c r="G3394" s="4" t="n">
        <v>553</v>
      </c>
      <c r="H3394" s="4" t="n">
        <v>167</v>
      </c>
      <c r="I3394" s="5" t="n">
        <v>778.4</v>
      </c>
      <c r="J3394" s="4" t="n">
        <v>312.4</v>
      </c>
      <c r="K3394" s="3" t="inlineStr">
        <is>
          <t>도로 옆,평당 800만원,형질 변경 가능</t>
        </is>
      </c>
      <c r="L3394" s="6">
        <f>HYPERLINK("https://fin.land.naver.com/articles/2645741232", "매물Link")</f>
        <v/>
      </c>
      <c r="M3394" s="6">
        <f>HYPERLINK("https://map.naver.com/p/search/세종특별자치시 연기면 연기리 500-11", "지도Link")</f>
        <v/>
      </c>
      <c r="N3394" s="6">
        <f>HYPERLINK("http://www.eum.go.kr/web/ar/lu/luLandDet.jsp?pnu=3611031021105000011&amp;isNoScr=script&amp;mode=search", "토지이음")</f>
        <v/>
      </c>
      <c r="O3394" s="3" t="inlineStr">
        <is>
          <t>다산</t>
        </is>
      </c>
      <c r="P3394" s="3" t="n">
        <v>1</v>
      </c>
      <c r="Q3394" s="3" t="n">
        <v>553</v>
      </c>
      <c r="R3394" s="3" t="inlineStr">
        <is>
          <t>지정되지않음</t>
        </is>
      </c>
      <c r="S3394" s="3" t="inlineStr">
        <is>
          <t>전</t>
        </is>
      </c>
      <c r="T3394" s="3" t="inlineStr">
        <is>
          <t>평지</t>
        </is>
      </c>
      <c r="U3394" s="3" t="inlineStr">
        <is>
          <t>사다리형</t>
        </is>
      </c>
      <c r="V3394" s="3" t="inlineStr">
        <is>
          <t>중로한면</t>
        </is>
      </c>
    </row>
    <row r="3395">
      <c r="A3395" s="3" t="inlineStr">
        <is>
          <t>세종특별자치시 연기면 연기리 506</t>
        </is>
      </c>
      <c r="B3395" s="3" t="inlineStr">
        <is>
          <t>계획관리지역</t>
        </is>
      </c>
      <c r="C3395" s="3" t="inlineStr">
        <is>
          <t>대</t>
        </is>
      </c>
      <c r="D3395" s="3" t="inlineStr">
        <is>
          <t>대</t>
        </is>
      </c>
      <c r="E3395" s="3" t="inlineStr">
        <is>
          <t>매매</t>
        </is>
      </c>
      <c r="F3395" s="4" t="n">
        <v>500000</v>
      </c>
      <c r="G3395" s="4" t="n">
        <v>1205</v>
      </c>
      <c r="H3395" s="4" t="n">
        <v>365</v>
      </c>
      <c r="I3395" s="5" t="n">
        <v>1369.9</v>
      </c>
      <c r="J3395" s="4" t="n">
        <v>237.7</v>
      </c>
      <c r="K3395" s="3" t="inlineStr">
        <is>
          <t>1번국도변 상가건물</t>
        </is>
      </c>
      <c r="L3395" s="6">
        <f>HYPERLINK("https://fin.land.naver.com/articles/2648813397", "매물Link")</f>
        <v/>
      </c>
      <c r="M3395" s="6">
        <f>HYPERLINK("https://map.naver.com/p/search/세종특별자치시 연기면 연기리 506", "지도Link")</f>
        <v/>
      </c>
      <c r="N3395" s="6">
        <f>HYPERLINK("http://www.eum.go.kr/web/ar/lu/luLandDet.jsp?pnu=3611031021105060000&amp;isNoScr=script&amp;mode=search", "토지이음")</f>
        <v/>
      </c>
      <c r="O3395" s="3" t="inlineStr">
        <is>
          <t>세종대박</t>
        </is>
      </c>
      <c r="P3395" s="3" t="n">
        <v>1</v>
      </c>
      <c r="Q3395" s="3" t="n">
        <v>1205</v>
      </c>
      <c r="R3395" s="3" t="inlineStr">
        <is>
          <t>지정되지않음</t>
        </is>
      </c>
      <c r="S3395" s="3" t="inlineStr">
        <is>
          <t>상업용</t>
        </is>
      </c>
      <c r="T3395" s="3" t="inlineStr">
        <is>
          <t>완경사</t>
        </is>
      </c>
      <c r="U3395" s="3" t="inlineStr">
        <is>
          <t>부정형</t>
        </is>
      </c>
      <c r="V3395" s="3" t="inlineStr">
        <is>
          <t>중로한면</t>
        </is>
      </c>
    </row>
    <row r="3396">
      <c r="A3396" s="3" t="inlineStr">
        <is>
          <t>세종특별자치시 연기면 연기리 506-3</t>
        </is>
      </c>
      <c r="B3396" s="3" t="inlineStr">
        <is>
          <t>계획관리지역</t>
        </is>
      </c>
      <c r="C3396" s="3" t="inlineStr">
        <is>
          <t>전</t>
        </is>
      </c>
      <c r="D3396" s="3" t="inlineStr">
        <is>
          <t>전</t>
        </is>
      </c>
      <c r="E3396" s="3" t="inlineStr">
        <is>
          <t>매매</t>
        </is>
      </c>
      <c r="F3396" s="4" t="n">
        <v>500000</v>
      </c>
      <c r="G3396" s="4" t="n">
        <v>1379</v>
      </c>
      <c r="H3396" s="4" t="n">
        <v>417</v>
      </c>
      <c r="I3396" s="5" t="n">
        <v>1199</v>
      </c>
      <c r="J3396" s="4" t="n">
        <v>297.7</v>
      </c>
      <c r="K3396" s="3" t="inlineStr">
        <is>
          <t>국도 진입 가능한 대로변에 위치한 광고효과 좋은 곳</t>
        </is>
      </c>
      <c r="L3396" s="6">
        <f>HYPERLINK("https://fin.land.naver.com/articles/2647299471", "매물Link")</f>
        <v/>
      </c>
      <c r="M3396" s="6">
        <f>HYPERLINK("https://map.naver.com/p/search/세종특별자치시 연기면 연기리 506-3", "지도Link")</f>
        <v/>
      </c>
      <c r="N3396" s="6">
        <f>HYPERLINK("http://www.eum.go.kr/web/ar/lu/luLandDet.jsp?pnu=3611031021105060003&amp;isNoScr=script&amp;mode=search", "토지이음")</f>
        <v/>
      </c>
      <c r="O3396" s="3" t="inlineStr">
        <is>
          <t>KS</t>
        </is>
      </c>
      <c r="P3396" s="3" t="n">
        <v>1</v>
      </c>
      <c r="Q3396" s="3" t="n">
        <v>1379</v>
      </c>
      <c r="R3396" s="3" t="inlineStr">
        <is>
          <t>지정되지않음</t>
        </is>
      </c>
      <c r="S3396" s="3" t="inlineStr">
        <is>
          <t>전</t>
        </is>
      </c>
      <c r="T3396" s="3" t="inlineStr">
        <is>
          <t>평지</t>
        </is>
      </c>
      <c r="U3396" s="3" t="inlineStr">
        <is>
          <t>부정형</t>
        </is>
      </c>
      <c r="V3396" s="3" t="inlineStr">
        <is>
          <t>중로한면</t>
        </is>
      </c>
    </row>
    <row r="3397">
      <c r="A3397" s="3" t="inlineStr">
        <is>
          <t>세종특별자치시 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HYPERLINK("https://map.naver.com/p/search/세종특별자치시 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세종특별자치시 연기면 연기리 507-4</t>
        </is>
      </c>
      <c r="B3398" s="3" t="inlineStr">
        <is>
          <t>계획관리지역</t>
        </is>
      </c>
      <c r="C3398" s="3" t="inlineStr">
        <is>
          <t>전</t>
        </is>
      </c>
      <c r="D3398" s="3" t="inlineStr">
        <is>
          <t>전</t>
        </is>
      </c>
      <c r="E3398" s="3" t="inlineStr">
        <is>
          <t>매매</t>
        </is>
      </c>
      <c r="F3398" s="4" t="n">
        <v>220000</v>
      </c>
      <c r="G3398" s="4" t="n">
        <v>629</v>
      </c>
      <c r="H3398" s="4" t="n">
        <v>190</v>
      </c>
      <c r="I3398" s="5" t="n">
        <v>1157.9</v>
      </c>
      <c r="J3398" s="4" t="n">
        <v>297.7</v>
      </c>
      <c r="K3398" s="3" t="inlineStr">
        <is>
          <t>대 도로접 투자 적정지</t>
        </is>
      </c>
      <c r="L3398" s="6">
        <f>HYPERLINK("https://fin.land.naver.com/articles/2645394607", "매물Link")</f>
        <v/>
      </c>
      <c r="M3398" s="6">
        <f>HYPERLINK("https://map.naver.com/p/search/세종특별자치시 연기면 연기리 507-4", "지도Link")</f>
        <v/>
      </c>
      <c r="N3398" s="6">
        <f>HYPERLINK("http://www.eum.go.kr/web/ar/lu/luLandDet.jsp?pnu=3611031021105070004&amp;isNoScr=script&amp;mode=search", "토지이음")</f>
        <v/>
      </c>
      <c r="O3398" s="3" t="inlineStr">
        <is>
          <t>광장(프라자)</t>
        </is>
      </c>
      <c r="P3398" s="3" t="n">
        <v>1</v>
      </c>
      <c r="Q3398" s="3" t="n">
        <v>629</v>
      </c>
      <c r="R3398" s="3" t="inlineStr">
        <is>
          <t>지정되지않음</t>
        </is>
      </c>
      <c r="S3398" s="3" t="inlineStr">
        <is>
          <t>전</t>
        </is>
      </c>
      <c r="T3398" s="3" t="inlineStr">
        <is>
          <t>평지</t>
        </is>
      </c>
      <c r="U3398" s="3" t="inlineStr">
        <is>
          <t>부정형</t>
        </is>
      </c>
      <c r="V3398" s="3" t="inlineStr">
        <is>
          <t>중로한면</t>
        </is>
      </c>
    </row>
    <row r="3399">
      <c r="A3399" s="3" t="inlineStr">
        <is>
          <t>세종특별자치시 연기면 연기리 62-2</t>
        </is>
      </c>
      <c r="B3399" s="3" t="inlineStr">
        <is>
          <t>계획관리지역</t>
        </is>
      </c>
      <c r="C3399" s="3" t="inlineStr">
        <is>
          <t>전</t>
        </is>
      </c>
      <c r="D3399" s="3" t="inlineStr">
        <is>
          <t>전</t>
        </is>
      </c>
      <c r="E3399" s="3" t="inlineStr">
        <is>
          <t>매매</t>
        </is>
      </c>
      <c r="F3399" s="4" t="n">
        <v>69000</v>
      </c>
      <c r="G3399" s="4" t="n">
        <v>455</v>
      </c>
      <c r="H3399" s="4" t="n">
        <v>138</v>
      </c>
      <c r="I3399" s="5" t="n">
        <v>500</v>
      </c>
      <c r="J3399" s="4" t="n">
        <v>100.2</v>
      </c>
      <c r="K3399" s="3" t="inlineStr">
        <is>
          <t>nan</t>
        </is>
      </c>
      <c r="L3399" s="6">
        <f>HYPERLINK("https://fin.land.naver.com/articles/2648047442", "매물Link")</f>
        <v/>
      </c>
      <c r="M3399" s="6">
        <f>HYPERLINK("https://map.naver.com/p/search/세종특별자치시 연기면 연기리 62-2", "지도Link")</f>
        <v/>
      </c>
      <c r="N3399" s="6">
        <f>HYPERLINK("http://www.eum.go.kr/web/ar/lu/luLandDet.jsp?pnu=3611031021100620002&amp;isNoScr=script&amp;mode=search", "토지이음")</f>
        <v/>
      </c>
      <c r="O3399" s="3" t="inlineStr">
        <is>
          <t>마마</t>
        </is>
      </c>
      <c r="P3399" s="3" t="n">
        <v>1</v>
      </c>
      <c r="Q3399" s="3" t="n">
        <v>455.2</v>
      </c>
      <c r="R3399" s="3" t="inlineStr">
        <is>
          <t>지정되지않음</t>
        </is>
      </c>
      <c r="S3399" s="3" t="inlineStr">
        <is>
          <t>전창고</t>
        </is>
      </c>
      <c r="T3399" s="3" t="inlineStr">
        <is>
          <t>평지</t>
        </is>
      </c>
      <c r="U3399" s="3" t="inlineStr">
        <is>
          <t>사다리형</t>
        </is>
      </c>
      <c r="V3399" s="3" t="inlineStr">
        <is>
          <t>세로한면(불)</t>
        </is>
      </c>
    </row>
    <row r="3400">
      <c r="A3400" s="3" t="inlineStr">
        <is>
          <t>세종특별자치시 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HYPERLINK("https://map.naver.com/p/search/세종특별자치시 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세종특별자치시 연동면 내판리 10-1</t>
        </is>
      </c>
      <c r="B3401" s="3" t="inlineStr">
        <is>
          <t>계획관리지역</t>
        </is>
      </c>
      <c r="C3401" s="3" t="inlineStr">
        <is>
          <t>대</t>
        </is>
      </c>
      <c r="D3401" s="3" t="inlineStr">
        <is>
          <t>대</t>
        </is>
      </c>
      <c r="E3401" s="3" t="inlineStr">
        <is>
          <t>매매</t>
        </is>
      </c>
      <c r="F3401" s="4" t="n">
        <v>36000</v>
      </c>
      <c r="G3401" s="4" t="n">
        <v>329</v>
      </c>
      <c r="H3401" s="4" t="n">
        <v>100</v>
      </c>
      <c r="I3401" s="5" t="n">
        <v>360</v>
      </c>
      <c r="J3401" s="4" t="n">
        <v>106.7</v>
      </c>
      <c r="K3401" s="3" t="inlineStr">
        <is>
          <t>nan</t>
        </is>
      </c>
      <c r="L3401" s="6">
        <f>HYPERLINK("https://fin.land.naver.com/articles/2649512630", "매물Link")</f>
        <v/>
      </c>
      <c r="M3401" s="6">
        <f>HYPERLINK("https://map.naver.com/p/search/세종특별자치시 연동면 내판리 10-1", "지도Link")</f>
        <v/>
      </c>
      <c r="N3401" s="6">
        <f>HYPERLINK("http://www.eum.go.kr/web/ar/lu/luLandDet.jsp?pnu=3611032021100100001&amp;isNoScr=script&amp;mode=search", "토지이음")</f>
        <v/>
      </c>
      <c r="O3401" s="3" t="inlineStr">
        <is>
          <t>세종지평</t>
        </is>
      </c>
      <c r="P3401" s="3" t="n">
        <v>1</v>
      </c>
      <c r="Q3401" s="3" t="n">
        <v>330</v>
      </c>
      <c r="R3401" s="3" t="inlineStr">
        <is>
          <t>지정되지않음</t>
        </is>
      </c>
      <c r="S3401" s="3" t="inlineStr">
        <is>
          <t>단독</t>
        </is>
      </c>
      <c r="T3401" s="3" t="inlineStr">
        <is>
          <t>평지</t>
        </is>
      </c>
      <c r="U3401" s="3" t="inlineStr">
        <is>
          <t>부정형</t>
        </is>
      </c>
      <c r="V3401" s="3" t="inlineStr">
        <is>
          <t>세로한면(가)</t>
        </is>
      </c>
    </row>
    <row r="3402">
      <c r="A3402" s="3" t="inlineStr">
        <is>
          <t>세종특별자치시 연동면 내판리 10-8</t>
        </is>
      </c>
      <c r="B3402" s="3" t="inlineStr">
        <is>
          <t>계획관리지역</t>
        </is>
      </c>
      <c r="C3402" s="3" t="inlineStr">
        <is>
          <t>대</t>
        </is>
      </c>
      <c r="D3402" s="3" t="inlineStr">
        <is>
          <t>대</t>
        </is>
      </c>
      <c r="E3402" s="3" t="inlineStr">
        <is>
          <t>매매</t>
        </is>
      </c>
      <c r="F3402" s="4" t="n">
        <v>24500</v>
      </c>
      <c r="G3402" s="4" t="n">
        <v>230</v>
      </c>
      <c r="H3402" s="4" t="n">
        <v>70</v>
      </c>
      <c r="I3402" s="5" t="n">
        <v>350</v>
      </c>
      <c r="J3402" s="4" t="n">
        <v>94.90000000000001</v>
      </c>
      <c r="K3402" s="3" t="inlineStr">
        <is>
          <t>계획관리지역,대지</t>
        </is>
      </c>
      <c r="L3402" s="6">
        <f>HYPERLINK("https://fin.land.naver.com/articles/2646007806", "매물Link")</f>
        <v/>
      </c>
      <c r="M3402" s="6">
        <f>HYPERLINK("https://map.naver.com/p/search/세종특별자치시 연동면 내판리 10-8", "지도Link")</f>
        <v/>
      </c>
      <c r="N3402" s="6">
        <f>HYPERLINK("http://www.eum.go.kr/web/ar/lu/luLandDet.jsp?pnu=3611032021100100008&amp;isNoScr=script&amp;mode=search", "토지이음")</f>
        <v/>
      </c>
      <c r="O3402" s="3" t="inlineStr">
        <is>
          <t>세종대박</t>
        </is>
      </c>
      <c r="P3402" s="3" t="n">
        <v>1</v>
      </c>
      <c r="Q3402" s="3" t="n">
        <v>191</v>
      </c>
      <c r="R3402" s="3" t="inlineStr">
        <is>
          <t>지정되지않음</t>
        </is>
      </c>
      <c r="S3402" s="3" t="inlineStr">
        <is>
          <t>주거나지</t>
        </is>
      </c>
      <c r="T3402" s="3" t="inlineStr">
        <is>
          <t>완경사</t>
        </is>
      </c>
      <c r="U3402" s="3" t="inlineStr">
        <is>
          <t>부정형</t>
        </is>
      </c>
      <c r="V3402" s="3" t="inlineStr">
        <is>
          <t>세로한면(가)</t>
        </is>
      </c>
    </row>
    <row r="3403">
      <c r="A3403" s="3" t="inlineStr">
        <is>
          <t>세종특별자치시 연동면 내판리 104</t>
        </is>
      </c>
      <c r="B3403" s="3" t="inlineStr">
        <is>
          <t>계획관리지역</t>
        </is>
      </c>
      <c r="C3403" s="3" t="inlineStr">
        <is>
          <t>전</t>
        </is>
      </c>
      <c r="D3403" s="3" t="inlineStr">
        <is>
          <t>전</t>
        </is>
      </c>
      <c r="E3403" s="3" t="inlineStr">
        <is>
          <t>매매</t>
        </is>
      </c>
      <c r="F3403" s="4" t="n">
        <v>67000</v>
      </c>
      <c r="G3403" s="4" t="n">
        <v>2767</v>
      </c>
      <c r="H3403" s="4" t="n">
        <v>837</v>
      </c>
      <c r="I3403" s="5" t="n">
        <v>80</v>
      </c>
      <c r="J3403" s="4" t="n">
        <v>36.2</v>
      </c>
      <c r="K3403" s="3" t="inlineStr">
        <is>
          <t>계확관리 아파트건설 호재가 있는  토지 중학교 옆위치 조율가능</t>
        </is>
      </c>
      <c r="L3403" s="6">
        <f>HYPERLINK("https://fin.land.naver.com/articles/2647958085", "매물Link")</f>
        <v/>
      </c>
      <c r="M3403" s="6">
        <f>HYPERLINK("https://map.naver.com/p/search/세종특별자치시 연동면 내판리 104", "지도Link")</f>
        <v/>
      </c>
      <c r="N3403" s="6">
        <f>HYPERLINK("http://www.eum.go.kr/web/ar/lu/luLandDet.jsp?pnu=3611032021101040000&amp;isNoScr=script&amp;mode=search", "토지이음")</f>
        <v/>
      </c>
      <c r="O3403" s="3" t="inlineStr">
        <is>
          <t>도안부자</t>
        </is>
      </c>
      <c r="P3403" s="3" t="n">
        <v>1</v>
      </c>
      <c r="Q3403" s="3" t="n">
        <v>2767</v>
      </c>
      <c r="R3403" s="3" t="inlineStr">
        <is>
          <t>지정되지않음</t>
        </is>
      </c>
      <c r="S3403" s="3" t="inlineStr">
        <is>
          <t>전</t>
        </is>
      </c>
      <c r="T3403" s="3" t="inlineStr">
        <is>
          <t>완경사</t>
        </is>
      </c>
      <c r="U3403" s="3" t="inlineStr">
        <is>
          <t>부정형</t>
        </is>
      </c>
      <c r="V3403" s="3" t="inlineStr">
        <is>
          <t>맹지</t>
        </is>
      </c>
    </row>
    <row r="3404">
      <c r="A3404" s="3" t="inlineStr">
        <is>
          <t>세종특별자치시 연동면 내판리 175-1</t>
        </is>
      </c>
      <c r="B3404" s="3" t="inlineStr">
        <is>
          <t>계획관리지역</t>
        </is>
      </c>
      <c r="C3404" s="3" t="inlineStr">
        <is>
          <t>전</t>
        </is>
      </c>
      <c r="D3404" s="3" t="inlineStr">
        <is>
          <t>전</t>
        </is>
      </c>
      <c r="E3404" s="3" t="inlineStr">
        <is>
          <t>매매</t>
        </is>
      </c>
      <c r="F3404" s="4" t="n">
        <v>190000</v>
      </c>
      <c r="G3404" s="4" t="n">
        <v>2710</v>
      </c>
      <c r="H3404" s="4" t="n">
        <v>820</v>
      </c>
      <c r="I3404" s="5" t="n">
        <v>231.7</v>
      </c>
      <c r="J3404" s="4" t="n">
        <v>71.90000000000001</v>
      </c>
      <c r="K3404" s="3" t="inlineStr">
        <is>
          <t>세종시 연동면내판리 2차선 토지매매</t>
        </is>
      </c>
      <c r="L3404" s="6">
        <f>HYPERLINK("https://fin.land.naver.com/articles/2645258069", "매물Link")</f>
        <v/>
      </c>
      <c r="M3404" s="6">
        <f>HYPERLINK("https://map.naver.com/p/search/세종특별자치시 연동면 내판리 175-1", "지도Link")</f>
        <v/>
      </c>
      <c r="N3404" s="6">
        <f>HYPERLINK("http://www.eum.go.kr/web/ar/lu/luLandDet.jsp?pnu=3611032021101750001&amp;isNoScr=script&amp;mode=search", "토지이음")</f>
        <v/>
      </c>
      <c r="O3404" s="3" t="inlineStr">
        <is>
          <t>동원</t>
        </is>
      </c>
      <c r="P3404" s="3" t="n">
        <v>1</v>
      </c>
      <c r="Q3404" s="3" t="n">
        <v>2340</v>
      </c>
      <c r="R3404" s="3" t="inlineStr">
        <is>
          <t>지정되지않음</t>
        </is>
      </c>
      <c r="S3404" s="3" t="inlineStr">
        <is>
          <t>전</t>
        </is>
      </c>
      <c r="T3404" s="3" t="inlineStr">
        <is>
          <t>평지</t>
        </is>
      </c>
      <c r="U3404" s="3" t="inlineStr">
        <is>
          <t>부정형</t>
        </is>
      </c>
      <c r="V3404" s="3" t="inlineStr">
        <is>
          <t>소로한면</t>
        </is>
      </c>
    </row>
    <row r="3405">
      <c r="A3405" s="3" t="inlineStr">
        <is>
          <t>세종특별자치시 연동면 내판리 182-1</t>
        </is>
      </c>
      <c r="B3405" s="3" t="inlineStr">
        <is>
          <t>계획관리지역</t>
        </is>
      </c>
      <c r="C3405" s="3" t="inlineStr">
        <is>
          <t>답</t>
        </is>
      </c>
      <c r="D3405" s="3" t="inlineStr">
        <is>
          <t>답</t>
        </is>
      </c>
      <c r="E3405" s="3" t="inlineStr">
        <is>
          <t>매매</t>
        </is>
      </c>
      <c r="F3405" s="4" t="n">
        <v>180000</v>
      </c>
      <c r="G3405" s="4" t="n">
        <v>1475</v>
      </c>
      <c r="H3405" s="4" t="n">
        <v>446</v>
      </c>
      <c r="I3405" s="5" t="n">
        <v>403.6</v>
      </c>
      <c r="J3405" s="4" t="n">
        <v>98.5</v>
      </c>
      <c r="K3405" s="3" t="inlineStr">
        <is>
          <t>연동면 내판리 도로변 토지매매</t>
        </is>
      </c>
      <c r="L3405" s="6">
        <f>HYPERLINK("https://fin.land.naver.com/articles/2644909055", "매물Link")</f>
        <v/>
      </c>
      <c r="M3405" s="6">
        <f>HYPERLINK("https://map.naver.com/p/search/세종특별자치시 연동면 내판리 182-1", "지도Link")</f>
        <v/>
      </c>
      <c r="N3405" s="6">
        <f>HYPERLINK("http://www.eum.go.kr/web/ar/lu/luLandDet.jsp?pnu=3611032021101820001&amp;isNoScr=script&amp;mode=search", "토지이음")</f>
        <v/>
      </c>
      <c r="O3405" s="3" t="inlineStr">
        <is>
          <t>성진</t>
        </is>
      </c>
      <c r="P3405" s="3" t="n">
        <v>1</v>
      </c>
      <c r="Q3405" s="3" t="n">
        <v>1475</v>
      </c>
      <c r="R3405" s="3" t="inlineStr">
        <is>
          <t>지정되지않음</t>
        </is>
      </c>
      <c r="S3405" s="3" t="inlineStr">
        <is>
          <t>답</t>
        </is>
      </c>
      <c r="T3405" s="3" t="inlineStr">
        <is>
          <t>평지</t>
        </is>
      </c>
      <c r="U3405" s="3" t="inlineStr">
        <is>
          <t>부정형</t>
        </is>
      </c>
      <c r="V3405" s="3" t="inlineStr">
        <is>
          <t>소로한면</t>
        </is>
      </c>
    </row>
    <row r="3406">
      <c r="A3406" s="3" t="inlineStr">
        <is>
          <t>세종특별자치시 연동면 내판리 254</t>
        </is>
      </c>
      <c r="B3406" s="3" t="inlineStr">
        <is>
          <t>계획관리지역</t>
        </is>
      </c>
      <c r="C3406" s="3" t="inlineStr">
        <is>
          <t>전</t>
        </is>
      </c>
      <c r="D3406" s="3" t="inlineStr">
        <is>
          <t>전</t>
        </is>
      </c>
      <c r="E3406" s="3" t="inlineStr">
        <is>
          <t>매매</t>
        </is>
      </c>
      <c r="F3406" s="4" t="n">
        <v>65000</v>
      </c>
      <c r="G3406" s="4" t="n">
        <v>1884</v>
      </c>
      <c r="H3406" s="4" t="n">
        <v>570</v>
      </c>
      <c r="I3406" s="5" t="n">
        <v>114</v>
      </c>
      <c r="J3406" s="4" t="n">
        <v>65.8</v>
      </c>
      <c r="K3406" s="3" t="inlineStr">
        <is>
          <t>실 570. 행정중심복합도시 수혜지역 매매. 대통령집무실이전유력지 호재</t>
        </is>
      </c>
      <c r="L3406" s="6">
        <f>HYPERLINK("https://fin.land.naver.com/articles/2646173827", "매물Link")</f>
        <v/>
      </c>
      <c r="M3406" s="6">
        <f>HYPERLINK("https://map.naver.com/p/search/세종특별자치시 연동면 내판리 254", "지도Link")</f>
        <v/>
      </c>
      <c r="N3406" s="6">
        <f>HYPERLINK("http://www.eum.go.kr/web/ar/lu/luLandDet.jsp?pnu=3611032021102540000&amp;isNoScr=script&amp;mode=search", "토지이음")</f>
        <v/>
      </c>
      <c r="O3406" s="3" t="inlineStr">
        <is>
          <t>길</t>
        </is>
      </c>
      <c r="P3406" s="3" t="n">
        <v>1</v>
      </c>
      <c r="Q3406" s="3" t="n">
        <v>1884</v>
      </c>
      <c r="R3406" s="3" t="inlineStr">
        <is>
          <t>지정되지않음</t>
        </is>
      </c>
      <c r="S3406" s="3" t="inlineStr">
        <is>
          <t>전</t>
        </is>
      </c>
      <c r="T3406" s="3" t="inlineStr">
        <is>
          <t>완경사</t>
        </is>
      </c>
      <c r="U3406" s="3" t="inlineStr">
        <is>
          <t>사다리형</t>
        </is>
      </c>
      <c r="V3406" s="3" t="inlineStr">
        <is>
          <t>맹지</t>
        </is>
      </c>
    </row>
    <row r="3407">
      <c r="A3407" s="3" t="inlineStr">
        <is>
          <t>세종특별자치시 연동면 내판리 267-3</t>
        </is>
      </c>
      <c r="B3407" s="3" t="inlineStr">
        <is>
          <t>계획관리지역</t>
        </is>
      </c>
      <c r="C3407" s="3" t="inlineStr">
        <is>
          <t>대</t>
        </is>
      </c>
      <c r="D3407" s="3" t="inlineStr">
        <is>
          <t>대</t>
        </is>
      </c>
      <c r="E3407" s="3" t="inlineStr">
        <is>
          <t>매매</t>
        </is>
      </c>
      <c r="F3407" s="4" t="n">
        <v>109850</v>
      </c>
      <c r="G3407" s="4" t="n">
        <v>560</v>
      </c>
      <c r="H3407" s="4" t="n">
        <v>169</v>
      </c>
      <c r="I3407" s="5" t="n">
        <v>650</v>
      </c>
      <c r="J3407" s="4" t="n">
        <v>85</v>
      </c>
      <c r="K3407" s="3" t="inlineStr">
        <is>
          <t>계획관리지역,인근토지 농협이 매수 ,투자가치 좋은 매물, 나대지</t>
        </is>
      </c>
      <c r="L3407" s="6">
        <f>HYPERLINK("https://fin.land.naver.com/articles/2645010062", "매물Link")</f>
        <v/>
      </c>
      <c r="M3407" s="6">
        <f>HYPERLINK("https://map.naver.com/p/search/세종특별자치시 연동면 내판리 267-3", "지도Link")</f>
        <v/>
      </c>
      <c r="N3407" s="6">
        <f>HYPERLINK("http://www.eum.go.kr/web/ar/lu/luLandDet.jsp?pnu=3611032021102670003&amp;isNoScr=script&amp;mode=search", "토지이음")</f>
        <v/>
      </c>
      <c r="O3407" s="3" t="inlineStr">
        <is>
          <t>신강남</t>
        </is>
      </c>
      <c r="P3407" s="3" t="n">
        <v>1</v>
      </c>
      <c r="Q3407" s="3" t="n">
        <v>560</v>
      </c>
      <c r="R3407" s="3" t="inlineStr">
        <is>
          <t>지정되지않음</t>
        </is>
      </c>
      <c r="S3407" s="3" t="inlineStr">
        <is>
          <t>단독</t>
        </is>
      </c>
      <c r="T3407" s="3" t="inlineStr">
        <is>
          <t>평지</t>
        </is>
      </c>
      <c r="U3407" s="3" t="inlineStr">
        <is>
          <t>부정형</t>
        </is>
      </c>
      <c r="V3407" s="3" t="inlineStr">
        <is>
          <t>세로한면(가)</t>
        </is>
      </c>
    </row>
    <row r="3408">
      <c r="A3408" s="3" t="inlineStr">
        <is>
          <t>세종특별자치시 연동면 내판리 337-1</t>
        </is>
      </c>
      <c r="B3408" s="3" t="inlineStr">
        <is>
          <t>계획관리지역</t>
        </is>
      </c>
      <c r="C3408" s="3" t="inlineStr">
        <is>
          <t>전</t>
        </is>
      </c>
      <c r="D3408" s="3" t="inlineStr">
        <is>
          <t>전</t>
        </is>
      </c>
      <c r="E3408" s="3" t="inlineStr">
        <is>
          <t>매매</t>
        </is>
      </c>
      <c r="F3408" s="4" t="n">
        <v>191664</v>
      </c>
      <c r="G3408" s="4" t="n">
        <v>1152</v>
      </c>
      <c r="H3408" s="4" t="n">
        <v>348</v>
      </c>
      <c r="I3408" s="5" t="n">
        <v>550.8</v>
      </c>
      <c r="J3408" s="4" t="n">
        <v>112.8</v>
      </c>
      <c r="K3408" s="3" t="inlineStr">
        <is>
          <t>명학산업단지 근처 6미터 도로접 투자용</t>
        </is>
      </c>
      <c r="L3408" s="6">
        <f>HYPERLINK("https://fin.land.naver.com/articles/2648009779", "매물Link")</f>
        <v/>
      </c>
      <c r="M3408" s="6">
        <f>HYPERLINK("https://map.naver.com/p/search/세종특별자치시 연동면 내판리 337-1", "지도Link")</f>
        <v/>
      </c>
      <c r="N3408" s="6">
        <f>HYPERLINK("http://www.eum.go.kr/web/ar/lu/luLandDet.jsp?pnu=3611032021103370001&amp;isNoScr=script&amp;mode=search", "토지이음")</f>
        <v/>
      </c>
      <c r="O3408" s="3" t="inlineStr">
        <is>
          <t>도안재벌</t>
        </is>
      </c>
      <c r="P3408" s="3" t="n">
        <v>1</v>
      </c>
      <c r="Q3408" s="3" t="n">
        <v>1152</v>
      </c>
      <c r="R3408" s="3" t="inlineStr">
        <is>
          <t>지정되지않음</t>
        </is>
      </c>
      <c r="S3408" s="3" t="inlineStr">
        <is>
          <t>주거나지</t>
        </is>
      </c>
      <c r="T3408" s="3" t="inlineStr">
        <is>
          <t>평지</t>
        </is>
      </c>
      <c r="U3408" s="3" t="inlineStr">
        <is>
          <t>사다리형</t>
        </is>
      </c>
      <c r="V3408" s="3" t="inlineStr">
        <is>
          <t>세로한면(가)</t>
        </is>
      </c>
    </row>
    <row r="3409">
      <c r="A3409" s="3" t="inlineStr">
        <is>
          <t>세종특별자치시 연동면 내판리 337-42</t>
        </is>
      </c>
      <c r="B3409" s="3" t="inlineStr">
        <is>
          <t>보전관리지역</t>
        </is>
      </c>
      <c r="C3409" s="3" t="inlineStr">
        <is>
          <t>대</t>
        </is>
      </c>
      <c r="D3409" s="3" t="inlineStr">
        <is>
          <t>대</t>
        </is>
      </c>
      <c r="E3409" s="3" t="inlineStr">
        <is>
          <t>매매</t>
        </is>
      </c>
      <c r="F3409" s="4" t="n">
        <v>50000</v>
      </c>
      <c r="G3409" s="4" t="n">
        <v>330</v>
      </c>
      <c r="H3409" s="4" t="n">
        <v>100</v>
      </c>
      <c r="I3409" s="5" t="n">
        <v>500</v>
      </c>
      <c r="J3409" s="4" t="n">
        <v>84.8</v>
      </c>
      <c r="K3409" s="3" t="inlineStr">
        <is>
          <t>5생활권, 삼성전기투자지 근접,기반시설완비,모듈러주택홍보관협업가능</t>
        </is>
      </c>
      <c r="L3409" s="6">
        <f>HYPERLINK("https://fin.land.naver.com/articles/2647328962", "매물Link")</f>
        <v/>
      </c>
      <c r="M3409" s="6">
        <f>HYPERLINK("https://map.naver.com/p/search/세종특별자치시 연동면 내판리 337-42", "지도Link")</f>
        <v/>
      </c>
      <c r="N3409" s="6">
        <f>HYPERLINK("http://www.eum.go.kr/web/ar/lu/luLandDet.jsp?pnu=3611032021103370042&amp;isNoScr=script&amp;mode=search", "토지이음")</f>
        <v/>
      </c>
      <c r="O3409" s="3" t="inlineStr">
        <is>
          <t>수</t>
        </is>
      </c>
      <c r="P3409" s="3" t="n">
        <v>1</v>
      </c>
      <c r="Q3409" s="3" t="n">
        <v>660</v>
      </c>
      <c r="R3409" s="3" t="inlineStr">
        <is>
          <t>지정되지않음</t>
        </is>
      </c>
      <c r="S3409" s="3" t="inlineStr">
        <is>
          <t>주거나지</t>
        </is>
      </c>
      <c r="T3409" s="3" t="inlineStr">
        <is>
          <t>평지</t>
        </is>
      </c>
      <c r="U3409" s="3" t="inlineStr">
        <is>
          <t>사다리형</t>
        </is>
      </c>
      <c r="V3409" s="3" t="inlineStr">
        <is>
          <t>세로한면(가)</t>
        </is>
      </c>
    </row>
    <row r="3410">
      <c r="A3410" s="3" t="inlineStr">
        <is>
          <t>세종특별자치시 연동면 내판리 337-8</t>
        </is>
      </c>
      <c r="B3410" s="3" t="inlineStr">
        <is>
          <t>계획관리지역</t>
        </is>
      </c>
      <c r="C3410" s="3" t="inlineStr">
        <is>
          <t>대</t>
        </is>
      </c>
      <c r="D3410" s="3" t="inlineStr">
        <is>
          <t>대</t>
        </is>
      </c>
      <c r="E3410" s="3" t="inlineStr">
        <is>
          <t>매매</t>
        </is>
      </c>
      <c r="F3410" s="4" t="n">
        <v>133100</v>
      </c>
      <c r="G3410" s="4" t="n">
        <v>800</v>
      </c>
      <c r="H3410" s="4" t="n">
        <v>242</v>
      </c>
      <c r="I3410" s="5" t="n">
        <v>550</v>
      </c>
      <c r="J3410" s="4" t="n">
        <v>183.9</v>
      </c>
      <c r="K3410" s="3" t="inlineStr">
        <is>
          <t>명학산업단지 근처 6미터 도로접 투자용</t>
        </is>
      </c>
      <c r="L3410" s="6">
        <f>HYPERLINK("https://fin.land.naver.com/articles/2648008487", "매물Link")</f>
        <v/>
      </c>
      <c r="M3410" s="6">
        <f>HYPERLINK("https://map.naver.com/p/search/세종특별자치시 연동면 내판리 337-8", "지도Link")</f>
        <v/>
      </c>
      <c r="N3410" s="6">
        <f>HYPERLINK("http://www.eum.go.kr/web/ar/lu/luLandDet.jsp?pnu=3611032021103370008&amp;isNoScr=script&amp;mode=search", "토지이음")</f>
        <v/>
      </c>
      <c r="O3410" s="3" t="inlineStr">
        <is>
          <t>도안재벌</t>
        </is>
      </c>
      <c r="P3410" s="3" t="n">
        <v>1</v>
      </c>
      <c r="Q3410" s="3" t="n">
        <v>800</v>
      </c>
      <c r="R3410" s="3" t="inlineStr">
        <is>
          <t>지정되지않음</t>
        </is>
      </c>
      <c r="S3410" s="3" t="inlineStr">
        <is>
          <t>상업용</t>
        </is>
      </c>
      <c r="T3410" s="3" t="inlineStr">
        <is>
          <t>평지</t>
        </is>
      </c>
      <c r="U3410" s="3" t="inlineStr">
        <is>
          <t>사다리형</t>
        </is>
      </c>
      <c r="V3410" s="3" t="inlineStr">
        <is>
          <t>세로한면(가)</t>
        </is>
      </c>
    </row>
    <row r="3411">
      <c r="A3411" s="3" t="inlineStr">
        <is>
          <t>세종특별자치시 연동면 내판리 337-9</t>
        </is>
      </c>
      <c r="B3411" s="3" t="inlineStr">
        <is>
          <t>계획관리지역</t>
        </is>
      </c>
      <c r="C3411" s="3" t="inlineStr">
        <is>
          <t>대</t>
        </is>
      </c>
      <c r="D3411" s="3" t="inlineStr">
        <is>
          <t>대</t>
        </is>
      </c>
      <c r="E3411" s="3" t="inlineStr">
        <is>
          <t>매매</t>
        </is>
      </c>
      <c r="F3411" s="4" t="n">
        <v>140000</v>
      </c>
      <c r="G3411" s="4" t="n">
        <v>737</v>
      </c>
      <c r="H3411" s="4" t="n">
        <v>223</v>
      </c>
      <c r="I3411" s="5" t="n">
        <v>627.8</v>
      </c>
      <c r="J3411" s="4" t="n">
        <v>183.9</v>
      </c>
      <c r="K3411" s="3" t="inlineStr">
        <is>
          <t>nan</t>
        </is>
      </c>
      <c r="L3411" s="6">
        <f>HYPERLINK("https://fin.land.naver.com/articles/2645606299", "매물Link")</f>
        <v/>
      </c>
      <c r="M3411" s="6">
        <f>HYPERLINK("https://map.naver.com/p/search/세종특별자치시 연동면 내판리 337-9", "지도Link")</f>
        <v/>
      </c>
      <c r="N3411" s="6">
        <f>HYPERLINK("http://www.eum.go.kr/web/ar/lu/luLandDet.jsp?pnu=3611032021103370009&amp;isNoScr=script&amp;mode=search", "토지이음")</f>
        <v/>
      </c>
      <c r="O3411" s="3" t="inlineStr">
        <is>
          <t>미스터홈즈강남지사</t>
        </is>
      </c>
      <c r="P3411" s="3" t="n">
        <v>1</v>
      </c>
      <c r="Q3411" s="3" t="n">
        <v>737</v>
      </c>
      <c r="R3411" s="3" t="inlineStr">
        <is>
          <t>지정되지않음</t>
        </is>
      </c>
      <c r="S3411" s="3" t="inlineStr">
        <is>
          <t>상업용</t>
        </is>
      </c>
      <c r="T3411" s="3" t="inlineStr">
        <is>
          <t>평지</t>
        </is>
      </c>
      <c r="U3411" s="3" t="inlineStr">
        <is>
          <t>사다리형</t>
        </is>
      </c>
      <c r="V3411" s="3" t="inlineStr">
        <is>
          <t>세로한면(가)</t>
        </is>
      </c>
    </row>
    <row r="3412">
      <c r="A3412" s="3" t="inlineStr">
        <is>
          <t>세종특별자치시 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HYPERLINK("https://map.naver.com/p/search/세종특별자치시 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세종특별자치시 연동면 내판리 35-5</t>
        </is>
      </c>
      <c r="B3413" s="3" t="inlineStr">
        <is>
          <t>계획관리지역</t>
        </is>
      </c>
      <c r="C3413" s="3" t="inlineStr">
        <is>
          <t>임야</t>
        </is>
      </c>
      <c r="D3413" s="3" t="inlineStr">
        <is>
          <t>임야</t>
        </is>
      </c>
      <c r="E3413" s="3" t="inlineStr">
        <is>
          <t>매매</t>
        </is>
      </c>
      <c r="F3413" s="4" t="n">
        <v>217000</v>
      </c>
      <c r="G3413" s="4" t="n">
        <v>5683</v>
      </c>
      <c r="H3413" s="4" t="n">
        <v>1719</v>
      </c>
      <c r="I3413" s="5" t="n">
        <v>126.2</v>
      </c>
      <c r="J3413" s="4" t="n">
        <v>41.8</v>
      </c>
      <c r="K3413" s="3" t="inlineStr">
        <is>
          <t>계획관리지역 건축부지 시세이하가격</t>
        </is>
      </c>
      <c r="L3413" s="6">
        <f>HYPERLINK("https://fin.land.naver.com/articles/2644684717", "매물Link")</f>
        <v/>
      </c>
      <c r="M3413" s="6">
        <f>HYPERLINK("https://map.naver.com/p/search/세종특별자치시 연동면 내판리 35-5", "지도Link")</f>
        <v/>
      </c>
      <c r="N3413" s="6">
        <f>HYPERLINK("http://www.eum.go.kr/web/ar/lu/luLandDet.jsp?pnu=3611032021100350005&amp;isNoScr=script&amp;mode=search", "토지이음")</f>
        <v/>
      </c>
      <c r="O3413" s="3" t="inlineStr">
        <is>
          <t>(주)경진컨설팅</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세종특별자치시 연동면 내판리 35-5</t>
        </is>
      </c>
      <c r="B3414" s="3" t="inlineStr">
        <is>
          <t>계획관리지역</t>
        </is>
      </c>
      <c r="C3414" s="3" t="inlineStr">
        <is>
          <t>임야</t>
        </is>
      </c>
      <c r="D3414" s="3" t="inlineStr">
        <is>
          <t>임야</t>
        </is>
      </c>
      <c r="E3414" s="3" t="inlineStr">
        <is>
          <t>매매</t>
        </is>
      </c>
      <c r="F3414" s="4" t="n">
        <v>224000</v>
      </c>
      <c r="G3414" s="4" t="n">
        <v>5683</v>
      </c>
      <c r="H3414" s="4" t="n">
        <v>1719</v>
      </c>
      <c r="I3414" s="5" t="n">
        <v>130.3</v>
      </c>
      <c r="J3414" s="4" t="n">
        <v>41.8</v>
      </c>
      <c r="K3414" s="3" t="inlineStr">
        <is>
          <t>시세보다 저렴한  최상의 위치로  계획관리 토지로 용도다양</t>
        </is>
      </c>
      <c r="L3414" s="6">
        <f>HYPERLINK("https://fin.land.naver.com/articles/2644914099", "매물Link")</f>
        <v/>
      </c>
      <c r="M3414" s="6">
        <f>HYPERLINK("https://map.naver.com/p/search/세종특별자치시 연동면 내판리 35-5", "지도Link")</f>
        <v/>
      </c>
      <c r="N3414" s="6">
        <f>HYPERLINK("http://www.eum.go.kr/web/ar/lu/luLandDet.jsp?pnu=3611032021100350005&amp;isNoScr=script&amp;mode=search", "토지이음")</f>
        <v/>
      </c>
      <c r="O3414" s="3" t="inlineStr">
        <is>
          <t>연동스카이</t>
        </is>
      </c>
      <c r="P3414" s="3" t="n">
        <v>1</v>
      </c>
      <c r="Q3414" s="3" t="n">
        <v>5683</v>
      </c>
      <c r="R3414" s="3" t="inlineStr">
        <is>
          <t>지정되지않음</t>
        </is>
      </c>
      <c r="S3414" s="3" t="inlineStr">
        <is>
          <t>자연림</t>
        </is>
      </c>
      <c r="T3414" s="3" t="inlineStr">
        <is>
          <t>완경사</t>
        </is>
      </c>
      <c r="U3414" s="3" t="inlineStr">
        <is>
          <t>부정형</t>
        </is>
      </c>
      <c r="V3414" s="3" t="inlineStr">
        <is>
          <t>세로한면(가)</t>
        </is>
      </c>
    </row>
    <row r="3415">
      <c r="A3415" s="3" t="inlineStr">
        <is>
          <t>세종특별자치시 연동면 내판리 363-6</t>
        </is>
      </c>
      <c r="B3415" s="3" t="inlineStr">
        <is>
          <t>계획관리지역</t>
        </is>
      </c>
      <c r="C3415" s="3" t="inlineStr">
        <is>
          <t>답</t>
        </is>
      </c>
      <c r="D3415" s="3" t="inlineStr">
        <is>
          <t>답</t>
        </is>
      </c>
      <c r="E3415" s="3" t="inlineStr">
        <is>
          <t>매매</t>
        </is>
      </c>
      <c r="F3415" s="4" t="n">
        <v>80000</v>
      </c>
      <c r="G3415" s="4" t="n">
        <v>663</v>
      </c>
      <c r="H3415" s="4" t="n">
        <v>201</v>
      </c>
      <c r="I3415" s="5" t="n">
        <v>398</v>
      </c>
      <c r="J3415" s="4" t="n">
        <v>95</v>
      </c>
      <c r="K3415" s="3" t="inlineStr">
        <is>
          <t>계획관리포장도로전기 인접, 오송산단 접근 좋은 전원형 토지</t>
        </is>
      </c>
      <c r="L3415" s="6">
        <f>HYPERLINK("https://fin.land.naver.com/articles/2645400125", "매물Link")</f>
        <v/>
      </c>
      <c r="M3415" s="6">
        <f>HYPERLINK("https://map.naver.com/p/search/세종특별자치시 연동면 내판리 363-6", "지도Link")</f>
        <v/>
      </c>
      <c r="N3415" s="6">
        <f>HYPERLINK("http://www.eum.go.kr/web/ar/lu/luLandDet.jsp?pnu=3611032021103630006&amp;isNoScr=script&amp;mode=search", "토지이음")</f>
        <v/>
      </c>
      <c r="O3415" s="3" t="inlineStr">
        <is>
          <t>세종소담황금</t>
        </is>
      </c>
      <c r="P3415" s="3" t="n">
        <v>1</v>
      </c>
      <c r="Q3415" s="3" t="n">
        <v>82</v>
      </c>
      <c r="R3415" s="3" t="inlineStr">
        <is>
          <t>지정되지않음</t>
        </is>
      </c>
      <c r="S3415" s="3" t="inlineStr">
        <is>
          <t>주거나지</t>
        </is>
      </c>
      <c r="T3415" s="3" t="inlineStr">
        <is>
          <t>평지</t>
        </is>
      </c>
      <c r="U3415" s="3" t="inlineStr">
        <is>
          <t>사다리형</t>
        </is>
      </c>
      <c r="V3415" s="3" t="inlineStr">
        <is>
          <t>세로한면(가)</t>
        </is>
      </c>
    </row>
    <row r="3416">
      <c r="A3416" s="3" t="inlineStr">
        <is>
          <t>세종특별자치시 연동면 내판리 365-5</t>
        </is>
      </c>
      <c r="B3416" s="3" t="inlineStr">
        <is>
          <t>계획관리지역</t>
        </is>
      </c>
      <c r="C3416" s="3" t="inlineStr">
        <is>
          <t>답</t>
        </is>
      </c>
      <c r="D3416" s="3" t="inlineStr">
        <is>
          <t>답</t>
        </is>
      </c>
      <c r="E3416" s="3" t="inlineStr">
        <is>
          <t>매매</t>
        </is>
      </c>
      <c r="F3416" s="4" t="n">
        <v>80000</v>
      </c>
      <c r="G3416" s="4" t="n">
        <v>664</v>
      </c>
      <c r="H3416" s="4" t="n">
        <v>201</v>
      </c>
      <c r="I3416" s="5" t="n">
        <v>398</v>
      </c>
      <c r="J3416" s="4" t="n">
        <v>95</v>
      </c>
      <c r="K3416" s="3" t="inlineStr">
        <is>
          <t>세종시 5생활권 스마트시티 300m 7,500세대 아파트 호재 중심</t>
        </is>
      </c>
      <c r="L3416" s="6">
        <f>HYPERLINK("https://fin.land.naver.com/articles/2648068490", "매물Link")</f>
        <v/>
      </c>
      <c r="M3416" s="6">
        <f>HYPERLINK("https://map.naver.com/p/search/세종특별자치시 연동면 내판리 365-5", "지도Link")</f>
        <v/>
      </c>
      <c r="N3416" s="6">
        <f>HYPERLINK("http://www.eum.go.kr/web/ar/lu/luLandDet.jsp?pnu=3611032021103650005&amp;isNoScr=script&amp;mode=search", "토지이음")</f>
        <v/>
      </c>
      <c r="O3416" s="3" t="inlineStr">
        <is>
          <t>찬스</t>
        </is>
      </c>
      <c r="P3416" s="3" t="n">
        <v>1</v>
      </c>
      <c r="Q3416" s="3" t="n">
        <v>473</v>
      </c>
      <c r="R3416" s="3" t="inlineStr">
        <is>
          <t>지정되지않음</t>
        </is>
      </c>
      <c r="S3416" s="3" t="inlineStr">
        <is>
          <t>주거나지</t>
        </is>
      </c>
      <c r="T3416" s="3" t="inlineStr">
        <is>
          <t>평지</t>
        </is>
      </c>
      <c r="U3416" s="3" t="inlineStr">
        <is>
          <t>사다리형</t>
        </is>
      </c>
      <c r="V3416" s="3" t="inlineStr">
        <is>
          <t>세로한면(가)</t>
        </is>
      </c>
    </row>
    <row r="3417">
      <c r="A3417" s="3" t="inlineStr">
        <is>
          <t>세종특별자치시 연동면 내판리 415</t>
        </is>
      </c>
      <c r="B3417" s="3" t="inlineStr">
        <is>
          <t>계획관리지역</t>
        </is>
      </c>
      <c r="C3417" s="3" t="inlineStr">
        <is>
          <t>전</t>
        </is>
      </c>
      <c r="D3417" s="3" t="inlineStr">
        <is>
          <t>전</t>
        </is>
      </c>
      <c r="E3417" s="3" t="inlineStr">
        <is>
          <t>매매</t>
        </is>
      </c>
      <c r="F3417" s="4" t="n">
        <v>59000</v>
      </c>
      <c r="G3417" s="4" t="n">
        <v>1636</v>
      </c>
      <c r="H3417" s="4" t="n">
        <v>495</v>
      </c>
      <c r="I3417" s="5" t="n">
        <v>119.2</v>
      </c>
      <c r="J3417" s="4" t="n">
        <v>52.7</v>
      </c>
      <c r="K3417" s="3" t="inlineStr">
        <is>
          <t>nan</t>
        </is>
      </c>
      <c r="L3417" s="6">
        <f>HYPERLINK("https://fin.land.naver.com/articles/2649336628", "매물Link")</f>
        <v/>
      </c>
      <c r="M3417" s="6">
        <f>HYPERLINK("https://map.naver.com/p/search/세종특별자치시 연동면 내판리 415", "지도Link")</f>
        <v/>
      </c>
      <c r="N3417" s="6">
        <f>HYPERLINK("http://www.eum.go.kr/web/ar/lu/luLandDet.jsp?pnu=3611032021104150000&amp;isNoScr=script&amp;mode=search", "토지이음")</f>
        <v/>
      </c>
      <c r="O3417" s="3" t="inlineStr">
        <is>
          <t>둔산가온</t>
        </is>
      </c>
      <c r="P3417" s="3" t="n">
        <v>1</v>
      </c>
      <c r="Q3417" s="3" t="n">
        <v>1636</v>
      </c>
      <c r="R3417" s="3" t="inlineStr">
        <is>
          <t>지정되지않음</t>
        </is>
      </c>
      <c r="S3417" s="3" t="inlineStr">
        <is>
          <t>전</t>
        </is>
      </c>
      <c r="T3417" s="3" t="inlineStr">
        <is>
          <t>완경사</t>
        </is>
      </c>
      <c r="U3417" s="3" t="inlineStr">
        <is>
          <t>부정형</t>
        </is>
      </c>
      <c r="V3417" s="3" t="inlineStr">
        <is>
          <t>맹지</t>
        </is>
      </c>
    </row>
    <row r="3418">
      <c r="A3418" s="3" t="inlineStr">
        <is>
          <t>세종특별자치시 연동면 내판리 418</t>
        </is>
      </c>
      <c r="B3418" s="3" t="inlineStr">
        <is>
          <t>계획관리지역</t>
        </is>
      </c>
      <c r="C3418" s="3" t="inlineStr">
        <is>
          <t>답</t>
        </is>
      </c>
      <c r="D3418" s="3" t="inlineStr">
        <is>
          <t>답</t>
        </is>
      </c>
      <c r="E3418" s="3" t="inlineStr">
        <is>
          <t>매매</t>
        </is>
      </c>
      <c r="F3418" s="4" t="n">
        <v>234600</v>
      </c>
      <c r="G3418" s="4" t="n">
        <v>2585</v>
      </c>
      <c r="H3418" s="4" t="n">
        <v>782</v>
      </c>
      <c r="I3418" s="5" t="n">
        <v>300</v>
      </c>
      <c r="J3418" s="4" t="n">
        <v>74.09999999999999</v>
      </c>
      <c r="K3418" s="3" t="inlineStr">
        <is>
          <t>투자와 실사용 모두 적합,인프라 근접</t>
        </is>
      </c>
      <c r="L3418" s="6">
        <f>HYPERLINK("https://fin.land.naver.com/articles/2644195985", "매물Link")</f>
        <v/>
      </c>
      <c r="M3418" s="6">
        <f>HYPERLINK("https://map.naver.com/p/search/세종특별자치시 연동면 내판리 418", "지도Link")</f>
        <v/>
      </c>
      <c r="N3418" s="6">
        <f>HYPERLINK("http://www.eum.go.kr/web/ar/lu/luLandDet.jsp?pnu=3611032021104180000&amp;isNoScr=script&amp;mode=search", "토지이음")</f>
        <v/>
      </c>
      <c r="O3418" s="3" t="inlineStr">
        <is>
          <t>가치잇는</t>
        </is>
      </c>
      <c r="P3418" s="3" t="n">
        <v>1</v>
      </c>
      <c r="Q3418" s="3" t="n">
        <v>2585</v>
      </c>
      <c r="R3418" s="3" t="inlineStr">
        <is>
          <t>지정되지않음</t>
        </is>
      </c>
      <c r="S3418" s="3" t="inlineStr">
        <is>
          <t>답</t>
        </is>
      </c>
      <c r="T3418" s="3" t="inlineStr">
        <is>
          <t>평지</t>
        </is>
      </c>
      <c r="U3418" s="3" t="inlineStr">
        <is>
          <t>부정형</t>
        </is>
      </c>
      <c r="V3418" s="3" t="inlineStr">
        <is>
          <t>세로각지(가)</t>
        </is>
      </c>
    </row>
    <row r="3419">
      <c r="A3419" s="3" t="inlineStr">
        <is>
          <t>세종특별자치시 연동면 내판리 419</t>
        </is>
      </c>
      <c r="B3419" s="3" t="inlineStr">
        <is>
          <t>계획관리지역</t>
        </is>
      </c>
      <c r="C3419" s="3" t="inlineStr">
        <is>
          <t>답</t>
        </is>
      </c>
      <c r="D3419" s="3" t="inlineStr">
        <is>
          <t>답</t>
        </is>
      </c>
      <c r="E3419" s="3" t="inlineStr">
        <is>
          <t>매매</t>
        </is>
      </c>
      <c r="F3419" s="4" t="n">
        <v>115500</v>
      </c>
      <c r="G3419" s="4" t="n">
        <v>1273</v>
      </c>
      <c r="H3419" s="4" t="n">
        <v>385</v>
      </c>
      <c r="I3419" s="5" t="n">
        <v>300</v>
      </c>
      <c r="J3419" s="4" t="n">
        <v>63.7</v>
      </c>
      <c r="K3419" s="3" t="inlineStr">
        <is>
          <t>세종 생활권 가까워 투자가치와 활용도 높은 토지</t>
        </is>
      </c>
      <c r="L3419" s="6">
        <f>HYPERLINK("https://fin.land.naver.com/articles/2644196484", "매물Link")</f>
        <v/>
      </c>
      <c r="M3419" s="6">
        <f>HYPERLINK("https://map.naver.com/p/search/세종특별자치시 연동면 내판리 419", "지도Link")</f>
        <v/>
      </c>
      <c r="N3419" s="6">
        <f>HYPERLINK("http://www.eum.go.kr/web/ar/lu/luLandDet.jsp?pnu=3611032021104190000&amp;isNoScr=script&amp;mode=search", "토지이음")</f>
        <v/>
      </c>
      <c r="O3419" s="3" t="inlineStr">
        <is>
          <t>가치잇는</t>
        </is>
      </c>
      <c r="P3419" s="3" t="n">
        <v>1</v>
      </c>
      <c r="Q3419" s="3" t="n">
        <v>1273</v>
      </c>
      <c r="R3419" s="3" t="inlineStr">
        <is>
          <t>지정되지않음</t>
        </is>
      </c>
      <c r="S3419" s="3" t="inlineStr">
        <is>
          <t>답</t>
        </is>
      </c>
      <c r="T3419" s="3" t="inlineStr">
        <is>
          <t>평지</t>
        </is>
      </c>
      <c r="U3419" s="3" t="inlineStr">
        <is>
          <t>부정형</t>
        </is>
      </c>
      <c r="V3419" s="3" t="inlineStr">
        <is>
          <t>세로한면(불)</t>
        </is>
      </c>
    </row>
    <row r="3420">
      <c r="A3420" s="3" t="inlineStr">
        <is>
          <t>세종특별자치시 연동면 내판리 420</t>
        </is>
      </c>
      <c r="B3420" s="3" t="inlineStr">
        <is>
          <t>계획관리지역</t>
        </is>
      </c>
      <c r="C3420" s="3" t="inlineStr">
        <is>
          <t>답</t>
        </is>
      </c>
      <c r="D3420" s="3" t="inlineStr">
        <is>
          <t>답</t>
        </is>
      </c>
      <c r="E3420" s="3" t="inlineStr">
        <is>
          <t>매매</t>
        </is>
      </c>
      <c r="F3420" s="4" t="n">
        <v>216000</v>
      </c>
      <c r="G3420" s="4" t="n">
        <v>2380</v>
      </c>
      <c r="H3420" s="4" t="n">
        <v>720</v>
      </c>
      <c r="I3420" s="5" t="n">
        <v>300</v>
      </c>
      <c r="J3420" s="4" t="n">
        <v>60.3</v>
      </c>
      <c r="K3420" s="3" t="inlineStr">
        <is>
          <t>계획관리지역으로 가치상승 기대,안정적인 투자처</t>
        </is>
      </c>
      <c r="L3420" s="6">
        <f>HYPERLINK("https://fin.land.naver.com/articles/2644795251", "매물Link")</f>
        <v/>
      </c>
      <c r="M3420" s="6">
        <f>HYPERLINK("https://map.naver.com/p/search/세종특별자치시 연동면 내판리 420", "지도Link")</f>
        <v/>
      </c>
      <c r="N3420" s="6">
        <f>HYPERLINK("http://www.eum.go.kr/web/ar/lu/luLandDet.jsp?pnu=3611032021104200000&amp;isNoScr=script&amp;mode=search", "토지이음")</f>
        <v/>
      </c>
      <c r="O3420" s="3" t="inlineStr">
        <is>
          <t>가치잇는</t>
        </is>
      </c>
      <c r="P3420" s="3" t="n">
        <v>1</v>
      </c>
      <c r="Q3420" s="3" t="n">
        <v>2380</v>
      </c>
      <c r="R3420" s="3" t="inlineStr">
        <is>
          <t>지정되지않음</t>
        </is>
      </c>
      <c r="S3420" s="3" t="inlineStr">
        <is>
          <t>답</t>
        </is>
      </c>
      <c r="T3420" s="3" t="inlineStr">
        <is>
          <t>완경사</t>
        </is>
      </c>
      <c r="U3420" s="3" t="inlineStr">
        <is>
          <t>부정형</t>
        </is>
      </c>
      <c r="V3420" s="3" t="inlineStr">
        <is>
          <t>세로한면(가)</t>
        </is>
      </c>
    </row>
    <row r="3421">
      <c r="A3421" s="3" t="inlineStr">
        <is>
          <t>세종특별자치시 연동면 내판리 422</t>
        </is>
      </c>
      <c r="B3421" s="3" t="inlineStr">
        <is>
          <t>계획관리지역</t>
        </is>
      </c>
      <c r="C3421" s="3" t="inlineStr">
        <is>
          <t>답</t>
        </is>
      </c>
      <c r="D3421" s="3" t="inlineStr">
        <is>
          <t>답</t>
        </is>
      </c>
      <c r="E3421" s="3" t="inlineStr">
        <is>
          <t>매매</t>
        </is>
      </c>
      <c r="F3421" s="4" t="n">
        <v>169000</v>
      </c>
      <c r="G3421" s="4" t="n">
        <v>1603</v>
      </c>
      <c r="H3421" s="4" t="n">
        <v>485</v>
      </c>
      <c r="I3421" s="5" t="n">
        <v>348.5</v>
      </c>
      <c r="J3421" s="4" t="n">
        <v>60.3</v>
      </c>
      <c r="K3421" s="3" t="inlineStr">
        <is>
          <t>내판리 도로변 계획관리지역 답</t>
        </is>
      </c>
      <c r="L3421" s="6">
        <f>HYPERLINK("https://fin.land.naver.com/articles/2644966966", "매물Link")</f>
        <v/>
      </c>
      <c r="M3421" s="6">
        <f>HYPERLINK("https://map.naver.com/p/search/세종특별자치시 연동면 내판리 422", "지도Link")</f>
        <v/>
      </c>
      <c r="N3421" s="6">
        <f>HYPERLINK("http://www.eum.go.kr/web/ar/lu/luLandDet.jsp?pnu=3611032021104220000&amp;isNoScr=script&amp;mode=search", "토지이음")</f>
        <v/>
      </c>
      <c r="O3421" s="3" t="inlineStr">
        <is>
          <t>세종천지</t>
        </is>
      </c>
      <c r="P3421" s="3" t="n">
        <v>1</v>
      </c>
      <c r="Q3421" s="3" t="n">
        <v>1603</v>
      </c>
      <c r="R3421" s="3" t="inlineStr">
        <is>
          <t>지정되지않음</t>
        </is>
      </c>
      <c r="S3421" s="3" t="inlineStr">
        <is>
          <t>답</t>
        </is>
      </c>
      <c r="T3421" s="3" t="inlineStr">
        <is>
          <t>완경사</t>
        </is>
      </c>
      <c r="U3421" s="3" t="inlineStr">
        <is>
          <t>부정형</t>
        </is>
      </c>
      <c r="V3421" s="3" t="inlineStr">
        <is>
          <t>세로한면(가)</t>
        </is>
      </c>
    </row>
    <row r="3422">
      <c r="A3422" s="3" t="inlineStr">
        <is>
          <t>세종특별자치시 연동면 내판리 50-3</t>
        </is>
      </c>
      <c r="B3422" s="3" t="inlineStr">
        <is>
          <t>계획관리지역</t>
        </is>
      </c>
      <c r="C3422" s="3" t="inlineStr">
        <is>
          <t>전</t>
        </is>
      </c>
      <c r="D3422" s="3" t="inlineStr">
        <is>
          <t>전</t>
        </is>
      </c>
      <c r="E3422" s="3" t="inlineStr">
        <is>
          <t>매매</t>
        </is>
      </c>
      <c r="F3422" s="4" t="n">
        <v>180000</v>
      </c>
      <c r="G3422" s="4" t="n">
        <v>2406</v>
      </c>
      <c r="H3422" s="4" t="n">
        <v>728</v>
      </c>
      <c r="I3422" s="5" t="n">
        <v>247.3</v>
      </c>
      <c r="J3422" s="4" t="n">
        <v>76.5</v>
      </c>
      <c r="K3422" s="3" t="inlineStr">
        <is>
          <t>2차선 도로에 접해있는 계획관리 농지</t>
        </is>
      </c>
      <c r="L3422" s="6">
        <f>HYPERLINK("https://fin.land.naver.com/articles/2648780268", "매물Link")</f>
        <v/>
      </c>
      <c r="M3422" s="6">
        <f>HYPERLINK("https://map.naver.com/p/search/세종특별자치시 연동면 내판리 50-3", "지도Link")</f>
        <v/>
      </c>
      <c r="N3422" s="6">
        <f>HYPERLINK("http://www.eum.go.kr/web/ar/lu/luLandDet.jsp?pnu=3611032021100500003&amp;isNoScr=script&amp;mode=search", "토지이음")</f>
        <v/>
      </c>
      <c r="O3422" s="3" t="inlineStr">
        <is>
          <t>오송랜드</t>
        </is>
      </c>
      <c r="P3422" s="3" t="n">
        <v>1</v>
      </c>
      <c r="Q3422" s="3" t="n">
        <v>1188</v>
      </c>
      <c r="R3422" s="3" t="inlineStr">
        <is>
          <t>지정되지않음</t>
        </is>
      </c>
      <c r="S3422" s="3" t="inlineStr">
        <is>
          <t>전</t>
        </is>
      </c>
      <c r="T3422" s="3" t="inlineStr">
        <is>
          <t>평지</t>
        </is>
      </c>
      <c r="U3422" s="3" t="inlineStr">
        <is>
          <t>사다리형</t>
        </is>
      </c>
      <c r="V3422" s="3" t="inlineStr">
        <is>
          <t>세로한면(가)</t>
        </is>
      </c>
    </row>
    <row r="3423">
      <c r="A3423" s="3" t="inlineStr">
        <is>
          <t>세종특별자치시 연동면 내판리 556</t>
        </is>
      </c>
      <c r="B3423" s="3" t="inlineStr">
        <is>
          <t>생산관리지역</t>
        </is>
      </c>
      <c r="C3423" s="3" t="inlineStr">
        <is>
          <t>답</t>
        </is>
      </c>
      <c r="D3423" s="3" t="inlineStr">
        <is>
          <t>답</t>
        </is>
      </c>
      <c r="E3423" s="3" t="inlineStr">
        <is>
          <t>매매</t>
        </is>
      </c>
      <c r="F3423" s="4" t="n">
        <v>80000</v>
      </c>
      <c r="G3423" s="4" t="n">
        <v>2733</v>
      </c>
      <c r="H3423" s="4" t="n">
        <v>827</v>
      </c>
      <c r="I3423" s="5" t="n">
        <v>96.7</v>
      </c>
      <c r="J3423" s="4" t="n">
        <v>71.2</v>
      </c>
      <c r="K3423" s="3" t="inlineStr">
        <is>
          <t>nan</t>
        </is>
      </c>
      <c r="L3423" s="6">
        <f>HYPERLINK("https://fin.land.naver.com/articles/2645360270", "매물Link")</f>
        <v/>
      </c>
      <c r="M3423" s="6">
        <f>HYPERLINK("https://map.naver.com/p/search/세종특별자치시 연동면 내판리 556", "지도Link")</f>
        <v/>
      </c>
      <c r="N3423" s="6">
        <f>HYPERLINK("http://www.eum.go.kr/web/ar/lu/luLandDet.jsp?pnu=3611032021105560000&amp;isNoScr=script&amp;mode=search", "토지이음")</f>
        <v/>
      </c>
      <c r="O3423" s="3" t="inlineStr">
        <is>
          <t>세종땅전문</t>
        </is>
      </c>
      <c r="P3423" s="3" t="n">
        <v>1</v>
      </c>
      <c r="Q3423" s="3" t="n">
        <v>2169</v>
      </c>
      <c r="R3423" s="3" t="inlineStr">
        <is>
          <t>지정되지않음</t>
        </is>
      </c>
      <c r="S3423" s="3" t="inlineStr">
        <is>
          <t>답</t>
        </is>
      </c>
      <c r="T3423" s="3" t="inlineStr">
        <is>
          <t>평지</t>
        </is>
      </c>
      <c r="U3423" s="3" t="inlineStr">
        <is>
          <t>부정형</t>
        </is>
      </c>
      <c r="V3423" s="3" t="inlineStr">
        <is>
          <t>세로한면(가)</t>
        </is>
      </c>
    </row>
    <row r="3424">
      <c r="A3424" s="3" t="inlineStr">
        <is>
          <t>세종특별자치시 연동면 내판리 572-1</t>
        </is>
      </c>
      <c r="B3424" s="3" t="inlineStr">
        <is>
          <t>계획관리지역</t>
        </is>
      </c>
      <c r="C3424" s="3" t="inlineStr">
        <is>
          <t>전</t>
        </is>
      </c>
      <c r="D3424" s="3" t="inlineStr">
        <is>
          <t>전</t>
        </is>
      </c>
      <c r="E3424" s="3" t="inlineStr">
        <is>
          <t>매매</t>
        </is>
      </c>
      <c r="F3424" s="4" t="n">
        <v>12000</v>
      </c>
      <c r="G3424" s="4" t="n">
        <v>97</v>
      </c>
      <c r="H3424" s="4" t="n">
        <v>29</v>
      </c>
      <c r="I3424" s="5" t="n">
        <v>413.8</v>
      </c>
      <c r="J3424" s="4" t="n">
        <v>63.2</v>
      </c>
      <c r="K3424" s="3" t="inlineStr">
        <is>
          <t>세종시5생활권주변지역 위치좋은 매물</t>
        </is>
      </c>
      <c r="L3424" s="6">
        <f>HYPERLINK("https://fin.land.naver.com/articles/2647918059", "매물Link")</f>
        <v/>
      </c>
      <c r="M3424" s="6">
        <f>HYPERLINK("https://map.naver.com/p/search/세종특별자치시 연동면 내판리 572-1", "지도Link")</f>
        <v/>
      </c>
      <c r="N3424" s="6">
        <f>HYPERLINK("http://www.eum.go.kr/web/ar/lu/luLandDet.jsp?pnu=3611032021105720001&amp;isNoScr=script&amp;mode=search", "토지이음")</f>
        <v/>
      </c>
      <c r="O3424" s="3" t="inlineStr">
        <is>
          <t>대박</t>
        </is>
      </c>
      <c r="P3424" s="3" t="n">
        <v>1</v>
      </c>
      <c r="Q3424" s="3" t="n">
        <v>97</v>
      </c>
      <c r="R3424" s="3" t="inlineStr">
        <is>
          <t>지정되지않음</t>
        </is>
      </c>
      <c r="S3424" s="3" t="inlineStr">
        <is>
          <t>답</t>
        </is>
      </c>
      <c r="T3424" s="3" t="inlineStr">
        <is>
          <t>평지</t>
        </is>
      </c>
      <c r="U3424" s="3" t="inlineStr">
        <is>
          <t>부정형</t>
        </is>
      </c>
      <c r="V3424" s="3" t="inlineStr">
        <is>
          <t>세로한면(가)</t>
        </is>
      </c>
    </row>
    <row r="3425">
      <c r="A3425" s="3" t="inlineStr">
        <is>
          <t>세종특별자치시 연동면 내판리 63-1</t>
        </is>
      </c>
      <c r="B3425" s="3" t="inlineStr">
        <is>
          <t>계획관리지역</t>
        </is>
      </c>
      <c r="C3425" s="3" t="inlineStr">
        <is>
          <t>답</t>
        </is>
      </c>
      <c r="D3425" s="3" t="inlineStr">
        <is>
          <t>답</t>
        </is>
      </c>
      <c r="E3425" s="3" t="inlineStr">
        <is>
          <t>매매</t>
        </is>
      </c>
      <c r="F3425" s="4" t="n">
        <v>60000</v>
      </c>
      <c r="G3425" s="4" t="n">
        <v>640</v>
      </c>
      <c r="H3425" s="4" t="n">
        <v>194</v>
      </c>
      <c r="I3425" s="5" t="n">
        <v>309.3</v>
      </c>
      <c r="J3425" s="4" t="n">
        <v>71.5</v>
      </c>
      <c r="K3425" s="3" t="inlineStr">
        <is>
          <t>농업용창고있음.도로에 접해있는 땅으로 접근성 좋습니다.</t>
        </is>
      </c>
      <c r="L3425" s="6">
        <f>HYPERLINK("https://fin.land.naver.com/articles/2645026792", "매물Link")</f>
        <v/>
      </c>
      <c r="M3425" s="6">
        <f>HYPERLINK("https://map.naver.com/p/search/세종특별자치시 연동면 내판리 63-1", "지도Link")</f>
        <v/>
      </c>
      <c r="N3425" s="6">
        <f>HYPERLINK("http://www.eum.go.kr/web/ar/lu/luLandDet.jsp?pnu=3611032021100630001&amp;isNoScr=script&amp;mode=search", "토지이음")</f>
        <v/>
      </c>
      <c r="O3425" s="3" t="inlineStr">
        <is>
          <t>복수자이</t>
        </is>
      </c>
      <c r="P3425" s="3" t="n">
        <v>1</v>
      </c>
      <c r="Q3425" s="3" t="n">
        <v>640</v>
      </c>
      <c r="R3425" s="3" t="inlineStr">
        <is>
          <t>지정되지않음</t>
        </is>
      </c>
      <c r="S3425" s="3" t="inlineStr">
        <is>
          <t>답기타</t>
        </is>
      </c>
      <c r="T3425" s="3" t="inlineStr">
        <is>
          <t>완경사</t>
        </is>
      </c>
      <c r="U3425" s="3" t="inlineStr">
        <is>
          <t>부정형</t>
        </is>
      </c>
      <c r="V3425" s="3" t="inlineStr">
        <is>
          <t>소로한면</t>
        </is>
      </c>
    </row>
    <row r="3426">
      <c r="A3426" s="3" t="inlineStr">
        <is>
          <t>세종특별자치시 연동면 내판리 64-1</t>
        </is>
      </c>
      <c r="B3426" s="3" t="inlineStr">
        <is>
          <t>계획관리지역</t>
        </is>
      </c>
      <c r="C3426" s="3" t="inlineStr">
        <is>
          <t>답</t>
        </is>
      </c>
      <c r="D3426" s="3" t="inlineStr">
        <is>
          <t>답</t>
        </is>
      </c>
      <c r="E3426" s="3" t="inlineStr">
        <is>
          <t>매매</t>
        </is>
      </c>
      <c r="F3426" s="4" t="n">
        <v>88000</v>
      </c>
      <c r="G3426" s="4" t="n">
        <v>1167</v>
      </c>
      <c r="H3426" s="4" t="n">
        <v>353</v>
      </c>
      <c r="I3426" s="5" t="n">
        <v>249.3</v>
      </c>
      <c r="J3426" s="4" t="n">
        <v>83.3</v>
      </c>
      <c r="K3426" s="3" t="inlineStr">
        <is>
          <t>급매, 계획관리지역,성장관리계획구역 도로접</t>
        </is>
      </c>
      <c r="L3426" s="6">
        <f>HYPERLINK("https://fin.land.naver.com/articles/2646558474", "매물Link")</f>
        <v/>
      </c>
      <c r="M3426" s="6">
        <f>HYPERLINK("https://map.naver.com/p/search/세종특별자치시 연동면 내판리 64-1", "지도Link")</f>
        <v/>
      </c>
      <c r="N3426" s="6">
        <f>HYPERLINK("http://www.eum.go.kr/web/ar/lu/luLandDet.jsp?pnu=3611032021100640001&amp;isNoScr=script&amp;mode=search", "토지이음")</f>
        <v/>
      </c>
      <c r="O3426" s="3" t="inlineStr">
        <is>
          <t>굿모닝한라</t>
        </is>
      </c>
      <c r="P3426" s="3" t="n">
        <v>1</v>
      </c>
      <c r="Q3426" s="3" t="n">
        <v>1167</v>
      </c>
      <c r="R3426" s="3" t="inlineStr">
        <is>
          <t>지정되지않음</t>
        </is>
      </c>
      <c r="S3426" s="3" t="inlineStr">
        <is>
          <t>답</t>
        </is>
      </c>
      <c r="T3426" s="3" t="inlineStr">
        <is>
          <t>평지</t>
        </is>
      </c>
      <c r="U3426" s="3" t="inlineStr">
        <is>
          <t>부정형</t>
        </is>
      </c>
      <c r="V3426" s="3" t="inlineStr">
        <is>
          <t>소로한면</t>
        </is>
      </c>
    </row>
    <row r="3427">
      <c r="A3427" s="3" t="inlineStr">
        <is>
          <t>세종특별자치시 연동면 내판리 65-1</t>
        </is>
      </c>
      <c r="B3427" s="3" t="inlineStr">
        <is>
          <t>계획관리지역</t>
        </is>
      </c>
      <c r="C3427" s="3" t="inlineStr">
        <is>
          <t>답</t>
        </is>
      </c>
      <c r="D3427" s="3" t="inlineStr">
        <is>
          <t>답</t>
        </is>
      </c>
      <c r="E3427" s="3" t="inlineStr">
        <is>
          <t>매매</t>
        </is>
      </c>
      <c r="F3427" s="4" t="n">
        <v>280000</v>
      </c>
      <c r="G3427" s="4" t="n">
        <v>1428</v>
      </c>
      <c r="H3427" s="4" t="n">
        <v>432</v>
      </c>
      <c r="I3427" s="5" t="n">
        <v>648.1</v>
      </c>
      <c r="J3427" s="4" t="n">
        <v>83.3</v>
      </c>
      <c r="K3427" s="3" t="inlineStr">
        <is>
          <t>세종5생활권 2차도로 접도 계획관리 토지 매매</t>
        </is>
      </c>
      <c r="L3427" s="6">
        <f>HYPERLINK("https://fin.land.naver.com/articles/2649688971", "매물Link")</f>
        <v/>
      </c>
      <c r="M3427" s="6">
        <f>HYPERLINK("https://map.naver.com/p/search/세종특별자치시 연동면 내판리 65-1", "지도Link")</f>
        <v/>
      </c>
      <c r="N3427" s="6">
        <f>HYPERLINK("http://www.eum.go.kr/web/ar/lu/luLandDet.jsp?pnu=3611032021100650001&amp;isNoScr=script&amp;mode=search", "토지이음")</f>
        <v/>
      </c>
      <c r="O3427" s="3" t="inlineStr">
        <is>
          <t>행운</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세종특별자치시 연동면 내판리 65-1</t>
        </is>
      </c>
      <c r="B3428" s="3" t="inlineStr">
        <is>
          <t>계획관리지역</t>
        </is>
      </c>
      <c r="C3428" s="3" t="inlineStr">
        <is>
          <t>답</t>
        </is>
      </c>
      <c r="D3428" s="3" t="inlineStr">
        <is>
          <t>답</t>
        </is>
      </c>
      <c r="E3428" s="3" t="inlineStr">
        <is>
          <t>매매</t>
        </is>
      </c>
      <c r="F3428" s="4" t="n">
        <v>149000</v>
      </c>
      <c r="G3428" s="4" t="n">
        <v>2635</v>
      </c>
      <c r="H3428" s="4" t="n">
        <v>797</v>
      </c>
      <c r="I3428" s="5" t="n">
        <v>187</v>
      </c>
      <c r="J3428" s="4" t="n">
        <v>83.3</v>
      </c>
      <c r="K3428" s="3" t="inlineStr">
        <is>
          <t>급매,계획관리구역,성장관리계획구역</t>
        </is>
      </c>
      <c r="L3428" s="6">
        <f>HYPERLINK("https://fin.land.naver.com/articles/2646558266", "매물Link")</f>
        <v/>
      </c>
      <c r="M3428" s="6">
        <f>HYPERLINK("https://map.naver.com/p/search/세종특별자치시 연동면 내판리 65-1", "지도Link")</f>
        <v/>
      </c>
      <c r="N3428" s="6">
        <f>HYPERLINK("http://www.eum.go.kr/web/ar/lu/luLandDet.jsp?pnu=3611032021100650001&amp;isNoScr=script&amp;mode=search", "토지이음")</f>
        <v/>
      </c>
      <c r="O3428" s="3" t="inlineStr">
        <is>
          <t>굿모닝한라</t>
        </is>
      </c>
      <c r="P3428" s="3" t="n">
        <v>1</v>
      </c>
      <c r="Q3428" s="3" t="n">
        <v>1468</v>
      </c>
      <c r="R3428" s="3" t="inlineStr">
        <is>
          <t>지정되지않음</t>
        </is>
      </c>
      <c r="S3428" s="3" t="inlineStr">
        <is>
          <t>답</t>
        </is>
      </c>
      <c r="T3428" s="3" t="inlineStr">
        <is>
          <t>평지</t>
        </is>
      </c>
      <c r="U3428" s="3" t="inlineStr">
        <is>
          <t>부정형</t>
        </is>
      </c>
      <c r="V3428" s="3" t="inlineStr">
        <is>
          <t>소로한면</t>
        </is>
      </c>
    </row>
    <row r="3429">
      <c r="A3429" s="3" t="inlineStr">
        <is>
          <t>세종특별자치시 연동면 내판리 산2</t>
        </is>
      </c>
      <c r="B3429" s="3" t="inlineStr">
        <is>
          <t>계획관리지역</t>
        </is>
      </c>
      <c r="C3429" s="3" t="inlineStr">
        <is>
          <t>임야</t>
        </is>
      </c>
      <c r="D3429" s="3" t="inlineStr">
        <is>
          <t>임야</t>
        </is>
      </c>
      <c r="E3429" s="3" t="inlineStr">
        <is>
          <t>매매</t>
        </is>
      </c>
      <c r="F3429" s="4" t="n">
        <v>100000</v>
      </c>
      <c r="G3429" s="4" t="n">
        <v>1587</v>
      </c>
      <c r="H3429" s="4" t="n">
        <v>480</v>
      </c>
      <c r="I3429" s="5" t="n">
        <v>208.3</v>
      </c>
      <c r="J3429" s="4" t="n">
        <v>36.2</v>
      </c>
      <c r="K3429" s="3" t="inlineStr">
        <is>
          <t>계획관리,도시계획도로접,지구단위계획구역,땅모양좋음,조정가</t>
        </is>
      </c>
      <c r="L3429" s="6">
        <f>HYPERLINK("https://fin.land.naver.com/articles/2644664827", "매물Link")</f>
        <v/>
      </c>
      <c r="M3429" s="6">
        <f>HYPERLINK("https://map.naver.com/p/search/세종특별자치시 연동면 내판리 산2", "지도Link")</f>
        <v/>
      </c>
      <c r="N3429" s="6">
        <f>HYPERLINK("http://www.eum.go.kr/web/ar/lu/luLandDet.jsp?pnu=3611032021200020000&amp;isNoScr=script&amp;mode=search", "토지이음")</f>
        <v/>
      </c>
      <c r="O3429" s="3" t="inlineStr">
        <is>
          <t>힐스테이트행복</t>
        </is>
      </c>
      <c r="P3429" s="3" t="n">
        <v>1</v>
      </c>
      <c r="Q3429" s="3" t="n">
        <v>1587</v>
      </c>
      <c r="R3429" s="3" t="inlineStr">
        <is>
          <t>지정되지않음</t>
        </is>
      </c>
      <c r="S3429" s="3" t="inlineStr">
        <is>
          <t>자연림</t>
        </is>
      </c>
      <c r="T3429" s="3" t="inlineStr">
        <is>
          <t>완경사</t>
        </is>
      </c>
      <c r="U3429" s="3" t="inlineStr">
        <is>
          <t>가로장방</t>
        </is>
      </c>
      <c r="V3429" s="3" t="inlineStr">
        <is>
          <t>세로각지(가)</t>
        </is>
      </c>
    </row>
    <row r="3430">
      <c r="A3430" s="3" t="inlineStr">
        <is>
          <t>세종특별자치시 연동면 노송리 12</t>
        </is>
      </c>
      <c r="B3430" s="3" t="inlineStr">
        <is>
          <t>계획관리지역</t>
        </is>
      </c>
      <c r="C3430" s="3" t="inlineStr">
        <is>
          <t>전</t>
        </is>
      </c>
      <c r="D3430" s="3" t="inlineStr">
        <is>
          <t>전</t>
        </is>
      </c>
      <c r="E3430" s="3" t="inlineStr">
        <is>
          <t>매매</t>
        </is>
      </c>
      <c r="F3430" s="4" t="n">
        <v>70000</v>
      </c>
      <c r="G3430" s="4" t="n">
        <v>3325</v>
      </c>
      <c r="H3430" s="4" t="n">
        <v>1006</v>
      </c>
      <c r="I3430" s="5" t="n">
        <v>69.59999999999999</v>
      </c>
      <c r="J3430" s="4" t="n">
        <v>36</v>
      </c>
      <c r="K3430" s="3" t="inlineStr">
        <is>
          <t>한적한 곳에 위치한 전원주택부지용 토지</t>
        </is>
      </c>
      <c r="L3430" s="6">
        <f>HYPERLINK("https://fin.land.naver.com/articles/2645609459", "매물Link")</f>
        <v/>
      </c>
      <c r="M3430" s="6">
        <f>HYPERLINK("https://map.naver.com/p/search/세종특별자치시 연동면 노송리 12", "지도Link")</f>
        <v/>
      </c>
      <c r="N3430" s="6">
        <f>HYPERLINK("http://www.eum.go.kr/web/ar/lu/luLandDet.jsp?pnu=3611032025100120000&amp;isNoScr=script&amp;mode=search", "토지이음")</f>
        <v/>
      </c>
      <c r="O3430" s="3" t="inlineStr">
        <is>
          <t>청담</t>
        </is>
      </c>
      <c r="P3430" s="3" t="n">
        <v>1</v>
      </c>
      <c r="Q3430" s="3" t="n">
        <v>846</v>
      </c>
      <c r="R3430" s="3" t="inlineStr">
        <is>
          <t>지정되지않음</t>
        </is>
      </c>
      <c r="S3430" s="3" t="inlineStr">
        <is>
          <t>전</t>
        </is>
      </c>
      <c r="T3430" s="3" t="inlineStr">
        <is>
          <t>완경사</t>
        </is>
      </c>
      <c r="U3430" s="3" t="inlineStr">
        <is>
          <t>부정형</t>
        </is>
      </c>
      <c r="V3430" s="3" t="inlineStr">
        <is>
          <t>세로한면(가)</t>
        </is>
      </c>
    </row>
    <row r="3431">
      <c r="A3431" s="3" t="inlineStr">
        <is>
          <t>세종특별자치시 연동면 노송리 221</t>
        </is>
      </c>
      <c r="B3431" s="3" t="inlineStr">
        <is>
          <t>계획관리지역</t>
        </is>
      </c>
      <c r="C3431" s="3" t="inlineStr"/>
      <c r="D3431" s="3" t="inlineStr">
        <is>
          <t>과수원</t>
        </is>
      </c>
      <c r="E3431" s="3" t="inlineStr">
        <is>
          <t>매매</t>
        </is>
      </c>
      <c r="F3431" s="4" t="n">
        <v>86000</v>
      </c>
      <c r="G3431" s="4" t="n">
        <v>2364</v>
      </c>
      <c r="H3431" s="4" t="n">
        <v>715</v>
      </c>
      <c r="I3431" s="5" t="n">
        <v>120.3</v>
      </c>
      <c r="J3431" s="4" t="n">
        <v>39.5</v>
      </c>
      <c r="K3431" s="3" t="inlineStr">
        <is>
          <t>연동면 노송리 저렴한 계획관리 토지, 도로접, 투자 추천</t>
        </is>
      </c>
      <c r="L3431" s="6">
        <f>HYPERLINK("https://fin.land.naver.com/articles/2646421693", "매물Link")</f>
        <v/>
      </c>
      <c r="M3431" s="6">
        <f>HYPERLINK("https://map.naver.com/p/search/세종특별자치시 연동면 노송리 221", "지도Link")</f>
        <v/>
      </c>
      <c r="N3431" s="6">
        <f>HYPERLINK("http://www.eum.go.kr/web/ar/lu/luLandDet.jsp?pnu=3611032025102210000&amp;isNoScr=script&amp;mode=search", "토지이음")</f>
        <v/>
      </c>
      <c r="O3431" s="3" t="inlineStr">
        <is>
          <t>스카이</t>
        </is>
      </c>
      <c r="P3431" s="3" t="n">
        <v>1</v>
      </c>
      <c r="Q3431" s="3" t="n">
        <v>0</v>
      </c>
      <c r="R3431" s="3" t="inlineStr">
        <is>
          <t>지정되지않음</t>
        </is>
      </c>
      <c r="S3431" s="3" t="inlineStr">
        <is>
          <t>과수원</t>
        </is>
      </c>
      <c r="T3431" s="3" t="inlineStr">
        <is>
          <t>완경사</t>
        </is>
      </c>
      <c r="U3431" s="3" t="inlineStr">
        <is>
          <t>부정형</t>
        </is>
      </c>
      <c r="V3431" s="3" t="inlineStr">
        <is>
          <t>세로한면(가)</t>
        </is>
      </c>
    </row>
    <row r="3432">
      <c r="A3432" s="3" t="inlineStr">
        <is>
          <t>세종특별자치시 연동면 노송리 234-1</t>
        </is>
      </c>
      <c r="B3432" s="3" t="inlineStr">
        <is>
          <t>계획관리지역</t>
        </is>
      </c>
      <c r="C3432" s="3" t="inlineStr">
        <is>
          <t>대</t>
        </is>
      </c>
      <c r="D3432" s="3" t="inlineStr">
        <is>
          <t>대</t>
        </is>
      </c>
      <c r="E3432" s="3" t="inlineStr">
        <is>
          <t>매매</t>
        </is>
      </c>
      <c r="F3432" s="4" t="n">
        <v>17800</v>
      </c>
      <c r="G3432" s="4" t="n">
        <v>283</v>
      </c>
      <c r="H3432" s="4" t="n">
        <v>86</v>
      </c>
      <c r="I3432" s="5" t="n">
        <v>207</v>
      </c>
      <c r="J3432" s="4" t="n">
        <v>73.40000000000001</v>
      </c>
      <c r="K3432" s="3" t="inlineStr">
        <is>
          <t>nan</t>
        </is>
      </c>
      <c r="L3432" s="6">
        <f>HYPERLINK("https://fin.land.naver.com/articles/2647747743", "매물Link")</f>
        <v/>
      </c>
      <c r="M3432" s="6">
        <f>HYPERLINK("https://map.naver.com/p/search/세종특별자치시 연동면 노송리 234-1", "지도Link")</f>
        <v/>
      </c>
      <c r="N3432" s="6">
        <f>HYPERLINK("http://www.eum.go.kr/web/ar/lu/luLandDet.jsp?pnu=3611032025102340001&amp;isNoScr=script&amp;mode=search", "토지이음")</f>
        <v/>
      </c>
      <c r="O3432" s="3" t="inlineStr">
        <is>
          <t>다산</t>
        </is>
      </c>
      <c r="P3432" s="3" t="n">
        <v>2</v>
      </c>
      <c r="Q3432" s="3" t="n">
        <v>283</v>
      </c>
      <c r="R3432" s="3" t="inlineStr">
        <is>
          <t>지정되지않음</t>
        </is>
      </c>
      <c r="S3432" s="3" t="inlineStr">
        <is>
          <t>단독</t>
        </is>
      </c>
      <c r="T3432" s="3" t="inlineStr">
        <is>
          <t>평지</t>
        </is>
      </c>
      <c r="U3432" s="3" t="inlineStr">
        <is>
          <t>사다리형</t>
        </is>
      </c>
      <c r="V3432" s="3" t="inlineStr">
        <is>
          <t>세로한면(가)</t>
        </is>
      </c>
    </row>
    <row r="3433">
      <c r="A3433" s="3" t="inlineStr">
        <is>
          <t>세종특별자치시 연동면 노송리 24</t>
        </is>
      </c>
      <c r="B3433" s="3" t="inlineStr">
        <is>
          <t>계획관리지역</t>
        </is>
      </c>
      <c r="C3433" s="3" t="inlineStr">
        <is>
          <t>대</t>
        </is>
      </c>
      <c r="D3433" s="3" t="inlineStr">
        <is>
          <t>대</t>
        </is>
      </c>
      <c r="E3433" s="3" t="inlineStr">
        <is>
          <t>매매</t>
        </is>
      </c>
      <c r="F3433" s="4" t="n">
        <v>12600</v>
      </c>
      <c r="G3433" s="4" t="n">
        <v>417</v>
      </c>
      <c r="H3433" s="4" t="n">
        <v>126</v>
      </c>
      <c r="I3433" s="5" t="n">
        <v>100</v>
      </c>
      <c r="J3433" s="4" t="n">
        <v>65</v>
      </c>
      <c r="K3433" s="3" t="inlineStr">
        <is>
          <t>지대가 높아 남향으로 집을 지으면 조망이 좋은 계획관리지역의 대지입니다</t>
        </is>
      </c>
      <c r="L3433" s="6">
        <f>HYPERLINK("https://fin.land.naver.com/articles/2646324086", "매물Link")</f>
        <v/>
      </c>
      <c r="M3433" s="6">
        <f>HYPERLINK("https://map.naver.com/p/search/세종특별자치시 연동면 노송리 24", "지도Link")</f>
        <v/>
      </c>
      <c r="N3433" s="6">
        <f>HYPERLINK("http://www.eum.go.kr/web/ar/lu/luLandDet.jsp?pnu=3611032025100240000&amp;isNoScr=script&amp;mode=search", "토지이음")</f>
        <v/>
      </c>
      <c r="O3433" s="3" t="inlineStr">
        <is>
          <t>스마일세종</t>
        </is>
      </c>
      <c r="P3433" s="3" t="n">
        <v>1</v>
      </c>
      <c r="Q3433" s="3" t="n">
        <v>179</v>
      </c>
      <c r="R3433" s="3" t="inlineStr">
        <is>
          <t>지정되지않음</t>
        </is>
      </c>
      <c r="S3433" s="3" t="inlineStr">
        <is>
          <t>단독</t>
        </is>
      </c>
      <c r="T3433" s="3" t="inlineStr">
        <is>
          <t>완경사</t>
        </is>
      </c>
      <c r="U3433" s="3" t="inlineStr">
        <is>
          <t>부정형</t>
        </is>
      </c>
      <c r="V3433" s="3" t="inlineStr">
        <is>
          <t>세로한면(가)</t>
        </is>
      </c>
    </row>
    <row r="3434">
      <c r="A3434" s="3" t="inlineStr">
        <is>
          <t>세종특별자치시 연동면 노송리 275</t>
        </is>
      </c>
      <c r="B3434" s="3" t="inlineStr">
        <is>
          <t>계획관리지역</t>
        </is>
      </c>
      <c r="C3434" s="3" t="inlineStr">
        <is>
          <t>대</t>
        </is>
      </c>
      <c r="D3434" s="3" t="inlineStr">
        <is>
          <t>대</t>
        </is>
      </c>
      <c r="E3434" s="3" t="inlineStr">
        <is>
          <t>매매</t>
        </is>
      </c>
      <c r="F3434" s="4" t="n">
        <v>39500</v>
      </c>
      <c r="G3434" s="4" t="n">
        <v>724</v>
      </c>
      <c r="H3434" s="4" t="n">
        <v>219</v>
      </c>
      <c r="I3434" s="5" t="n">
        <v>180.4</v>
      </c>
      <c r="J3434" s="4" t="n">
        <v>67.7</v>
      </c>
      <c r="K3434" s="3" t="inlineStr">
        <is>
          <t>매매가 조절가능,집 짓고 텃밭하기 좋은 땅</t>
        </is>
      </c>
      <c r="L3434" s="6">
        <f>HYPERLINK("https://fin.land.naver.com/articles/2646098156", "매물Link")</f>
        <v/>
      </c>
      <c r="M3434" s="6">
        <f>HYPERLINK("https://map.naver.com/p/search/세종특별자치시 연동면 노송리 275", "지도Link")</f>
        <v/>
      </c>
      <c r="N3434" s="6">
        <f>HYPERLINK("http://www.eum.go.kr/web/ar/lu/luLandDet.jsp?pnu=3611032025102750000&amp;isNoScr=script&amp;mode=search", "토지이음")</f>
        <v/>
      </c>
      <c r="O3434" s="3" t="inlineStr">
        <is>
          <t>엘리프단지내대표</t>
        </is>
      </c>
      <c r="P3434" s="3" t="n">
        <v>1</v>
      </c>
      <c r="Q3434" s="3" t="n">
        <v>724</v>
      </c>
      <c r="R3434" s="3" t="inlineStr">
        <is>
          <t>지정되지않음</t>
        </is>
      </c>
      <c r="S3434" s="3" t="inlineStr">
        <is>
          <t>단독</t>
        </is>
      </c>
      <c r="T3434" s="3" t="inlineStr">
        <is>
          <t>평지</t>
        </is>
      </c>
      <c r="U3434" s="3" t="inlineStr">
        <is>
          <t>정방형</t>
        </is>
      </c>
      <c r="V3434" s="3" t="inlineStr">
        <is>
          <t>세로한면(가)</t>
        </is>
      </c>
    </row>
    <row r="3435">
      <c r="A3435" s="3" t="inlineStr">
        <is>
          <t>세종특별자치시 연동면 노송리 28</t>
        </is>
      </c>
      <c r="B3435" s="3" t="inlineStr">
        <is>
          <t>계획관리지역</t>
        </is>
      </c>
      <c r="C3435" s="3" t="inlineStr">
        <is>
          <t>대</t>
        </is>
      </c>
      <c r="D3435" s="3" t="inlineStr">
        <is>
          <t>대</t>
        </is>
      </c>
      <c r="E3435" s="3" t="inlineStr">
        <is>
          <t>매매</t>
        </is>
      </c>
      <c r="F3435" s="4" t="n">
        <v>180000</v>
      </c>
      <c r="G3435" s="4" t="n">
        <v>1001</v>
      </c>
      <c r="H3435" s="4" t="n">
        <v>303</v>
      </c>
      <c r="I3435" s="5" t="n">
        <v>594.1</v>
      </c>
      <c r="J3435" s="4" t="n">
        <v>68.90000000000001</v>
      </c>
      <c r="K3435" s="3" t="inlineStr">
        <is>
          <t>계획관리 자연취락지구 3필지일괄매각 분할매각도가능 가격절충가능</t>
        </is>
      </c>
      <c r="L3435" s="6">
        <f>HYPERLINK("https://fin.land.naver.com/articles/2645721524", "매물Link")</f>
        <v/>
      </c>
      <c r="M3435" s="6">
        <f>HYPERLINK("https://map.naver.com/p/search/세종특별자치시 연동면 노송리 28", "지도Link")</f>
        <v/>
      </c>
      <c r="N3435" s="6">
        <f>HYPERLINK("http://www.eum.go.kr/web/ar/lu/luLandDet.jsp?pnu=3611032025100280000&amp;isNoScr=script&amp;mode=search", "토지이음")</f>
        <v/>
      </c>
      <c r="O3435" s="3" t="inlineStr">
        <is>
          <t>레몬</t>
        </is>
      </c>
      <c r="P3435" s="3" t="n">
        <v>1</v>
      </c>
      <c r="Q3435" s="3" t="n">
        <v>1001</v>
      </c>
      <c r="R3435" s="3" t="inlineStr">
        <is>
          <t>지정되지않음</t>
        </is>
      </c>
      <c r="S3435" s="3" t="inlineStr">
        <is>
          <t>단독</t>
        </is>
      </c>
      <c r="T3435" s="3" t="inlineStr">
        <is>
          <t>완경사</t>
        </is>
      </c>
      <c r="U3435" s="3" t="inlineStr">
        <is>
          <t>부정형</t>
        </is>
      </c>
      <c r="V3435" s="3" t="inlineStr">
        <is>
          <t>세로각지(가)</t>
        </is>
      </c>
    </row>
    <row r="3436">
      <c r="A3436" s="3" t="inlineStr">
        <is>
          <t>세종특별자치시 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HYPERLINK("https://map.naver.com/p/search/세종특별자치시 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세종특별자치시 연동면 노송리 28-6</t>
        </is>
      </c>
      <c r="B3437" s="3" t="inlineStr">
        <is>
          <t>계획관리지역</t>
        </is>
      </c>
      <c r="C3437" s="3" t="inlineStr">
        <is>
          <t>대</t>
        </is>
      </c>
      <c r="D3437" s="3" t="inlineStr">
        <is>
          <t>대</t>
        </is>
      </c>
      <c r="E3437" s="3" t="inlineStr">
        <is>
          <t>매매</t>
        </is>
      </c>
      <c r="F3437" s="4" t="n">
        <v>35000</v>
      </c>
      <c r="G3437" s="4" t="n">
        <v>465</v>
      </c>
      <c r="H3437" s="4" t="n">
        <v>141</v>
      </c>
      <c r="I3437" s="5" t="n">
        <v>248.2</v>
      </c>
      <c r="J3437" s="4" t="n">
        <v>68.40000000000001</v>
      </c>
      <c r="K3437" s="3" t="inlineStr">
        <is>
          <t>바로 건축할수 있는 나대지,3미터 포장도로 진입가능</t>
        </is>
      </c>
      <c r="L3437" s="6">
        <f>HYPERLINK("https://fin.land.naver.com/articles/2648645998", "매물Link")</f>
        <v/>
      </c>
      <c r="M3437" s="6">
        <f>HYPERLINK("https://map.naver.com/p/search/세종특별자치시 연동면 노송리 28-6", "지도Link")</f>
        <v/>
      </c>
      <c r="N3437" s="6">
        <f>HYPERLINK("http://www.eum.go.kr/web/ar/lu/luLandDet.jsp?pnu=3611032025100280006&amp;isNoScr=script&amp;mode=search", "토지이음")</f>
        <v/>
      </c>
      <c r="O3437" s="3" t="inlineStr">
        <is>
          <t>보람최고</t>
        </is>
      </c>
      <c r="P3437" s="3" t="n">
        <v>2</v>
      </c>
      <c r="Q3437" s="3" t="n">
        <v>465</v>
      </c>
      <c r="R3437" s="3" t="inlineStr">
        <is>
          <t>지정되지않음</t>
        </is>
      </c>
      <c r="S3437" s="3" t="inlineStr">
        <is>
          <t>단독</t>
        </is>
      </c>
      <c r="T3437" s="3" t="inlineStr">
        <is>
          <t>완경사</t>
        </is>
      </c>
      <c r="U3437" s="3" t="inlineStr">
        <is>
          <t>사다리형</t>
        </is>
      </c>
      <c r="V3437" s="3" t="inlineStr">
        <is>
          <t>세로한면(가)</t>
        </is>
      </c>
    </row>
    <row r="3438">
      <c r="A3438" s="3" t="inlineStr">
        <is>
          <t>세종특별자치시 연동면 노송리 302-1</t>
        </is>
      </c>
      <c r="B3438" s="3" t="inlineStr">
        <is>
          <t>계획관리지역</t>
        </is>
      </c>
      <c r="C3438" s="3" t="inlineStr">
        <is>
          <t>전</t>
        </is>
      </c>
      <c r="D3438" s="3" t="inlineStr">
        <is>
          <t>전</t>
        </is>
      </c>
      <c r="E3438" s="3" t="inlineStr">
        <is>
          <t>매매</t>
        </is>
      </c>
      <c r="F3438" s="4" t="n">
        <v>162000</v>
      </c>
      <c r="G3438" s="4" t="n">
        <v>1983</v>
      </c>
      <c r="H3438" s="4" t="n">
        <v>600</v>
      </c>
      <c r="I3438" s="5" t="n">
        <v>270</v>
      </c>
      <c r="J3438" s="4" t="n">
        <v>13.9</v>
      </c>
      <c r="K3438" s="3" t="inlineStr">
        <is>
          <t>계획관리 투자용으로도 좋아요</t>
        </is>
      </c>
      <c r="L3438" s="6">
        <f>HYPERLINK("https://fin.land.naver.com/articles/2648188622", "매물Link")</f>
        <v/>
      </c>
      <c r="M3438" s="6">
        <f>HYPERLINK("https://map.naver.com/p/search/세종특별자치시 연동면 노송리 302-1", "지도Link")</f>
        <v/>
      </c>
      <c r="N3438" s="6">
        <f>HYPERLINK("http://www.eum.go.kr/web/ar/lu/luLandDet.jsp?pnu=3611032025103020001&amp;isNoScr=script&amp;mode=search", "토지이음")</f>
        <v/>
      </c>
      <c r="O3438" s="3" t="inlineStr">
        <is>
          <t>가치잇는</t>
        </is>
      </c>
      <c r="P3438" s="3" t="n">
        <v>1</v>
      </c>
      <c r="Q3438" s="3" t="n">
        <v>30</v>
      </c>
      <c r="R3438" s="3" t="inlineStr">
        <is>
          <t>지정되지않음</t>
        </is>
      </c>
      <c r="S3438" s="3" t="inlineStr">
        <is>
          <t>도로등</t>
        </is>
      </c>
      <c r="T3438" s="3" t="inlineStr">
        <is>
          <t>평지</t>
        </is>
      </c>
      <c r="U3438" s="3" t="inlineStr">
        <is>
          <t>부정형</t>
        </is>
      </c>
      <c r="V3438" s="3" t="inlineStr">
        <is>
          <t>지정되지않음</t>
        </is>
      </c>
    </row>
    <row r="3439">
      <c r="A3439" s="3" t="inlineStr">
        <is>
          <t>세종특별자치시 연동면 노송리 310-10</t>
        </is>
      </c>
      <c r="B3439" s="3" t="inlineStr">
        <is>
          <t>계획관리지역</t>
        </is>
      </c>
      <c r="C3439" s="3" t="inlineStr">
        <is>
          <t>임야</t>
        </is>
      </c>
      <c r="D3439" s="3" t="inlineStr">
        <is>
          <t>임야</t>
        </is>
      </c>
      <c r="E3439" s="3" t="inlineStr">
        <is>
          <t>매매</t>
        </is>
      </c>
      <c r="F3439" s="4" t="n">
        <v>45000</v>
      </c>
      <c r="G3439" s="4" t="n">
        <v>616</v>
      </c>
      <c r="H3439" s="4" t="n">
        <v>186</v>
      </c>
      <c r="I3439" s="5" t="n">
        <v>241.9</v>
      </c>
      <c r="J3439" s="4" t="n">
        <v>18.9</v>
      </c>
      <c r="K3439" s="3" t="inlineStr">
        <is>
          <t>투자용으로 좋아요.</t>
        </is>
      </c>
      <c r="L3439" s="6">
        <f>HYPERLINK("https://fin.land.naver.com/articles/2644103108", "매물Link")</f>
        <v/>
      </c>
      <c r="M3439" s="6">
        <f>HYPERLINK("https://map.naver.com/p/search/세종특별자치시 연동면 노송리 310-10", "지도Link")</f>
        <v/>
      </c>
      <c r="N3439" s="6">
        <f>HYPERLINK("http://www.eum.go.kr/web/ar/lu/luLandDet.jsp?pnu=3611032025103100010&amp;isNoScr=script&amp;mode=search", "토지이음")</f>
        <v/>
      </c>
      <c r="O3439" s="3" t="inlineStr">
        <is>
          <t>고운동리치세종</t>
        </is>
      </c>
      <c r="P3439" s="3" t="n">
        <v>1</v>
      </c>
      <c r="Q3439" s="3" t="n">
        <v>616</v>
      </c>
      <c r="R3439" s="3" t="inlineStr">
        <is>
          <t>지정되지않음</t>
        </is>
      </c>
      <c r="S3439" s="3" t="inlineStr">
        <is>
          <t>전</t>
        </is>
      </c>
      <c r="T3439" s="3" t="inlineStr">
        <is>
          <t>평지</t>
        </is>
      </c>
      <c r="U3439" s="3" t="inlineStr">
        <is>
          <t>부정형</t>
        </is>
      </c>
      <c r="V3439" s="3" t="inlineStr">
        <is>
          <t>소로한면</t>
        </is>
      </c>
    </row>
    <row r="3440">
      <c r="A3440" s="3" t="inlineStr">
        <is>
          <t>세종특별자치시 연동면 노송리 327-2</t>
        </is>
      </c>
      <c r="B3440" s="3" t="inlineStr">
        <is>
          <t>계획관리지역</t>
        </is>
      </c>
      <c r="C3440" s="3" t="inlineStr">
        <is>
          <t>전</t>
        </is>
      </c>
      <c r="D3440" s="3" t="inlineStr">
        <is>
          <t>전</t>
        </is>
      </c>
      <c r="E3440" s="3" t="inlineStr">
        <is>
          <t>매매</t>
        </is>
      </c>
      <c r="F3440" s="4" t="n">
        <v>133750</v>
      </c>
      <c r="G3440" s="4" t="n">
        <v>1507</v>
      </c>
      <c r="H3440" s="4" t="n">
        <v>456</v>
      </c>
      <c r="I3440" s="5" t="n">
        <v>293.3</v>
      </c>
      <c r="J3440" s="4" t="n">
        <v>45</v>
      </c>
      <c r="K3440" s="3" t="inlineStr">
        <is>
          <t>추천. 연동면 도로낀 계획관리</t>
        </is>
      </c>
      <c r="L3440" s="6">
        <f>HYPERLINK("https://fin.land.naver.com/articles/2645465734", "매물Link")</f>
        <v/>
      </c>
      <c r="M3440" s="6">
        <f>HYPERLINK("https://map.naver.com/p/search/세종특별자치시 연동면 노송리 327-2", "지도Link")</f>
        <v/>
      </c>
      <c r="N3440" s="6">
        <f>HYPERLINK("http://www.eum.go.kr/web/ar/lu/luLandDet.jsp?pnu=3611032025103270002&amp;isNoScr=script&amp;mode=search", "토지이음")</f>
        <v/>
      </c>
      <c r="O3440" s="3" t="inlineStr">
        <is>
          <t>강아지풀</t>
        </is>
      </c>
      <c r="P3440" s="3" t="n">
        <v>1</v>
      </c>
      <c r="Q3440" s="3" t="n">
        <v>1507</v>
      </c>
      <c r="R3440" s="3" t="inlineStr">
        <is>
          <t>지정되지않음</t>
        </is>
      </c>
      <c r="S3440" s="3" t="inlineStr">
        <is>
          <t>전</t>
        </is>
      </c>
      <c r="T3440" s="3" t="inlineStr">
        <is>
          <t>완경사</t>
        </is>
      </c>
      <c r="U3440" s="3" t="inlineStr">
        <is>
          <t>부정형</t>
        </is>
      </c>
      <c r="V3440" s="3" t="inlineStr">
        <is>
          <t>소로한면</t>
        </is>
      </c>
    </row>
    <row r="3441">
      <c r="A3441" s="3" t="inlineStr">
        <is>
          <t>세종특별자치시 연동면 노송리 329-5</t>
        </is>
      </c>
      <c r="B3441" s="3" t="inlineStr">
        <is>
          <t>계획관리지역</t>
        </is>
      </c>
      <c r="C3441" s="3" t="inlineStr">
        <is>
          <t>전</t>
        </is>
      </c>
      <c r="D3441" s="3" t="inlineStr">
        <is>
          <t>전</t>
        </is>
      </c>
      <c r="E3441" s="3" t="inlineStr">
        <is>
          <t>매매</t>
        </is>
      </c>
      <c r="F3441" s="4" t="n">
        <v>23000</v>
      </c>
      <c r="G3441" s="4" t="n">
        <v>254</v>
      </c>
      <c r="H3441" s="4" t="n">
        <v>77</v>
      </c>
      <c r="I3441" s="5" t="n">
        <v>298.7</v>
      </c>
      <c r="J3441" s="4" t="n">
        <v>47.2</v>
      </c>
      <c r="K3441" s="3" t="inlineStr">
        <is>
          <t>2차선 도로에 접함, 건축허가 득함</t>
        </is>
      </c>
      <c r="L3441" s="6">
        <f>HYPERLINK("https://fin.land.naver.com/articles/2649582469", "매물Link")</f>
        <v/>
      </c>
      <c r="M3441" s="6">
        <f>HYPERLINK("https://map.naver.com/p/search/세종특별자치시 연동면 노송리 329-5", "지도Link")</f>
        <v/>
      </c>
      <c r="N3441" s="6">
        <f>HYPERLINK("http://www.eum.go.kr/web/ar/lu/luLandDet.jsp?pnu=3611032025103290005&amp;isNoScr=script&amp;mode=search", "토지이음")</f>
        <v/>
      </c>
      <c r="O3441" s="3" t="inlineStr">
        <is>
          <t>제이</t>
        </is>
      </c>
      <c r="P3441" s="3" t="n">
        <v>1</v>
      </c>
      <c r="Q3441" s="3" t="n">
        <v>254</v>
      </c>
      <c r="R3441" s="3" t="inlineStr">
        <is>
          <t>지정되지않음</t>
        </is>
      </c>
      <c r="S3441" s="3" t="inlineStr">
        <is>
          <t>과수원</t>
        </is>
      </c>
      <c r="T3441" s="3" t="inlineStr">
        <is>
          <t>완경사</t>
        </is>
      </c>
      <c r="U3441" s="3" t="inlineStr">
        <is>
          <t>사다리형</t>
        </is>
      </c>
      <c r="V3441" s="3" t="inlineStr">
        <is>
          <t>소로한면</t>
        </is>
      </c>
    </row>
    <row r="3442">
      <c r="A3442" s="3" t="inlineStr">
        <is>
          <t>세종특별자치시 연동면 노송리 384</t>
        </is>
      </c>
      <c r="B3442" s="3" t="inlineStr">
        <is>
          <t>계획관리지역</t>
        </is>
      </c>
      <c r="C3442" s="3" t="inlineStr">
        <is>
          <t>전</t>
        </is>
      </c>
      <c r="D3442" s="3" t="inlineStr">
        <is>
          <t>전</t>
        </is>
      </c>
      <c r="E3442" s="3" t="inlineStr">
        <is>
          <t>매매</t>
        </is>
      </c>
      <c r="F3442" s="4" t="n">
        <v>104400</v>
      </c>
      <c r="G3442" s="4" t="n">
        <v>2876</v>
      </c>
      <c r="H3442" s="4" t="n">
        <v>870</v>
      </c>
      <c r="I3442" s="5" t="n">
        <v>120</v>
      </c>
      <c r="J3442" s="4" t="n">
        <v>32.8</v>
      </c>
      <c r="K3442" s="3" t="inlineStr">
        <is>
          <t>연동면 노송리 계획관리 토지, 연동면 소재지 인근</t>
        </is>
      </c>
      <c r="L3442" s="6">
        <f>HYPERLINK("https://fin.land.naver.com/articles/2646008416", "매물Link")</f>
        <v/>
      </c>
      <c r="M3442" s="6">
        <f>HYPERLINK("https://map.naver.com/p/search/세종특별자치시 연동면 노송리 384", "지도Link")</f>
        <v/>
      </c>
      <c r="N3442" s="6">
        <f>HYPERLINK("http://www.eum.go.kr/web/ar/lu/luLandDet.jsp?pnu=3611032025103840000&amp;isNoScr=script&amp;mode=search", "토지이음")</f>
        <v/>
      </c>
      <c r="O3442" s="3" t="inlineStr">
        <is>
          <t>스카이</t>
        </is>
      </c>
      <c r="P3442" s="3" t="n">
        <v>1</v>
      </c>
      <c r="Q3442" s="3" t="n">
        <v>2876</v>
      </c>
      <c r="R3442" s="3" t="inlineStr">
        <is>
          <t>지정되지않음</t>
        </is>
      </c>
      <c r="S3442" s="3" t="inlineStr">
        <is>
          <t>전</t>
        </is>
      </c>
      <c r="T3442" s="3" t="inlineStr">
        <is>
          <t>완경사</t>
        </is>
      </c>
      <c r="U3442" s="3" t="inlineStr">
        <is>
          <t>세로장방</t>
        </is>
      </c>
      <c r="V3442" s="3" t="inlineStr">
        <is>
          <t>맹지</t>
        </is>
      </c>
    </row>
    <row r="3443">
      <c r="A3443" s="3" t="inlineStr">
        <is>
          <t>세종특별자치시 연동면 노송리 412</t>
        </is>
      </c>
      <c r="B3443" s="3" t="inlineStr">
        <is>
          <t>계획관리지역</t>
        </is>
      </c>
      <c r="C3443" s="3" t="inlineStr">
        <is>
          <t>답</t>
        </is>
      </c>
      <c r="D3443" s="3" t="inlineStr">
        <is>
          <t>답</t>
        </is>
      </c>
      <c r="E3443" s="3" t="inlineStr">
        <is>
          <t>매매</t>
        </is>
      </c>
      <c r="F3443" s="4" t="n">
        <v>185000</v>
      </c>
      <c r="G3443" s="4" t="n">
        <v>4079</v>
      </c>
      <c r="H3443" s="4" t="n">
        <v>1234</v>
      </c>
      <c r="I3443" s="5" t="n">
        <v>149.9</v>
      </c>
      <c r="J3443" s="4" t="n">
        <v>34.4</v>
      </c>
      <c r="K3443" s="3" t="inlineStr">
        <is>
          <t>세종시 연동면 노송리 나지막한 야산아래 위치한 계획관리지역 토지</t>
        </is>
      </c>
      <c r="L3443" s="6">
        <f>HYPERLINK("https://fin.land.naver.com/articles/2645656959", "매물Link")</f>
        <v/>
      </c>
      <c r="M3443" s="6">
        <f>HYPERLINK("https://map.naver.com/p/search/세종특별자치시 연동면 노송리 412", "지도Link")</f>
        <v/>
      </c>
      <c r="N3443" s="6">
        <f>HYPERLINK("http://www.eum.go.kr/web/ar/lu/luLandDet.jsp?pnu=3611032025104120000&amp;isNoScr=script&amp;mode=search", "토지이음")</f>
        <v/>
      </c>
      <c r="O3443" s="3" t="inlineStr">
        <is>
          <t>하이엔드</t>
        </is>
      </c>
      <c r="P3443" s="3" t="n">
        <v>1</v>
      </c>
      <c r="Q3443" s="3" t="n">
        <v>4079</v>
      </c>
      <c r="R3443" s="3" t="inlineStr">
        <is>
          <t>농림지역</t>
        </is>
      </c>
      <c r="S3443" s="3" t="inlineStr">
        <is>
          <t>답</t>
        </is>
      </c>
      <c r="T3443" s="3" t="inlineStr">
        <is>
          <t>완경사</t>
        </is>
      </c>
      <c r="U3443" s="3" t="inlineStr">
        <is>
          <t>부정형</t>
        </is>
      </c>
      <c r="V3443" s="3" t="inlineStr">
        <is>
          <t>세로한면(가)</t>
        </is>
      </c>
    </row>
    <row r="3444">
      <c r="A3444" s="3" t="inlineStr">
        <is>
          <t>세종특별자치시 연동면 노송리 449-1</t>
        </is>
      </c>
      <c r="B3444" s="3" t="inlineStr">
        <is>
          <t>계획관리지역</t>
        </is>
      </c>
      <c r="C3444" s="3" t="inlineStr">
        <is>
          <t>답</t>
        </is>
      </c>
      <c r="D3444" s="3" t="inlineStr">
        <is>
          <t>답</t>
        </is>
      </c>
      <c r="E3444" s="3" t="inlineStr">
        <is>
          <t>매매</t>
        </is>
      </c>
      <c r="F3444" s="4" t="n">
        <v>85000</v>
      </c>
      <c r="G3444" s="4" t="n">
        <v>2320</v>
      </c>
      <c r="H3444" s="4" t="n">
        <v>702</v>
      </c>
      <c r="I3444" s="5" t="n">
        <v>121.1</v>
      </c>
      <c r="J3444" s="4" t="n">
        <v>34.4</v>
      </c>
      <c r="K3444" s="3" t="inlineStr">
        <is>
          <t>세종시 복합물류터미널 인근 2차선 국도변 계획관리 토지</t>
        </is>
      </c>
      <c r="L3444" s="6">
        <f>HYPERLINK("https://fin.land.naver.com/articles/2644629899", "매물Link")</f>
        <v/>
      </c>
      <c r="M3444" s="6">
        <f>HYPERLINK("https://map.naver.com/p/search/세종특별자치시 연동면 노송리 449-1", "지도Link")</f>
        <v/>
      </c>
      <c r="N3444" s="6">
        <f>HYPERLINK("http://www.eum.go.kr/web/ar/lu/luLandDet.jsp?pnu=3611032025104490001&amp;isNoScr=script&amp;mode=search", "토지이음")</f>
        <v/>
      </c>
      <c r="O3444" s="3" t="inlineStr">
        <is>
          <t>오송3산단  사무소</t>
        </is>
      </c>
      <c r="P3444" s="3" t="n">
        <v>1</v>
      </c>
      <c r="Q3444" s="3" t="n">
        <v>2320</v>
      </c>
      <c r="R3444" s="3" t="inlineStr">
        <is>
          <t>지정되지않음</t>
        </is>
      </c>
      <c r="S3444" s="3" t="inlineStr">
        <is>
          <t>답</t>
        </is>
      </c>
      <c r="T3444" s="3" t="inlineStr">
        <is>
          <t>완경사</t>
        </is>
      </c>
      <c r="U3444" s="3" t="inlineStr">
        <is>
          <t>부정형</t>
        </is>
      </c>
      <c r="V3444" s="3" t="inlineStr">
        <is>
          <t>세로한면(가)</t>
        </is>
      </c>
    </row>
    <row r="3445">
      <c r="A3445" s="3" t="inlineStr">
        <is>
          <t>세종특별자치시 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HYPERLINK("https://map.naver.com/p/search/세종특별자치시 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세종특별자치시 연동면 노송리 50</t>
        </is>
      </c>
      <c r="B3446" s="3" t="inlineStr">
        <is>
          <t>계획관리지역</t>
        </is>
      </c>
      <c r="C3446" s="3" t="inlineStr">
        <is>
          <t>전</t>
        </is>
      </c>
      <c r="D3446" s="3" t="inlineStr">
        <is>
          <t>전</t>
        </is>
      </c>
      <c r="E3446" s="3" t="inlineStr">
        <is>
          <t>매매</t>
        </is>
      </c>
      <c r="F3446" s="4" t="n">
        <v>150000</v>
      </c>
      <c r="G3446" s="4" t="n">
        <v>1982</v>
      </c>
      <c r="H3446" s="4" t="n">
        <v>600</v>
      </c>
      <c r="I3446" s="5" t="n">
        <v>250</v>
      </c>
      <c r="J3446" s="4" t="n">
        <v>53.2</v>
      </c>
      <c r="K3446" s="3" t="inlineStr">
        <is>
          <t>2차선도로접, 계획관리, 4거리변위치, 산단인근 매매가조절가능</t>
        </is>
      </c>
      <c r="L3446" s="6">
        <f>HYPERLINK("https://fin.land.naver.com/articles/2644486433", "매물Link")</f>
        <v/>
      </c>
      <c r="M3446" s="6">
        <f>HYPERLINK("https://map.naver.com/p/search/세종특별자치시 연동면 노송리 50", "지도Link")</f>
        <v/>
      </c>
      <c r="N3446" s="6">
        <f>HYPERLINK("http://www.eum.go.kr/web/ar/lu/luLandDet.jsp?pnu=3611032025100500000&amp;isNoScr=script&amp;mode=search", "토지이음")</f>
        <v/>
      </c>
      <c r="O3446" s="3" t="inlineStr">
        <is>
          <t>힐스테이트정문</t>
        </is>
      </c>
      <c r="P3446" s="3" t="n">
        <v>1</v>
      </c>
      <c r="Q3446" s="3" t="n">
        <v>1982</v>
      </c>
      <c r="R3446" s="3" t="inlineStr">
        <is>
          <t>지정되지않음</t>
        </is>
      </c>
      <c r="S3446" s="3" t="inlineStr">
        <is>
          <t>전</t>
        </is>
      </c>
      <c r="T3446" s="3" t="inlineStr">
        <is>
          <t>평지</t>
        </is>
      </c>
      <c r="U3446" s="3" t="inlineStr">
        <is>
          <t>부정형</t>
        </is>
      </c>
      <c r="V3446" s="3" t="inlineStr">
        <is>
          <t>소로한면</t>
        </is>
      </c>
    </row>
    <row r="3447">
      <c r="A3447" s="3" t="inlineStr">
        <is>
          <t>세종특별자치시 연동면 노송리 500-1</t>
        </is>
      </c>
      <c r="B3447" s="3" t="inlineStr">
        <is>
          <t>농림지역</t>
        </is>
      </c>
      <c r="C3447" s="3" t="inlineStr">
        <is>
          <t>답</t>
        </is>
      </c>
      <c r="D3447" s="3" t="inlineStr">
        <is>
          <t>답</t>
        </is>
      </c>
      <c r="E3447" s="3" t="inlineStr">
        <is>
          <t>매매</t>
        </is>
      </c>
      <c r="F3447" s="4" t="n">
        <v>102400</v>
      </c>
      <c r="G3447" s="4" t="n">
        <v>4734</v>
      </c>
      <c r="H3447" s="4" t="n">
        <v>1432</v>
      </c>
      <c r="I3447" s="5" t="n">
        <v>71.5</v>
      </c>
      <c r="J3447" s="4" t="n">
        <v>22.6</v>
      </c>
      <c r="K3447" s="3" t="inlineStr">
        <is>
          <t>세종시 연동면 노송리 토지 매매 (답 4,734㎡) 10억 2,100만원</t>
        </is>
      </c>
      <c r="L3447" s="6">
        <f>HYPERLINK("https://fin.land.naver.com/articles/2649343302", "매물Link")</f>
        <v/>
      </c>
      <c r="M3447" s="6">
        <f>HYPERLINK("https://map.naver.com/p/search/세종특별자치시 연동면 노송리 500-1", "지도Link")</f>
        <v/>
      </c>
      <c r="N3447" s="6">
        <f>HYPERLINK("http://www.eum.go.kr/web/ar/lu/luLandDet.jsp?pnu=3611032025105000001&amp;isNoScr=script&amp;mode=search", "토지이음")</f>
        <v/>
      </c>
      <c r="O3447" s="3" t="inlineStr">
        <is>
          <t>세종</t>
        </is>
      </c>
      <c r="P3447" s="3" t="n">
        <v>1</v>
      </c>
      <c r="Q3447" s="3" t="n">
        <v>4734.6</v>
      </c>
      <c r="R3447" s="3" t="inlineStr">
        <is>
          <t>지정되지않음</t>
        </is>
      </c>
      <c r="S3447" s="3" t="inlineStr">
        <is>
          <t>답</t>
        </is>
      </c>
      <c r="T3447" s="3" t="inlineStr">
        <is>
          <t>평지</t>
        </is>
      </c>
      <c r="U3447" s="3" t="inlineStr">
        <is>
          <t>세로장방</t>
        </is>
      </c>
      <c r="V3447" s="3" t="inlineStr">
        <is>
          <t>세로한면(가)</t>
        </is>
      </c>
    </row>
    <row r="3448">
      <c r="A3448" s="3" t="inlineStr">
        <is>
          <t>세종특별자치시 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HYPERLINK("https://map.naver.com/p/search/세종특별자치시 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세종특별자치시 연동면 명학리 101-7</t>
        </is>
      </c>
      <c r="B3449" s="3" t="inlineStr">
        <is>
          <t>농림지역</t>
        </is>
      </c>
      <c r="C3449" s="3" t="inlineStr">
        <is>
          <t>전</t>
        </is>
      </c>
      <c r="D3449" s="3" t="inlineStr">
        <is>
          <t>전</t>
        </is>
      </c>
      <c r="E3449" s="3" t="inlineStr">
        <is>
          <t>매매</t>
        </is>
      </c>
      <c r="F3449" s="4" t="n">
        <v>100000</v>
      </c>
      <c r="G3449" s="4" t="n">
        <v>645</v>
      </c>
      <c r="H3449" s="4" t="n">
        <v>195</v>
      </c>
      <c r="I3449" s="5" t="n">
        <v>512.8</v>
      </c>
      <c r="J3449" s="4" t="n">
        <v>25.1</v>
      </c>
      <c r="K3449" s="3" t="inlineStr">
        <is>
          <t>일부 매매,전체 매매 가능,도로변에 위치</t>
        </is>
      </c>
      <c r="L3449" s="6">
        <f>HYPERLINK("https://fin.land.naver.com/articles/2649947423", "매물Link")</f>
        <v/>
      </c>
      <c r="M3449" s="6">
        <f>HYPERLINK("https://map.naver.com/p/search/세종특별자치시 연동면 명학리 101-7", "지도Link")</f>
        <v/>
      </c>
      <c r="N3449" s="6">
        <f>HYPERLINK("http://www.eum.go.kr/web/ar/lu/luLandDet.jsp?pnu=3611032023101010007&amp;isNoScr=script&amp;mode=search", "토지이음")</f>
        <v/>
      </c>
      <c r="O3449" s="3" t="inlineStr">
        <is>
          <t>다산</t>
        </is>
      </c>
      <c r="P3449" s="3" t="n">
        <v>1</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세종특별자치시 연동면 명학리 101-7</t>
        </is>
      </c>
      <c r="B3450" s="3" t="inlineStr">
        <is>
          <t>농림지역</t>
        </is>
      </c>
      <c r="C3450" s="3" t="inlineStr">
        <is>
          <t>전</t>
        </is>
      </c>
      <c r="D3450" s="3" t="inlineStr">
        <is>
          <t>전</t>
        </is>
      </c>
      <c r="E3450" s="3" t="inlineStr">
        <is>
          <t>매매</t>
        </is>
      </c>
      <c r="F3450" s="4" t="n">
        <v>500000</v>
      </c>
      <c r="G3450" s="4" t="n">
        <v>3700</v>
      </c>
      <c r="H3450" s="4" t="n">
        <v>1119</v>
      </c>
      <c r="I3450" s="5" t="n">
        <v>446.8</v>
      </c>
      <c r="J3450" s="4" t="n">
        <v>25.1</v>
      </c>
      <c r="K3450" s="3" t="inlineStr">
        <is>
          <t>2차선 도로접한 금강이 보이는 지대 높은 토지,분할매매 가능,</t>
        </is>
      </c>
      <c r="L3450" s="6">
        <f>HYPERLINK("https://fin.land.naver.com/articles/2648917205", "매물Link")</f>
        <v/>
      </c>
      <c r="M3450" s="6">
        <f>HYPERLINK("https://map.naver.com/p/search/세종특별자치시 연동면 명학리 101-7", "지도Link")</f>
        <v/>
      </c>
      <c r="N3450" s="6">
        <f>HYPERLINK("http://www.eum.go.kr/web/ar/lu/luLandDet.jsp?pnu=3611032023101010007&amp;isNoScr=script&amp;mode=search", "토지이음")</f>
        <v/>
      </c>
      <c r="O3450" s="3" t="inlineStr">
        <is>
          <t>담뜰</t>
        </is>
      </c>
      <c r="P3450" s="3" t="n">
        <v>5</v>
      </c>
      <c r="Q3450" s="3" t="n">
        <v>3700</v>
      </c>
      <c r="R3450" s="3" t="inlineStr">
        <is>
          <t>보전관리지역</t>
        </is>
      </c>
      <c r="S3450" s="3" t="inlineStr">
        <is>
          <t>전</t>
        </is>
      </c>
      <c r="T3450" s="3" t="inlineStr">
        <is>
          <t>완경사</t>
        </is>
      </c>
      <c r="U3450" s="3" t="inlineStr">
        <is>
          <t>부정형</t>
        </is>
      </c>
      <c r="V3450" s="3" t="inlineStr">
        <is>
          <t>소로한면</t>
        </is>
      </c>
    </row>
    <row r="3451">
      <c r="A3451" s="3" t="inlineStr">
        <is>
          <t>세종특별자치시 연동면 명학리 104-8</t>
        </is>
      </c>
      <c r="B3451" s="3" t="inlineStr">
        <is>
          <t>보전관리지역</t>
        </is>
      </c>
      <c r="C3451" s="3" t="inlineStr">
        <is>
          <t>대</t>
        </is>
      </c>
      <c r="D3451" s="3" t="inlineStr">
        <is>
          <t>대</t>
        </is>
      </c>
      <c r="E3451" s="3" t="inlineStr">
        <is>
          <t>매매</t>
        </is>
      </c>
      <c r="F3451" s="4" t="n">
        <v>350000</v>
      </c>
      <c r="G3451" s="4" t="n">
        <v>4578</v>
      </c>
      <c r="H3451" s="4" t="n">
        <v>1385</v>
      </c>
      <c r="I3451" s="5" t="n">
        <v>252.7</v>
      </c>
      <c r="J3451" s="4" t="n">
        <v>159.8</v>
      </c>
      <c r="K3451" s="3" t="inlineStr">
        <is>
          <t>세종시 금강변 2차선 도로변 토지</t>
        </is>
      </c>
      <c r="L3451" s="6">
        <f>HYPERLINK("https://fin.land.naver.com/articles/2646902255", "매물Link")</f>
        <v/>
      </c>
      <c r="M3451" s="6">
        <f>HYPERLINK("https://map.naver.com/p/search/세종특별자치시 연동면 명학리 104-8", "지도Link")</f>
        <v/>
      </c>
      <c r="N3451" s="6">
        <f>HYPERLINK("http://www.eum.go.kr/web/ar/lu/luLandDet.jsp?pnu=3611032023101040008&amp;isNoScr=script&amp;mode=search", "토지이음")</f>
        <v/>
      </c>
      <c r="O3451" s="3" t="inlineStr">
        <is>
          <t>대유</t>
        </is>
      </c>
      <c r="P3451" s="3" t="n">
        <v>1</v>
      </c>
      <c r="Q3451" s="3" t="n">
        <v>506</v>
      </c>
      <c r="R3451" s="3" t="inlineStr">
        <is>
          <t>지정되지않음</t>
        </is>
      </c>
      <c r="S3451" s="3" t="inlineStr">
        <is>
          <t>단독</t>
        </is>
      </c>
      <c r="T3451" s="3" t="inlineStr">
        <is>
          <t>완경사</t>
        </is>
      </c>
      <c r="U3451" s="3" t="inlineStr">
        <is>
          <t>자루형</t>
        </is>
      </c>
      <c r="V3451" s="3" t="inlineStr">
        <is>
          <t>세로한면(가)</t>
        </is>
      </c>
    </row>
    <row r="3452">
      <c r="A3452" s="3" t="inlineStr">
        <is>
          <t>세종특별자치시 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HYPERLINK("https://map.naver.com/p/search/세종특별자치시 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세종특별자치시 연동면 명학리 137</t>
        </is>
      </c>
      <c r="B3453" s="3" t="inlineStr">
        <is>
          <t>보전관리지역</t>
        </is>
      </c>
      <c r="C3453" s="3" t="inlineStr">
        <is>
          <t>전</t>
        </is>
      </c>
      <c r="D3453" s="3" t="inlineStr">
        <is>
          <t>전</t>
        </is>
      </c>
      <c r="E3453" s="3" t="inlineStr">
        <is>
          <t>매매</t>
        </is>
      </c>
      <c r="F3453" s="4" t="n">
        <v>29700</v>
      </c>
      <c r="G3453" s="4" t="n">
        <v>1121</v>
      </c>
      <c r="H3453" s="4" t="n">
        <v>339</v>
      </c>
      <c r="I3453" s="5" t="n">
        <v>87.59999999999999</v>
      </c>
      <c r="J3453" s="4" t="n">
        <v>35.5</v>
      </c>
      <c r="K3453" s="3" t="inlineStr">
        <is>
          <t>세종시 연동면 명학리 소형 토지 매매</t>
        </is>
      </c>
      <c r="L3453" s="6">
        <f>HYPERLINK("https://fin.land.naver.com/articles/2648763478", "매물Link")</f>
        <v/>
      </c>
      <c r="M3453" s="6">
        <f>HYPERLINK("https://map.naver.com/p/search/세종특별자치시 연동면 명학리 137", "지도Link")</f>
        <v/>
      </c>
      <c r="N3453" s="6">
        <f>HYPERLINK("http://www.eum.go.kr/web/ar/lu/luLandDet.jsp?pnu=3611032023101370000&amp;isNoScr=script&amp;mode=search", "토지이음")</f>
        <v/>
      </c>
      <c r="O3453" s="3" t="inlineStr">
        <is>
          <t>하이엔드</t>
        </is>
      </c>
      <c r="P3453" s="3" t="n">
        <v>1</v>
      </c>
      <c r="Q3453" s="3" t="n">
        <v>1121</v>
      </c>
      <c r="R3453" s="3" t="inlineStr">
        <is>
          <t>지정되지않음</t>
        </is>
      </c>
      <c r="S3453" s="3" t="inlineStr">
        <is>
          <t>전</t>
        </is>
      </c>
      <c r="T3453" s="3" t="inlineStr">
        <is>
          <t>완경사</t>
        </is>
      </c>
      <c r="U3453" s="3" t="inlineStr">
        <is>
          <t>부정형</t>
        </is>
      </c>
      <c r="V3453" s="3" t="inlineStr">
        <is>
          <t>맹지</t>
        </is>
      </c>
    </row>
    <row r="3454">
      <c r="A3454" s="3" t="inlineStr">
        <is>
          <t>세종특별자치시 연동면 명학리 148-3</t>
        </is>
      </c>
      <c r="B3454" s="3" t="inlineStr">
        <is>
          <t>계획관리지역</t>
        </is>
      </c>
      <c r="C3454" s="3" t="inlineStr">
        <is>
          <t>대</t>
        </is>
      </c>
      <c r="D3454" s="3" t="inlineStr">
        <is>
          <t>대</t>
        </is>
      </c>
      <c r="E3454" s="3" t="inlineStr">
        <is>
          <t>매매</t>
        </is>
      </c>
      <c r="F3454" s="4" t="n">
        <v>45000</v>
      </c>
      <c r="G3454" s="4" t="n">
        <v>365</v>
      </c>
      <c r="H3454" s="4" t="n">
        <v>110</v>
      </c>
      <c r="I3454" s="5" t="n">
        <v>409.1</v>
      </c>
      <c r="J3454" s="4" t="n">
        <v>113.6</v>
      </c>
      <c r="K3454" s="3" t="inlineStr">
        <is>
          <t>2차선 도로변에 있는 대지로 활용도 높음, 5생활권 초인접 투자로 추천</t>
        </is>
      </c>
      <c r="L3454" s="6">
        <f>HYPERLINK("https://fin.land.naver.com/articles/2645172775", "매물Link")</f>
        <v/>
      </c>
      <c r="M3454" s="6">
        <f>HYPERLINK("https://map.naver.com/p/search/세종특별자치시 연동면 명학리 148-3", "지도Link")</f>
        <v/>
      </c>
      <c r="N3454" s="6">
        <f>HYPERLINK("http://www.eum.go.kr/web/ar/lu/luLandDet.jsp?pnu=3611032023101480003&amp;isNoScr=script&amp;mode=search", "토지이음")</f>
        <v/>
      </c>
      <c r="O3454" s="3" t="inlineStr">
        <is>
          <t>샘머리랜드</t>
        </is>
      </c>
      <c r="P3454" s="3" t="n">
        <v>1</v>
      </c>
      <c r="Q3454" s="3" t="n">
        <v>365</v>
      </c>
      <c r="R3454" s="3" t="inlineStr">
        <is>
          <t>지정되지않음</t>
        </is>
      </c>
      <c r="S3454" s="3" t="inlineStr">
        <is>
          <t>단독</t>
        </is>
      </c>
      <c r="T3454" s="3" t="inlineStr">
        <is>
          <t>평지</t>
        </is>
      </c>
      <c r="U3454" s="3" t="inlineStr">
        <is>
          <t>부정형</t>
        </is>
      </c>
      <c r="V3454" s="3" t="inlineStr">
        <is>
          <t>소로한면</t>
        </is>
      </c>
    </row>
    <row r="3455">
      <c r="A3455" s="3" t="inlineStr">
        <is>
          <t>세종특별자치시 연동면 명학리 195-3</t>
        </is>
      </c>
      <c r="B3455" s="3" t="inlineStr">
        <is>
          <t>계획관리지역</t>
        </is>
      </c>
      <c r="C3455" s="3" t="inlineStr">
        <is>
          <t>전</t>
        </is>
      </c>
      <c r="D3455" s="3" t="inlineStr">
        <is>
          <t>전</t>
        </is>
      </c>
      <c r="E3455" s="3" t="inlineStr">
        <is>
          <t>매매</t>
        </is>
      </c>
      <c r="F3455" s="4" t="n">
        <v>173000</v>
      </c>
      <c r="G3455" s="4" t="n">
        <v>1636</v>
      </c>
      <c r="H3455" s="4" t="n">
        <v>495</v>
      </c>
      <c r="I3455" s="5" t="n">
        <v>349.5</v>
      </c>
      <c r="J3455" s="4" t="n">
        <v>75.90000000000001</v>
      </c>
      <c r="K3455" s="3" t="inlineStr">
        <is>
          <t>도로변 계획관리 토지 매매</t>
        </is>
      </c>
      <c r="L3455" s="6">
        <f>HYPERLINK("https://fin.land.naver.com/articles/2646722363", "매물Link")</f>
        <v/>
      </c>
      <c r="M3455" s="6">
        <f>HYPERLINK("https://map.naver.com/p/search/세종특별자치시 연동면 명학리 195-3", "지도Link")</f>
        <v/>
      </c>
      <c r="N3455" s="6">
        <f>HYPERLINK("http://www.eum.go.kr/web/ar/lu/luLandDet.jsp?pnu=3611032023101950003&amp;isNoScr=script&amp;mode=search", "토지이음")</f>
        <v/>
      </c>
      <c r="O3455" s="3" t="inlineStr">
        <is>
          <t>(주)정민근</t>
        </is>
      </c>
      <c r="P3455" s="3" t="n">
        <v>1</v>
      </c>
      <c r="Q3455" s="3" t="n">
        <v>1636</v>
      </c>
      <c r="R3455" s="3" t="inlineStr">
        <is>
          <t>지정되지않음</t>
        </is>
      </c>
      <c r="S3455" s="3" t="inlineStr">
        <is>
          <t>전</t>
        </is>
      </c>
      <c r="T3455" s="3" t="inlineStr">
        <is>
          <t>완경사</t>
        </is>
      </c>
      <c r="U3455" s="3" t="inlineStr">
        <is>
          <t>사다리형</t>
        </is>
      </c>
      <c r="V3455" s="3" t="inlineStr">
        <is>
          <t>소로한면</t>
        </is>
      </c>
    </row>
    <row r="3456">
      <c r="A3456" s="3" t="inlineStr">
        <is>
          <t>세종특별자치시 연동면 명학리 220</t>
        </is>
      </c>
      <c r="B3456" s="3" t="inlineStr">
        <is>
          <t>계획관리지역</t>
        </is>
      </c>
      <c r="C3456" s="3" t="inlineStr">
        <is>
          <t>대</t>
        </is>
      </c>
      <c r="D3456" s="3" t="inlineStr">
        <is>
          <t>대</t>
        </is>
      </c>
      <c r="E3456" s="3" t="inlineStr">
        <is>
          <t>매매</t>
        </is>
      </c>
      <c r="F3456" s="4" t="n">
        <v>40000</v>
      </c>
      <c r="G3456" s="4" t="n">
        <v>446</v>
      </c>
      <c r="H3456" s="4" t="n">
        <v>135</v>
      </c>
      <c r="I3456" s="5" t="n">
        <v>296.3</v>
      </c>
      <c r="J3456" s="4" t="n">
        <v>98.7</v>
      </c>
      <c r="K3456" s="3" t="inlineStr">
        <is>
          <t>nan</t>
        </is>
      </c>
      <c r="L3456" s="6">
        <f>HYPERLINK("https://fin.land.naver.com/articles/2648256503", "매물Link")</f>
        <v/>
      </c>
      <c r="M3456" s="6">
        <f>HYPERLINK("https://map.naver.com/p/search/세종특별자치시 연동면 명학리 220", "지도Link")</f>
        <v/>
      </c>
      <c r="N3456" s="6">
        <f>HYPERLINK("http://www.eum.go.kr/web/ar/lu/luLandDet.jsp?pnu=3611032023102200000&amp;isNoScr=script&amp;mode=search", "토지이음")</f>
        <v/>
      </c>
      <c r="O3456" s="3" t="inlineStr">
        <is>
          <t>연동스카이</t>
        </is>
      </c>
      <c r="P3456" s="3" t="n">
        <v>2</v>
      </c>
      <c r="Q3456" s="3" t="n">
        <v>446</v>
      </c>
      <c r="R3456" s="3" t="inlineStr">
        <is>
          <t>지정되지않음</t>
        </is>
      </c>
      <c r="S3456" s="3" t="inlineStr">
        <is>
          <t>단독</t>
        </is>
      </c>
      <c r="T3456" s="3" t="inlineStr">
        <is>
          <t>평지</t>
        </is>
      </c>
      <c r="U3456" s="3" t="inlineStr">
        <is>
          <t>부정형</t>
        </is>
      </c>
      <c r="V3456" s="3" t="inlineStr">
        <is>
          <t>세로한면(가)</t>
        </is>
      </c>
    </row>
    <row r="3457">
      <c r="A3457" s="3" t="inlineStr">
        <is>
          <t>세종특별자치시 연동면 명학리 307-1</t>
        </is>
      </c>
      <c r="B3457" s="3" t="inlineStr">
        <is>
          <t>계획관리지역</t>
        </is>
      </c>
      <c r="C3457" s="3" t="inlineStr">
        <is>
          <t>대</t>
        </is>
      </c>
      <c r="D3457" s="3" t="inlineStr">
        <is>
          <t>대</t>
        </is>
      </c>
      <c r="E3457" s="3" t="inlineStr">
        <is>
          <t>매매</t>
        </is>
      </c>
      <c r="F3457" s="4" t="n">
        <v>21400</v>
      </c>
      <c r="G3457" s="4" t="n">
        <v>236</v>
      </c>
      <c r="H3457" s="4" t="n">
        <v>71</v>
      </c>
      <c r="I3457" s="5" t="n">
        <v>301.4</v>
      </c>
      <c r="J3457" s="4" t="n">
        <v>98.7</v>
      </c>
      <c r="K3457" s="3" t="inlineStr">
        <is>
          <t>세종5생활권연접된 소형토지매매21,400만원</t>
        </is>
      </c>
      <c r="L3457" s="6">
        <f>HYPERLINK("https://fin.land.naver.com/articles/2647917727", "매물Link")</f>
        <v/>
      </c>
      <c r="M3457" s="6">
        <f>HYPERLINK("https://map.naver.com/p/search/세종특별자치시 연동면 명학리 307-1", "지도Link")</f>
        <v/>
      </c>
      <c r="N3457" s="6">
        <f>HYPERLINK("http://www.eum.go.kr/web/ar/lu/luLandDet.jsp?pnu=3611032023103070001&amp;isNoScr=script&amp;mode=search", "토지이음")</f>
        <v/>
      </c>
      <c r="O3457" s="3" t="inlineStr">
        <is>
          <t>대박</t>
        </is>
      </c>
      <c r="P3457" s="3" t="n">
        <v>1</v>
      </c>
      <c r="Q3457" s="3" t="n">
        <v>236</v>
      </c>
      <c r="R3457" s="3" t="inlineStr">
        <is>
          <t>지정되지않음</t>
        </is>
      </c>
      <c r="S3457" s="3" t="inlineStr">
        <is>
          <t>주거나지</t>
        </is>
      </c>
      <c r="T3457" s="3" t="inlineStr">
        <is>
          <t>평지</t>
        </is>
      </c>
      <c r="U3457" s="3" t="inlineStr">
        <is>
          <t>정방형</t>
        </is>
      </c>
      <c r="V3457" s="3" t="inlineStr">
        <is>
          <t>세로한면(가)</t>
        </is>
      </c>
    </row>
    <row r="3458">
      <c r="A3458" s="3" t="inlineStr">
        <is>
          <t>세종특별자치시 연동면 명학리 363</t>
        </is>
      </c>
      <c r="B3458" s="3" t="inlineStr">
        <is>
          <t>계획관리지역</t>
        </is>
      </c>
      <c r="C3458" s="3" t="inlineStr">
        <is>
          <t>전</t>
        </is>
      </c>
      <c r="D3458" s="3" t="inlineStr">
        <is>
          <t>전</t>
        </is>
      </c>
      <c r="E3458" s="3" t="inlineStr">
        <is>
          <t>매매</t>
        </is>
      </c>
      <c r="F3458" s="4" t="n">
        <v>30000</v>
      </c>
      <c r="G3458" s="4" t="n">
        <v>746</v>
      </c>
      <c r="H3458" s="4" t="n">
        <v>226</v>
      </c>
      <c r="I3458" s="5" t="n">
        <v>132.7</v>
      </c>
      <c r="J3458" s="4" t="n">
        <v>45.2</v>
      </c>
      <c r="K3458" s="3" t="inlineStr">
        <is>
          <t>도로 인접, 단독주택</t>
        </is>
      </c>
      <c r="L3458" s="6">
        <f>HYPERLINK("https://fin.land.naver.com/articles/2648947156", "매물Link")</f>
        <v/>
      </c>
      <c r="M3458" s="6">
        <f>HYPERLINK("https://map.naver.com/p/search/세종특별자치시 연동면 명학리 363", "지도Link")</f>
        <v/>
      </c>
      <c r="N3458" s="6">
        <f>HYPERLINK("http://www.eum.go.kr/web/ar/lu/luLandDet.jsp?pnu=3611032023103630000&amp;isNoScr=script&amp;mode=search", "토지이음")</f>
        <v/>
      </c>
      <c r="O3458" s="3" t="inlineStr">
        <is>
          <t>세종제일1</t>
        </is>
      </c>
      <c r="P3458" s="3" t="n">
        <v>1</v>
      </c>
      <c r="Q3458" s="3" t="n">
        <v>746</v>
      </c>
      <c r="R3458" s="3" t="inlineStr">
        <is>
          <t>지정되지않음</t>
        </is>
      </c>
      <c r="S3458" s="3" t="inlineStr">
        <is>
          <t>전</t>
        </is>
      </c>
      <c r="T3458" s="3" t="inlineStr">
        <is>
          <t>완경사</t>
        </is>
      </c>
      <c r="U3458" s="3" t="inlineStr">
        <is>
          <t>부정형</t>
        </is>
      </c>
      <c r="V3458" s="3" t="inlineStr">
        <is>
          <t>맹지</t>
        </is>
      </c>
    </row>
    <row r="3459">
      <c r="A3459" s="3" t="inlineStr">
        <is>
          <t>세종특별자치시 연동면 명학리 376-3</t>
        </is>
      </c>
      <c r="B3459" s="3" t="inlineStr">
        <is>
          <t>계획관리지역</t>
        </is>
      </c>
      <c r="C3459" s="3" t="inlineStr">
        <is>
          <t>답</t>
        </is>
      </c>
      <c r="D3459" s="3" t="inlineStr">
        <is>
          <t>답</t>
        </is>
      </c>
      <c r="E3459" s="3" t="inlineStr">
        <is>
          <t>매매</t>
        </is>
      </c>
      <c r="F3459" s="4" t="n">
        <v>14000</v>
      </c>
      <c r="G3459" s="4" t="n">
        <v>1155</v>
      </c>
      <c r="H3459" s="4" t="n">
        <v>349</v>
      </c>
      <c r="I3459" s="5" t="n">
        <v>40.1</v>
      </c>
      <c r="J3459" s="4" t="n">
        <v>45.2</v>
      </c>
      <c r="K3459" s="3" t="inlineStr">
        <is>
          <t>연동면 명학리 계획관리 토지, 5생활권 인근, 공시지가 이하, 급매</t>
        </is>
      </c>
      <c r="L3459" s="6">
        <f>HYPERLINK("https://fin.land.naver.com/articles/2645316250", "매물Link")</f>
        <v/>
      </c>
      <c r="M3459" s="6">
        <f>HYPERLINK("https://map.naver.com/p/search/세종특별자치시 연동면 명학리 376-3", "지도Link")</f>
        <v/>
      </c>
      <c r="N3459" s="6">
        <f>HYPERLINK("http://www.eum.go.kr/web/ar/lu/luLandDet.jsp?pnu=3611032023103760003&amp;isNoScr=script&amp;mode=search", "토지이음")</f>
        <v/>
      </c>
      <c r="O3459" s="3" t="inlineStr">
        <is>
          <t>스카이</t>
        </is>
      </c>
      <c r="P3459" s="3" t="n">
        <v>1</v>
      </c>
      <c r="Q3459" s="3" t="n">
        <v>1155</v>
      </c>
      <c r="R3459" s="3" t="inlineStr">
        <is>
          <t>지정되지않음</t>
        </is>
      </c>
      <c r="S3459" s="3" t="inlineStr">
        <is>
          <t>답</t>
        </is>
      </c>
      <c r="T3459" s="3" t="inlineStr">
        <is>
          <t>완경사</t>
        </is>
      </c>
      <c r="U3459" s="3" t="inlineStr">
        <is>
          <t>부정형</t>
        </is>
      </c>
      <c r="V3459" s="3" t="inlineStr">
        <is>
          <t>맹지</t>
        </is>
      </c>
    </row>
    <row r="3460">
      <c r="A3460" s="3" t="inlineStr">
        <is>
          <t>세종특별자치시 연동면 명학리 383-8</t>
        </is>
      </c>
      <c r="B3460" s="3" t="inlineStr">
        <is>
          <t>보전관리지역</t>
        </is>
      </c>
      <c r="C3460" s="3" t="inlineStr">
        <is>
          <t>임야</t>
        </is>
      </c>
      <c r="D3460" s="3" t="inlineStr">
        <is>
          <t>임야</t>
        </is>
      </c>
      <c r="E3460" s="3" t="inlineStr">
        <is>
          <t>매매</t>
        </is>
      </c>
      <c r="F3460" s="4" t="n">
        <v>52000</v>
      </c>
      <c r="G3460" s="4" t="n">
        <v>655</v>
      </c>
      <c r="H3460" s="4" t="n">
        <v>198</v>
      </c>
      <c r="I3460" s="5" t="n">
        <v>262.6</v>
      </c>
      <c r="J3460" s="4" t="n">
        <v>13</v>
      </c>
      <c r="K3460" s="3" t="inlineStr">
        <is>
          <t>세종 연동면 임야 매매｜보전관리지역준보전산지</t>
        </is>
      </c>
      <c r="L3460" s="6">
        <f>HYPERLINK("https://fin.land.naver.com/articles/2648299185", "매물Link")</f>
        <v/>
      </c>
      <c r="M3460" s="6">
        <f>HYPERLINK("https://map.naver.com/p/search/세종특별자치시 연동면 명학리 383-8", "지도Link")</f>
        <v/>
      </c>
      <c r="N3460" s="6">
        <f>HYPERLINK("http://www.eum.go.kr/web/ar/lu/luLandDet.jsp?pnu=3611032023103830008&amp;isNoScr=script&amp;mode=search", "토지이음")</f>
        <v/>
      </c>
      <c r="O3460" s="3" t="inlineStr">
        <is>
          <t>세종몽땅</t>
        </is>
      </c>
      <c r="P3460" s="3" t="n">
        <v>1</v>
      </c>
      <c r="Q3460" s="3" t="n">
        <v>655</v>
      </c>
      <c r="R3460" s="3" t="inlineStr">
        <is>
          <t>지정되지않음</t>
        </is>
      </c>
      <c r="S3460" s="3" t="inlineStr">
        <is>
          <t>자연림</t>
        </is>
      </c>
      <c r="T3460" s="3" t="inlineStr">
        <is>
          <t>완경사</t>
        </is>
      </c>
      <c r="U3460" s="3" t="inlineStr">
        <is>
          <t>사다리형</t>
        </is>
      </c>
      <c r="V3460" s="3" t="inlineStr">
        <is>
          <t>세로한면(가)</t>
        </is>
      </c>
    </row>
    <row r="3461">
      <c r="A3461" s="3" t="inlineStr">
        <is>
          <t>세종특별자치시 연동면 명학리 384-27</t>
        </is>
      </c>
      <c r="B3461" s="3" t="inlineStr">
        <is>
          <t>계획관리지역</t>
        </is>
      </c>
      <c r="C3461" s="3" t="inlineStr">
        <is>
          <t>임야</t>
        </is>
      </c>
      <c r="D3461" s="3" t="inlineStr">
        <is>
          <t>임야</t>
        </is>
      </c>
      <c r="E3461" s="3" t="inlineStr">
        <is>
          <t>매매</t>
        </is>
      </c>
      <c r="F3461" s="4" t="n">
        <v>150000</v>
      </c>
      <c r="G3461" s="4" t="n">
        <v>1653</v>
      </c>
      <c r="H3461" s="4" t="n">
        <v>500</v>
      </c>
      <c r="I3461" s="5" t="n">
        <v>300</v>
      </c>
      <c r="J3461" s="4" t="n">
        <v>17.1</v>
      </c>
      <c r="K3461" s="3" t="inlineStr">
        <is>
          <t>51생활권 인근 근생추천용지. 도로접. 카페, 음식점 등</t>
        </is>
      </c>
      <c r="L3461" s="6">
        <f>HYPERLINK("https://fin.land.naver.com/articles/2645550129", "매물Link")</f>
        <v/>
      </c>
      <c r="M3461" s="6">
        <f>HYPERLINK("https://map.naver.com/p/search/세종특별자치시 연동면 명학리 384-27", "지도Link")</f>
        <v/>
      </c>
      <c r="N3461" s="6">
        <f>HYPERLINK("http://www.eum.go.kr/web/ar/lu/luLandDet.jsp?pnu=3611032023103840027&amp;isNoScr=script&amp;mode=search", "토지이음")</f>
        <v/>
      </c>
      <c r="O3461" s="3" t="inlineStr">
        <is>
          <t>미스터홈즈강남지사</t>
        </is>
      </c>
      <c r="P3461" s="3" t="n">
        <v>2</v>
      </c>
      <c r="Q3461" s="3" t="n">
        <v>1653</v>
      </c>
      <c r="R3461" s="3" t="inlineStr">
        <is>
          <t>지정되지않음</t>
        </is>
      </c>
      <c r="S3461" s="3" t="inlineStr">
        <is>
          <t>자연림</t>
        </is>
      </c>
      <c r="T3461" s="3" t="inlineStr">
        <is>
          <t>완경사</t>
        </is>
      </c>
      <c r="U3461" s="3" t="inlineStr">
        <is>
          <t>사다리형</t>
        </is>
      </c>
      <c r="V3461" s="3" t="inlineStr">
        <is>
          <t>세로한면(가)</t>
        </is>
      </c>
    </row>
    <row r="3462">
      <c r="A3462" s="3" t="inlineStr">
        <is>
          <t>세종특별자치시 연동면 명학리 385</t>
        </is>
      </c>
      <c r="B3462" s="3" t="inlineStr">
        <is>
          <t>계획관리지역</t>
        </is>
      </c>
      <c r="C3462" s="3" t="inlineStr">
        <is>
          <t>답</t>
        </is>
      </c>
      <c r="D3462" s="3" t="inlineStr">
        <is>
          <t>답</t>
        </is>
      </c>
      <c r="E3462" s="3" t="inlineStr">
        <is>
          <t>매매</t>
        </is>
      </c>
      <c r="F3462" s="4" t="n">
        <v>71900</v>
      </c>
      <c r="G3462" s="4" t="n">
        <v>720</v>
      </c>
      <c r="H3462" s="4" t="n">
        <v>218</v>
      </c>
      <c r="I3462" s="5" t="n">
        <v>329.8</v>
      </c>
      <c r="J3462" s="4" t="n">
        <v>52.8</v>
      </c>
      <c r="K3462" s="3" t="inlineStr">
        <is>
          <t>nan</t>
        </is>
      </c>
      <c r="L3462" s="6">
        <f>HYPERLINK("https://fin.land.naver.com/articles/2647746185", "매물Link")</f>
        <v/>
      </c>
      <c r="M3462" s="6">
        <f>HYPERLINK("https://map.naver.com/p/search/세종특별자치시 연동면 명학리 385", "지도Link")</f>
        <v/>
      </c>
      <c r="N3462" s="6">
        <f>HYPERLINK("http://www.eum.go.kr/web/ar/lu/luLandDet.jsp?pnu=3611032023103850000&amp;isNoScr=script&amp;mode=search", "토지이음")</f>
        <v/>
      </c>
      <c r="O3462" s="3" t="inlineStr">
        <is>
          <t>다산</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세종특별자치시 연동면 명학리 385</t>
        </is>
      </c>
      <c r="B3463" s="3" t="inlineStr">
        <is>
          <t>계획관리지역</t>
        </is>
      </c>
      <c r="C3463" s="3" t="inlineStr">
        <is>
          <t>답</t>
        </is>
      </c>
      <c r="D3463" s="3" t="inlineStr">
        <is>
          <t>답</t>
        </is>
      </c>
      <c r="E3463" s="3" t="inlineStr">
        <is>
          <t>매매</t>
        </is>
      </c>
      <c r="F3463" s="4" t="n">
        <v>82460</v>
      </c>
      <c r="G3463" s="4" t="n">
        <v>720</v>
      </c>
      <c r="H3463" s="4" t="n">
        <v>218</v>
      </c>
      <c r="I3463" s="5" t="n">
        <v>378.3</v>
      </c>
      <c r="J3463" s="4" t="n">
        <v>52.8</v>
      </c>
      <c r="K3463" s="3" t="inlineStr">
        <is>
          <t>명성공인, 명학리 계획관리지역 추천 매물</t>
        </is>
      </c>
      <c r="L3463" s="6">
        <f>HYPERLINK("https://fin.land.naver.com/articles/2648045385", "매물Link")</f>
        <v/>
      </c>
      <c r="M3463" s="6">
        <f>HYPERLINK("https://map.naver.com/p/search/세종특별자치시 연동면 명학리 385", "지도Link")</f>
        <v/>
      </c>
      <c r="N3463" s="6">
        <f>HYPERLINK("http://www.eum.go.kr/web/ar/lu/luLandDet.jsp?pnu=3611032023103850000&amp;isNoScr=script&amp;mode=search", "토지이음")</f>
        <v/>
      </c>
      <c r="O3463" s="3" t="inlineStr">
        <is>
          <t>명성</t>
        </is>
      </c>
      <c r="P3463" s="3" t="n">
        <v>1</v>
      </c>
      <c r="Q3463" s="3" t="n">
        <v>720</v>
      </c>
      <c r="R3463" s="3" t="inlineStr">
        <is>
          <t>지정되지않음</t>
        </is>
      </c>
      <c r="S3463" s="3" t="inlineStr">
        <is>
          <t>답</t>
        </is>
      </c>
      <c r="T3463" s="3" t="inlineStr">
        <is>
          <t>완경사</t>
        </is>
      </c>
      <c r="U3463" s="3" t="inlineStr">
        <is>
          <t>사다리형</t>
        </is>
      </c>
      <c r="V3463" s="3" t="inlineStr">
        <is>
          <t>세로한면(가)</t>
        </is>
      </c>
    </row>
    <row r="3464">
      <c r="A3464" s="3" t="inlineStr">
        <is>
          <t>세종특별자치시 연동면 명학리 389-2</t>
        </is>
      </c>
      <c r="B3464" s="3" t="inlineStr">
        <is>
          <t>보전관리지역</t>
        </is>
      </c>
      <c r="C3464" s="3" t="inlineStr">
        <is>
          <t>전</t>
        </is>
      </c>
      <c r="D3464" s="3" t="inlineStr">
        <is>
          <t>전</t>
        </is>
      </c>
      <c r="E3464" s="3" t="inlineStr">
        <is>
          <t>매매</t>
        </is>
      </c>
      <c r="F3464" s="4" t="n">
        <v>27000</v>
      </c>
      <c r="G3464" s="4" t="n">
        <v>541</v>
      </c>
      <c r="H3464" s="4" t="n">
        <v>164</v>
      </c>
      <c r="I3464" s="5" t="n">
        <v>164.6</v>
      </c>
      <c r="J3464" s="4" t="n">
        <v>35.6</v>
      </c>
      <c r="K3464" s="3" t="inlineStr">
        <is>
          <t>명학리 위치좋고 앞으로 지가 상승이 예상되는 곳 저렴하게 매매</t>
        </is>
      </c>
      <c r="L3464" s="6">
        <f>HYPERLINK("https://fin.land.naver.com/articles/2644666630", "매물Link")</f>
        <v/>
      </c>
      <c r="M3464" s="6">
        <f>HYPERLINK("https://map.naver.com/p/search/세종특별자치시 연동면 명학리 389-2", "지도Link")</f>
        <v/>
      </c>
      <c r="N3464" s="6">
        <f>HYPERLINK("http://www.eum.go.kr/web/ar/lu/luLandDet.jsp?pnu=3611032023103890002&amp;isNoScr=script&amp;mode=search", "토지이음")</f>
        <v/>
      </c>
      <c r="O3464" s="3" t="inlineStr">
        <is>
          <t>효성해링턴오복</t>
        </is>
      </c>
      <c r="P3464" s="3" t="n">
        <v>1</v>
      </c>
      <c r="Q3464" s="3" t="n">
        <v>541</v>
      </c>
      <c r="R3464" s="3" t="inlineStr">
        <is>
          <t>지정되지않음</t>
        </is>
      </c>
      <c r="S3464" s="3" t="inlineStr">
        <is>
          <t>전</t>
        </is>
      </c>
      <c r="T3464" s="3" t="inlineStr">
        <is>
          <t>완경사</t>
        </is>
      </c>
      <c r="U3464" s="3" t="inlineStr">
        <is>
          <t>사다리형</t>
        </is>
      </c>
      <c r="V3464" s="3" t="inlineStr">
        <is>
          <t>맹지</t>
        </is>
      </c>
    </row>
    <row r="3465">
      <c r="A3465" s="3" t="inlineStr">
        <is>
          <t>세종특별자치시 연동면 명학리 705</t>
        </is>
      </c>
      <c r="B3465" s="3" t="inlineStr">
        <is>
          <t>농림지역</t>
        </is>
      </c>
      <c r="C3465" s="3" t="inlineStr">
        <is>
          <t>답</t>
        </is>
      </c>
      <c r="D3465" s="3" t="inlineStr">
        <is>
          <t>답</t>
        </is>
      </c>
      <c r="E3465" s="3" t="inlineStr">
        <is>
          <t>매매</t>
        </is>
      </c>
      <c r="F3465" s="4" t="n">
        <v>49000</v>
      </c>
      <c r="G3465" s="4" t="n">
        <v>1076</v>
      </c>
      <c r="H3465" s="4" t="n">
        <v>325</v>
      </c>
      <c r="I3465" s="5" t="n">
        <v>150.8</v>
      </c>
      <c r="J3465" s="4" t="n">
        <v>30.1</v>
      </c>
      <c r="K3465" s="3" t="inlineStr">
        <is>
          <t>세종시 연동면 명학리 명학산업단지 인근 농지</t>
        </is>
      </c>
      <c r="L3465" s="6">
        <f>HYPERLINK("https://fin.land.naver.com/articles/2648761728", "매물Link")</f>
        <v/>
      </c>
      <c r="M3465" s="6">
        <f>HYPERLINK("https://map.naver.com/p/search/세종특별자치시 연동면 명학리 705", "지도Link")</f>
        <v/>
      </c>
      <c r="N3465" s="6">
        <f>HYPERLINK("http://www.eum.go.kr/web/ar/lu/luLandDet.jsp?pnu=3611032023107050000&amp;isNoScr=script&amp;mode=search", "토지이음")</f>
        <v/>
      </c>
      <c r="O3465" s="3" t="inlineStr">
        <is>
          <t>하이엔드</t>
        </is>
      </c>
      <c r="P3465" s="3" t="n">
        <v>1</v>
      </c>
      <c r="Q3465" s="3" t="n">
        <v>1076.6</v>
      </c>
      <c r="R3465" s="3" t="inlineStr">
        <is>
          <t>지정되지않음</t>
        </is>
      </c>
      <c r="S3465" s="3" t="inlineStr">
        <is>
          <t>답</t>
        </is>
      </c>
      <c r="T3465" s="3" t="inlineStr">
        <is>
          <t>평지</t>
        </is>
      </c>
      <c r="U3465" s="3" t="inlineStr">
        <is>
          <t>사다리형</t>
        </is>
      </c>
      <c r="V3465" s="3" t="inlineStr">
        <is>
          <t>세로한면(가)</t>
        </is>
      </c>
    </row>
    <row r="3466">
      <c r="A3466" s="3" t="inlineStr">
        <is>
          <t>세종특별자치시 연동면 명학리 714</t>
        </is>
      </c>
      <c r="B3466" s="3" t="inlineStr">
        <is>
          <t>농림지역</t>
        </is>
      </c>
      <c r="C3466" s="3" t="inlineStr">
        <is>
          <t>답</t>
        </is>
      </c>
      <c r="D3466" s="3" t="inlineStr">
        <is>
          <t>답</t>
        </is>
      </c>
      <c r="E3466" s="3" t="inlineStr">
        <is>
          <t>매매</t>
        </is>
      </c>
      <c r="F3466" s="4" t="n">
        <v>55000</v>
      </c>
      <c r="G3466" s="4" t="n">
        <v>1537</v>
      </c>
      <c r="H3466" s="4" t="n">
        <v>465</v>
      </c>
      <c r="I3466" s="5" t="n">
        <v>118.3</v>
      </c>
      <c r="J3466" s="4" t="n">
        <v>30.2</v>
      </c>
      <c r="K3466" s="3" t="inlineStr">
        <is>
          <t>마을초입의 도로접한 농림지로 농업관련업종등 농가주택추천</t>
        </is>
      </c>
      <c r="L3466" s="6">
        <f>HYPERLINK("https://fin.land.naver.com/articles/2648261075", "매물Link")</f>
        <v/>
      </c>
      <c r="M3466" s="6">
        <f>HYPERLINK("https://map.naver.com/p/search/세종특별자치시 연동면 명학리 714", "지도Link")</f>
        <v/>
      </c>
      <c r="N3466" s="6">
        <f>HYPERLINK("http://www.eum.go.kr/web/ar/lu/luLandDet.jsp?pnu=3611032023107140000&amp;isNoScr=script&amp;mode=search", "토지이음")</f>
        <v/>
      </c>
      <c r="O3466" s="3" t="inlineStr">
        <is>
          <t>연동스카이</t>
        </is>
      </c>
      <c r="P3466" s="3" t="n">
        <v>1</v>
      </c>
      <c r="Q3466" s="3" t="n">
        <v>1538.3</v>
      </c>
      <c r="R3466" s="3" t="inlineStr">
        <is>
          <t>지정되지않음</t>
        </is>
      </c>
      <c r="S3466" s="3" t="inlineStr">
        <is>
          <t>답</t>
        </is>
      </c>
      <c r="T3466" s="3" t="inlineStr">
        <is>
          <t>평지</t>
        </is>
      </c>
      <c r="U3466" s="3" t="inlineStr">
        <is>
          <t>세로장방</t>
        </is>
      </c>
      <c r="V3466" s="3" t="inlineStr">
        <is>
          <t>세로한면(가)</t>
        </is>
      </c>
    </row>
    <row r="3467">
      <c r="A3467" s="3" t="inlineStr">
        <is>
          <t>세종특별자치시 연동면 명학리 731</t>
        </is>
      </c>
      <c r="B3467" s="3" t="inlineStr">
        <is>
          <t>농림지역</t>
        </is>
      </c>
      <c r="C3467" s="3" t="inlineStr">
        <is>
          <t>답</t>
        </is>
      </c>
      <c r="D3467" s="3" t="inlineStr">
        <is>
          <t>답</t>
        </is>
      </c>
      <c r="E3467" s="3" t="inlineStr">
        <is>
          <t>매매</t>
        </is>
      </c>
      <c r="F3467" s="4" t="n">
        <v>57700</v>
      </c>
      <c r="G3467" s="4" t="n">
        <v>733</v>
      </c>
      <c r="H3467" s="4" t="n">
        <v>222</v>
      </c>
      <c r="I3467" s="5" t="n">
        <v>259.9</v>
      </c>
      <c r="J3467" s="4" t="n">
        <v>31.7</v>
      </c>
      <c r="K3467" s="3" t="inlineStr">
        <is>
          <t>세종시 연동면 명학리 편도 1차선 도로에 접하여 접근성과 광고효과 우수함</t>
        </is>
      </c>
      <c r="L3467" s="6">
        <f>HYPERLINK("https://fin.land.naver.com/articles/2645658711", "매물Link")</f>
        <v/>
      </c>
      <c r="M3467" s="6">
        <f>HYPERLINK("https://map.naver.com/p/search/세종특별자치시 연동면 명학리 731", "지도Link")</f>
        <v/>
      </c>
      <c r="N3467" s="6">
        <f>HYPERLINK("http://www.eum.go.kr/web/ar/lu/luLandDet.jsp?pnu=3611032023107310000&amp;isNoScr=script&amp;mode=search", "토지이음")</f>
        <v/>
      </c>
      <c r="O3467" s="3" t="inlineStr">
        <is>
          <t>하이엔드</t>
        </is>
      </c>
      <c r="P3467" s="3" t="n">
        <v>1</v>
      </c>
      <c r="Q3467" s="3" t="n">
        <v>733.4</v>
      </c>
      <c r="R3467" s="3" t="inlineStr">
        <is>
          <t>지정되지않음</t>
        </is>
      </c>
      <c r="S3467" s="3" t="inlineStr">
        <is>
          <t>답</t>
        </is>
      </c>
      <c r="T3467" s="3" t="inlineStr">
        <is>
          <t>평지</t>
        </is>
      </c>
      <c r="U3467" s="3" t="inlineStr">
        <is>
          <t>세로장방</t>
        </is>
      </c>
      <c r="V3467" s="3" t="inlineStr">
        <is>
          <t>소로한면</t>
        </is>
      </c>
    </row>
    <row r="3468">
      <c r="A3468" s="3" t="inlineStr">
        <is>
          <t>세종특별자치시 연동면 명학리 796</t>
        </is>
      </c>
      <c r="B3468" s="3" t="inlineStr">
        <is>
          <t>농림지역</t>
        </is>
      </c>
      <c r="C3468" s="3" t="inlineStr">
        <is>
          <t>답</t>
        </is>
      </c>
      <c r="D3468" s="3" t="inlineStr">
        <is>
          <t>답</t>
        </is>
      </c>
      <c r="E3468" s="3" t="inlineStr">
        <is>
          <t>매매</t>
        </is>
      </c>
      <c r="F3468" s="4" t="n">
        <v>36500</v>
      </c>
      <c r="G3468" s="4" t="n">
        <v>1996</v>
      </c>
      <c r="H3468" s="4" t="n">
        <v>604</v>
      </c>
      <c r="I3468" s="5" t="n">
        <v>60.4</v>
      </c>
      <c r="J3468" s="4" t="n">
        <v>28.3</v>
      </c>
      <c r="K3468" s="3" t="inlineStr">
        <is>
          <t>5생활권 초근접지역의 농지로 대토 및 장기투자 추천</t>
        </is>
      </c>
      <c r="L3468" s="6">
        <f>HYPERLINK("https://fin.land.naver.com/articles/2648305360", "매물Link")</f>
        <v/>
      </c>
      <c r="M3468" s="6">
        <f>HYPERLINK("https://map.naver.com/p/search/세종특별자치시 연동면 명학리 796", "지도Link")</f>
        <v/>
      </c>
      <c r="N3468" s="6">
        <f>HYPERLINK("http://www.eum.go.kr/web/ar/lu/luLandDet.jsp?pnu=3611032023107960000&amp;isNoScr=script&amp;mode=search", "토지이음")</f>
        <v/>
      </c>
      <c r="O3468" s="3" t="inlineStr">
        <is>
          <t>연동스카이</t>
        </is>
      </c>
      <c r="P3468" s="3" t="n">
        <v>1</v>
      </c>
      <c r="Q3468" s="3" t="n">
        <v>1996.8</v>
      </c>
      <c r="R3468" s="3" t="inlineStr">
        <is>
          <t>지정되지않음</t>
        </is>
      </c>
      <c r="S3468" s="3" t="inlineStr">
        <is>
          <t>답</t>
        </is>
      </c>
      <c r="T3468" s="3" t="inlineStr">
        <is>
          <t>평지</t>
        </is>
      </c>
      <c r="U3468" s="3" t="inlineStr">
        <is>
          <t>사다리형</t>
        </is>
      </c>
      <c r="V3468" s="3" t="inlineStr">
        <is>
          <t>세로한면(가)</t>
        </is>
      </c>
    </row>
    <row r="3469">
      <c r="A3469" s="3" t="inlineStr">
        <is>
          <t>세종특별자치시 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부강역 생활권 평탄 농지, 자경 및 주말농장 검토 적합</t>
        </is>
      </c>
      <c r="L3469" s="6">
        <f>HYPERLINK("https://fin.land.naver.com/articles/2645010975", "매물Link")</f>
        <v/>
      </c>
      <c r="M3469" s="6">
        <f>HYPERLINK("https://map.naver.com/p/search/세종특별자치시 연동면 명학리 844", "지도Link")</f>
        <v/>
      </c>
      <c r="N3469" s="6">
        <f>HYPERLINK("http://www.eum.go.kr/web/ar/lu/luLandDet.jsp?pnu=3611032023108440000&amp;isNoScr=script&amp;mode=search", "토지이음")</f>
        <v/>
      </c>
      <c r="O3469" s="3" t="inlineStr">
        <is>
          <t>세종소담황금</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세종특별자치시 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HYPERLINK("https://fin.land.naver.com/articles/2647688920", "매물Link")</f>
        <v/>
      </c>
      <c r="M3470" s="6">
        <f>HYPERLINK("https://map.naver.com/p/search/세종특별자치시 연동면 명학리 844", "지도Link")</f>
        <v/>
      </c>
      <c r="N3470" s="6">
        <f>HYPERLINK("http://www.eum.go.kr/web/ar/lu/luLandDet.jsp?pnu=3611032023108440000&amp;isNoScr=script&amp;mode=search", "토지이음")</f>
        <v/>
      </c>
      <c r="O3470" s="3" t="inlineStr">
        <is>
          <t>THE동아</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세종특별자치시 연동면 명학리 844</t>
        </is>
      </c>
      <c r="B3471" s="3" t="inlineStr">
        <is>
          <t>농림지역</t>
        </is>
      </c>
      <c r="C3471" s="3" t="inlineStr">
        <is>
          <t>답</t>
        </is>
      </c>
      <c r="D3471" s="3" t="inlineStr">
        <is>
          <t>답</t>
        </is>
      </c>
      <c r="E3471" s="3" t="inlineStr">
        <is>
          <t>매매</t>
        </is>
      </c>
      <c r="F3471" s="4" t="n">
        <v>20000</v>
      </c>
      <c r="G3471" s="4" t="n">
        <v>1319</v>
      </c>
      <c r="H3471" s="4" t="n">
        <v>399</v>
      </c>
      <c r="I3471" s="5" t="n">
        <v>50.1</v>
      </c>
      <c r="J3471" s="4" t="n">
        <v>28.5</v>
      </c>
      <c r="K3471" s="3" t="inlineStr">
        <is>
          <t>nan</t>
        </is>
      </c>
      <c r="L3471" s="6">
        <f>HYPERLINK("https://fin.land.naver.com/articles/2644847717", "매물Link")</f>
        <v/>
      </c>
      <c r="M3471" s="6">
        <f>HYPERLINK("https://map.naver.com/p/search/세종특별자치시 연동면 명학리 844", "지도Link")</f>
        <v/>
      </c>
      <c r="N3471" s="6">
        <f>HYPERLINK("http://www.eum.go.kr/web/ar/lu/luLandDet.jsp?pnu=3611032023108440000&amp;isNoScr=script&amp;mode=search", "토지이음")</f>
        <v/>
      </c>
      <c r="O3471" s="3" t="inlineStr">
        <is>
          <t>세종몽땅</t>
        </is>
      </c>
      <c r="P3471" s="3" t="n">
        <v>1</v>
      </c>
      <c r="Q3471" s="3" t="n">
        <v>1319.4</v>
      </c>
      <c r="R3471" s="3" t="inlineStr">
        <is>
          <t>지정되지않음</t>
        </is>
      </c>
      <c r="S3471" s="3" t="inlineStr">
        <is>
          <t>답</t>
        </is>
      </c>
      <c r="T3471" s="3" t="inlineStr">
        <is>
          <t>평지</t>
        </is>
      </c>
      <c r="U3471" s="3" t="inlineStr">
        <is>
          <t>사다리형</t>
        </is>
      </c>
      <c r="V3471" s="3" t="inlineStr">
        <is>
          <t>세로한면(가)</t>
        </is>
      </c>
    </row>
    <row r="3472">
      <c r="A3472" s="3" t="inlineStr">
        <is>
          <t>세종특별자치시 연동면 명학리 93-4</t>
        </is>
      </c>
      <c r="B3472" s="3" t="inlineStr">
        <is>
          <t>계획관리지역</t>
        </is>
      </c>
      <c r="C3472" s="3" t="inlineStr">
        <is>
          <t>전</t>
        </is>
      </c>
      <c r="D3472" s="3" t="inlineStr">
        <is>
          <t>전</t>
        </is>
      </c>
      <c r="E3472" s="3" t="inlineStr">
        <is>
          <t>매매</t>
        </is>
      </c>
      <c r="F3472" s="4" t="n">
        <v>110000</v>
      </c>
      <c r="G3472" s="4" t="n">
        <v>3819</v>
      </c>
      <c r="H3472" s="4" t="n">
        <v>1155</v>
      </c>
      <c r="I3472" s="5" t="n">
        <v>95.2</v>
      </c>
      <c r="J3472" s="4" t="n">
        <v>56.3</v>
      </c>
      <c r="K3472" s="3" t="inlineStr">
        <is>
          <t>계획관리 전. 3필지입니다. 현재 전으로 사용 중</t>
        </is>
      </c>
      <c r="L3472" s="6">
        <f>HYPERLINK("https://fin.land.naver.com/articles/2645134495", "매물Link")</f>
        <v/>
      </c>
      <c r="M3472" s="6">
        <f>HYPERLINK("https://map.naver.com/p/search/세종특별자치시 연동면 명학리 93-4", "지도Link")</f>
        <v/>
      </c>
      <c r="N3472" s="6">
        <f>HYPERLINK("http://www.eum.go.kr/web/ar/lu/luLandDet.jsp?pnu=3611032023100930004&amp;isNoScr=script&amp;mode=search", "토지이음")</f>
        <v/>
      </c>
      <c r="O3472" s="3" t="inlineStr">
        <is>
          <t>미스터홈즈강남지사</t>
        </is>
      </c>
      <c r="P3472" s="3" t="n">
        <v>1</v>
      </c>
      <c r="Q3472" s="3" t="n">
        <v>1865</v>
      </c>
      <c r="R3472" s="3" t="inlineStr">
        <is>
          <t>지정되지않음</t>
        </is>
      </c>
      <c r="S3472" s="3" t="inlineStr">
        <is>
          <t>전</t>
        </is>
      </c>
      <c r="T3472" s="3" t="inlineStr">
        <is>
          <t>완경사</t>
        </is>
      </c>
      <c r="U3472" s="3" t="inlineStr">
        <is>
          <t>부정형</t>
        </is>
      </c>
      <c r="V3472" s="3" t="inlineStr">
        <is>
          <t>맹지</t>
        </is>
      </c>
    </row>
    <row r="3473">
      <c r="A3473" s="3" t="inlineStr">
        <is>
          <t>세종특별자치시 연동면 명학리 산3</t>
        </is>
      </c>
      <c r="B3473" s="3" t="inlineStr">
        <is>
          <t>보전관리지역</t>
        </is>
      </c>
      <c r="C3473" s="3" t="inlineStr">
        <is>
          <t>임야</t>
        </is>
      </c>
      <c r="D3473" s="3" t="inlineStr">
        <is>
          <t>전</t>
        </is>
      </c>
      <c r="E3473" s="3" t="inlineStr">
        <is>
          <t>매매</t>
        </is>
      </c>
      <c r="F3473" s="4" t="n">
        <v>170000</v>
      </c>
      <c r="G3473" s="4" t="n">
        <v>1636</v>
      </c>
      <c r="H3473" s="4" t="n">
        <v>495</v>
      </c>
      <c r="I3473" s="5" t="n">
        <v>343.4</v>
      </c>
      <c r="J3473" s="4" t="n">
        <v>7.9</v>
      </c>
      <c r="K3473" s="3" t="inlineStr">
        <is>
          <t>nan</t>
        </is>
      </c>
      <c r="L3473" s="6">
        <f>HYPERLINK("https://fin.land.naver.com/articles/2644286770", "매물Link")</f>
        <v/>
      </c>
      <c r="M3473" s="6">
        <f>HYPERLINK("https://map.naver.com/p/search/세종특별자치시 연동면 명학리 산3", "지도Link")</f>
        <v/>
      </c>
      <c r="N3473" s="6">
        <f>HYPERLINK("http://www.eum.go.kr/web/ar/lu/luLandDet.jsp?pnu=3611032023200030000&amp;isNoScr=script&amp;mode=search", "토지이음")</f>
        <v/>
      </c>
      <c r="O3473" s="3" t="inlineStr">
        <is>
          <t>명당</t>
        </is>
      </c>
      <c r="P3473" s="3" t="n">
        <v>1</v>
      </c>
      <c r="Q3473" s="3" t="n">
        <v>10612</v>
      </c>
      <c r="R3473" s="3" t="inlineStr">
        <is>
          <t>농림지역</t>
        </is>
      </c>
      <c r="S3473" s="3" t="inlineStr">
        <is>
          <t>자연림</t>
        </is>
      </c>
      <c r="T3473" s="3" t="inlineStr">
        <is>
          <t>완경사</t>
        </is>
      </c>
      <c r="U3473" s="3" t="inlineStr">
        <is>
          <t>부정형</t>
        </is>
      </c>
      <c r="V3473" s="3" t="inlineStr">
        <is>
          <t>맹지</t>
        </is>
      </c>
    </row>
    <row r="3474">
      <c r="A3474" s="3" t="inlineStr">
        <is>
          <t>세종특별자치시 연동면 문주리 145-8</t>
        </is>
      </c>
      <c r="B3474" s="3" t="inlineStr">
        <is>
          <t>계획관리지역</t>
        </is>
      </c>
      <c r="C3474" s="3" t="inlineStr">
        <is>
          <t>대</t>
        </is>
      </c>
      <c r="D3474" s="3" t="inlineStr">
        <is>
          <t>대</t>
        </is>
      </c>
      <c r="E3474" s="3" t="inlineStr">
        <is>
          <t>매매</t>
        </is>
      </c>
      <c r="F3474" s="4" t="n">
        <v>18000</v>
      </c>
      <c r="G3474" s="4" t="n">
        <v>235</v>
      </c>
      <c r="H3474" s="4" t="n">
        <v>71</v>
      </c>
      <c r="I3474" s="5" t="n">
        <v>253.5</v>
      </c>
      <c r="J3474" s="4" t="n">
        <v>75</v>
      </c>
      <c r="K3474" s="3" t="inlineStr">
        <is>
          <t>급매, 계획관리지역, 도로 접한 형상 좋은 대지입니다.</t>
        </is>
      </c>
      <c r="L3474" s="6">
        <f>HYPERLINK("https://fin.land.naver.com/articles/2645662856", "매물Link")</f>
        <v/>
      </c>
      <c r="M3474" s="6">
        <f>HYPERLINK("https://map.naver.com/p/search/세종특별자치시 연동면 문주리 145-8", "지도Link")</f>
        <v/>
      </c>
      <c r="N3474" s="6">
        <f>HYPERLINK("http://www.eum.go.kr/web/ar/lu/luLandDet.jsp?pnu=3611032022101450008&amp;isNoScr=script&amp;mode=search", "토지이음")</f>
        <v/>
      </c>
      <c r="O3474" s="3" t="inlineStr">
        <is>
          <t>나폴리</t>
        </is>
      </c>
      <c r="P3474" s="3" t="n">
        <v>1</v>
      </c>
      <c r="Q3474" s="3" t="n">
        <v>235</v>
      </c>
      <c r="R3474" s="3" t="inlineStr">
        <is>
          <t>지정되지않음</t>
        </is>
      </c>
      <c r="S3474" s="3" t="inlineStr">
        <is>
          <t>주거나지</t>
        </is>
      </c>
      <c r="T3474" s="3" t="inlineStr">
        <is>
          <t>평지</t>
        </is>
      </c>
      <c r="U3474" s="3" t="inlineStr">
        <is>
          <t>부정형</t>
        </is>
      </c>
      <c r="V3474" s="3" t="inlineStr">
        <is>
          <t>세로한면(가)</t>
        </is>
      </c>
    </row>
    <row r="3475">
      <c r="A3475" s="3" t="inlineStr">
        <is>
          <t>세종특별자치시 연동면 문주리 956-3</t>
        </is>
      </c>
      <c r="B3475" s="3" t="inlineStr">
        <is>
          <t>농림지역</t>
        </is>
      </c>
      <c r="C3475" s="3" t="inlineStr">
        <is>
          <t>답</t>
        </is>
      </c>
      <c r="D3475" s="3" t="inlineStr">
        <is>
          <t>답</t>
        </is>
      </c>
      <c r="E3475" s="3" t="inlineStr">
        <is>
          <t>매매</t>
        </is>
      </c>
      <c r="F3475" s="4" t="n">
        <v>88700</v>
      </c>
      <c r="G3475" s="4" t="n">
        <v>2930</v>
      </c>
      <c r="H3475" s="4" t="n">
        <v>886</v>
      </c>
      <c r="I3475" s="5" t="n">
        <v>100.1</v>
      </c>
      <c r="J3475" s="4" t="n">
        <v>24.5</v>
      </c>
      <c r="K3475" s="3" t="inlineStr">
        <is>
          <t>구거 통해도로와 접한 농지,바로옆 도로 공사중</t>
        </is>
      </c>
      <c r="L3475" s="6">
        <f>HYPERLINK("https://fin.land.naver.com/articles/2648555398", "매물Link")</f>
        <v/>
      </c>
      <c r="M3475" s="6">
        <f>HYPERLINK("https://map.naver.com/p/search/세종특별자치시 연동면 문주리 956-3", "지도Link")</f>
        <v/>
      </c>
      <c r="N3475" s="6">
        <f>HYPERLINK("http://www.eum.go.kr/web/ar/lu/luLandDet.jsp?pnu=3611032022109560003&amp;isNoScr=script&amp;mode=search", "토지이음")</f>
        <v/>
      </c>
      <c r="O3475" s="3" t="inlineStr">
        <is>
          <t>향기나는방</t>
        </is>
      </c>
      <c r="P3475" s="3" t="n">
        <v>1</v>
      </c>
      <c r="Q3475" s="3" t="n">
        <v>2930.7</v>
      </c>
      <c r="R3475" s="3" t="inlineStr">
        <is>
          <t>지정되지않음</t>
        </is>
      </c>
      <c r="S3475" s="3" t="inlineStr">
        <is>
          <t>답</t>
        </is>
      </c>
      <c r="T3475" s="3" t="inlineStr">
        <is>
          <t>평지</t>
        </is>
      </c>
      <c r="U3475" s="3" t="inlineStr">
        <is>
          <t>부정형</t>
        </is>
      </c>
      <c r="V3475" s="3" t="inlineStr">
        <is>
          <t>세로한면(가)</t>
        </is>
      </c>
    </row>
    <row r="3476">
      <c r="A3476" s="3" t="inlineStr">
        <is>
          <t>세종특별자치시 연동면 문주리 967-7</t>
        </is>
      </c>
      <c r="B3476" s="3" t="inlineStr">
        <is>
          <t>농림지역</t>
        </is>
      </c>
      <c r="C3476" s="3" t="inlineStr">
        <is>
          <t>답</t>
        </is>
      </c>
      <c r="D3476" s="3" t="inlineStr">
        <is>
          <t>답</t>
        </is>
      </c>
      <c r="E3476" s="3" t="inlineStr">
        <is>
          <t>매매</t>
        </is>
      </c>
      <c r="F3476" s="4" t="n">
        <v>61000</v>
      </c>
      <c r="G3476" s="4" t="n">
        <v>2523</v>
      </c>
      <c r="H3476" s="4" t="n">
        <v>763</v>
      </c>
      <c r="I3476" s="5" t="n">
        <v>79.90000000000001</v>
      </c>
      <c r="J3476" s="4" t="n">
        <v>23.5</v>
      </c>
      <c r="K3476" s="3" t="inlineStr">
        <is>
          <t>nan</t>
        </is>
      </c>
      <c r="L3476" s="6">
        <f>HYPERLINK("https://fin.land.naver.com/articles/2644817653", "매물Link")</f>
        <v/>
      </c>
      <c r="M3476" s="6">
        <f>HYPERLINK("https://map.naver.com/p/search/세종특별자치시 연동면 문주리 967-7", "지도Link")</f>
        <v/>
      </c>
      <c r="N3476" s="6">
        <f>HYPERLINK("http://www.eum.go.kr/web/ar/lu/luLandDet.jsp?pnu=3611032022109670007&amp;isNoScr=script&amp;mode=search", "토지이음")</f>
        <v/>
      </c>
      <c r="O3476" s="3" t="inlineStr">
        <is>
          <t>세종몽땅</t>
        </is>
      </c>
      <c r="P3476" s="3" t="n">
        <v>1</v>
      </c>
      <c r="Q3476" s="3" t="n">
        <v>2523.7</v>
      </c>
      <c r="R3476" s="3" t="inlineStr">
        <is>
          <t>지정되지않음</t>
        </is>
      </c>
      <c r="S3476" s="3" t="inlineStr">
        <is>
          <t>답</t>
        </is>
      </c>
      <c r="T3476" s="3" t="inlineStr">
        <is>
          <t>평지</t>
        </is>
      </c>
      <c r="U3476" s="3" t="inlineStr">
        <is>
          <t>세로장방</t>
        </is>
      </c>
      <c r="V3476" s="3" t="inlineStr">
        <is>
          <t>세로한면(가)</t>
        </is>
      </c>
    </row>
    <row r="3477">
      <c r="A3477" s="3" t="inlineStr">
        <is>
          <t>세종특별자치시 연동면 문주리 968-13</t>
        </is>
      </c>
      <c r="B3477" s="3" t="inlineStr">
        <is>
          <t>농림지역</t>
        </is>
      </c>
      <c r="C3477" s="3" t="inlineStr">
        <is>
          <t>답</t>
        </is>
      </c>
      <c r="D3477" s="3" t="inlineStr">
        <is>
          <t>답</t>
        </is>
      </c>
      <c r="E3477" s="3" t="inlineStr">
        <is>
          <t>매매</t>
        </is>
      </c>
      <c r="F3477" s="4" t="n">
        <v>245000</v>
      </c>
      <c r="G3477" s="4" t="n">
        <v>7204</v>
      </c>
      <c r="H3477" s="4" t="n">
        <v>2179</v>
      </c>
      <c r="I3477" s="5" t="n">
        <v>112.4</v>
      </c>
      <c r="J3477" s="4" t="n">
        <v>27</v>
      </c>
      <c r="K3477" s="3" t="inlineStr">
        <is>
          <t>축사임.</t>
        </is>
      </c>
      <c r="L3477" s="6">
        <f>HYPERLINK("https://fin.land.naver.com/articles/2647564865", "매물Link")</f>
        <v/>
      </c>
      <c r="M3477" s="6">
        <f>HYPERLINK("https://map.naver.com/p/search/세종특별자치시 연동면 문주리 968-13", "지도Link")</f>
        <v/>
      </c>
      <c r="N3477" s="6">
        <f>HYPERLINK("http://www.eum.go.kr/web/ar/lu/luLandDet.jsp?pnu=3611032022109680013&amp;isNoScr=script&amp;mode=search", "토지이음")</f>
        <v/>
      </c>
      <c r="O3477" s="3" t="inlineStr">
        <is>
          <t>햇빛</t>
        </is>
      </c>
      <c r="P3477" s="3" t="n">
        <v>1</v>
      </c>
      <c r="Q3477" s="3" t="n">
        <v>7204.9</v>
      </c>
      <c r="R3477" s="3" t="inlineStr">
        <is>
          <t>지정되지않음</t>
        </is>
      </c>
      <c r="S3477" s="3" t="inlineStr">
        <is>
          <t>답축사</t>
        </is>
      </c>
      <c r="T3477" s="3" t="inlineStr">
        <is>
          <t>평지</t>
        </is>
      </c>
      <c r="U3477" s="3" t="inlineStr">
        <is>
          <t>세로장방</t>
        </is>
      </c>
      <c r="V3477" s="3" t="inlineStr">
        <is>
          <t>세로한면(가)</t>
        </is>
      </c>
    </row>
    <row r="3478">
      <c r="A3478" s="3" t="inlineStr">
        <is>
          <t>세종특별자치시 연동면 문주리 980-10</t>
        </is>
      </c>
      <c r="B3478" s="3" t="inlineStr">
        <is>
          <t>농림지역</t>
        </is>
      </c>
      <c r="C3478" s="3" t="inlineStr">
        <is>
          <t>답</t>
        </is>
      </c>
      <c r="D3478" s="3" t="inlineStr">
        <is>
          <t>답</t>
        </is>
      </c>
      <c r="E3478" s="3" t="inlineStr">
        <is>
          <t>매매</t>
        </is>
      </c>
      <c r="F3478" s="4" t="n">
        <v>58000</v>
      </c>
      <c r="G3478" s="4" t="n">
        <v>2388</v>
      </c>
      <c r="H3478" s="4" t="n">
        <v>722</v>
      </c>
      <c r="I3478" s="5" t="n">
        <v>80.3</v>
      </c>
      <c r="J3478" s="4" t="n">
        <v>23.6</v>
      </c>
      <c r="K3478" s="3" t="inlineStr">
        <is>
          <t>농림지역 답 현재 옆필지와 함께 농사중</t>
        </is>
      </c>
      <c r="L3478" s="6">
        <f>HYPERLINK("https://fin.land.naver.com/articles/2649908913", "매물Link")</f>
        <v/>
      </c>
      <c r="M3478" s="6">
        <f>HYPERLINK("https://map.naver.com/p/search/세종특별자치시 연동면 문주리 980-10", "지도Link")</f>
        <v/>
      </c>
      <c r="N3478" s="6">
        <f>HYPERLINK("http://www.eum.go.kr/web/ar/lu/luLandDet.jsp?pnu=3611032022109800010&amp;isNoScr=script&amp;mode=search", "토지이음")</f>
        <v/>
      </c>
      <c r="O3478" s="3" t="inlineStr">
        <is>
          <t>미스터홈즈강남지사</t>
        </is>
      </c>
      <c r="P3478" s="3" t="n">
        <v>1</v>
      </c>
      <c r="Q3478" s="3" t="n">
        <v>2388</v>
      </c>
      <c r="R3478" s="3" t="inlineStr">
        <is>
          <t>지정되지않음</t>
        </is>
      </c>
      <c r="S3478" s="3" t="inlineStr">
        <is>
          <t>답</t>
        </is>
      </c>
      <c r="T3478" s="3" t="inlineStr">
        <is>
          <t>평지</t>
        </is>
      </c>
      <c r="U3478" s="3" t="inlineStr">
        <is>
          <t>사다리형</t>
        </is>
      </c>
      <c r="V3478" s="3" t="inlineStr">
        <is>
          <t>세로한면(가)</t>
        </is>
      </c>
    </row>
    <row r="3479">
      <c r="A3479" s="3" t="inlineStr">
        <is>
          <t>세종특별자치시 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가격저렴한 대토 및 장기투자</t>
        </is>
      </c>
      <c r="L3479" s="6">
        <f>HYPERLINK("https://fin.land.naver.com/articles/2650179155", "매물Link")</f>
        <v/>
      </c>
      <c r="M3479" s="6">
        <f>HYPERLINK("https://map.naver.com/p/search/세종특별자치시 연동면 송용리 1025-4", "지도Link")</f>
        <v/>
      </c>
      <c r="N3479" s="6">
        <f>HYPERLINK("http://www.eum.go.kr/web/ar/lu/luLandDet.jsp?pnu=3611032027110250004&amp;isNoScr=script&amp;mode=search", "토지이음")</f>
        <v/>
      </c>
      <c r="O3479" s="3" t="inlineStr">
        <is>
          <t>연동스카이</t>
        </is>
      </c>
      <c r="P3479" s="3" t="n">
        <v>2</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세종특별자치시 연동면 송용리 1025-4</t>
        </is>
      </c>
      <c r="B3480" s="3" t="inlineStr">
        <is>
          <t>농림지역</t>
        </is>
      </c>
      <c r="C3480" s="3" t="inlineStr">
        <is>
          <t>답</t>
        </is>
      </c>
      <c r="D3480" s="3" t="inlineStr">
        <is>
          <t>답</t>
        </is>
      </c>
      <c r="E3480" s="3" t="inlineStr">
        <is>
          <t>매매</t>
        </is>
      </c>
      <c r="F3480" s="4" t="n">
        <v>13600</v>
      </c>
      <c r="G3480" s="4" t="n">
        <v>998</v>
      </c>
      <c r="H3480" s="4" t="n">
        <v>302</v>
      </c>
      <c r="I3480" s="5" t="n">
        <v>45</v>
      </c>
      <c r="J3480" s="4" t="n">
        <v>24.1</v>
      </c>
      <c r="K3480" s="3" t="inlineStr">
        <is>
          <t>주변 시세대비 아주저렴</t>
        </is>
      </c>
      <c r="L3480" s="6">
        <f>HYPERLINK("https://fin.land.naver.com/articles/2648462411", "매물Link")</f>
        <v/>
      </c>
      <c r="M3480" s="6">
        <f>HYPERLINK("https://map.naver.com/p/search/세종특별자치시 연동면 송용리 1025-4", "지도Link")</f>
        <v/>
      </c>
      <c r="N3480" s="6">
        <f>HYPERLINK("http://www.eum.go.kr/web/ar/lu/luLandDet.jsp?pnu=3611032027110250004&amp;isNoScr=script&amp;mode=search", "토지이음")</f>
        <v/>
      </c>
      <c r="O3480" s="3" t="inlineStr">
        <is>
          <t>세종땅전문</t>
        </is>
      </c>
      <c r="P3480" s="3" t="n">
        <v>1</v>
      </c>
      <c r="Q3480" s="3" t="n">
        <v>998.9</v>
      </c>
      <c r="R3480" s="3" t="inlineStr">
        <is>
          <t>지정되지않음</t>
        </is>
      </c>
      <c r="S3480" s="3" t="inlineStr">
        <is>
          <t>답</t>
        </is>
      </c>
      <c r="T3480" s="3" t="inlineStr">
        <is>
          <t>평지</t>
        </is>
      </c>
      <c r="U3480" s="3" t="inlineStr">
        <is>
          <t>세로장방</t>
        </is>
      </c>
      <c r="V3480" s="3" t="inlineStr">
        <is>
          <t>세로한면(가)</t>
        </is>
      </c>
    </row>
    <row r="3481">
      <c r="A3481" s="3" t="inlineStr">
        <is>
          <t>세종특별자치시 연동면 송용리 1039-5</t>
        </is>
      </c>
      <c r="B3481" s="3" t="inlineStr">
        <is>
          <t>농림지역</t>
        </is>
      </c>
      <c r="C3481" s="3" t="inlineStr">
        <is>
          <t>답</t>
        </is>
      </c>
      <c r="D3481" s="3" t="inlineStr">
        <is>
          <t>답</t>
        </is>
      </c>
      <c r="E3481" s="3" t="inlineStr">
        <is>
          <t>매매</t>
        </is>
      </c>
      <c r="F3481" s="4" t="n">
        <v>66600</v>
      </c>
      <c r="G3481" s="4" t="n">
        <v>2749</v>
      </c>
      <c r="H3481" s="4" t="n">
        <v>832</v>
      </c>
      <c r="I3481" s="5" t="n">
        <v>80</v>
      </c>
      <c r="J3481" s="4" t="n">
        <v>24.8</v>
      </c>
      <c r="K3481" s="3" t="inlineStr">
        <is>
          <t>투자용</t>
        </is>
      </c>
      <c r="L3481" s="6">
        <f>HYPERLINK("https://fin.land.naver.com/articles/2647374045", "매물Link")</f>
        <v/>
      </c>
      <c r="M3481" s="6">
        <f>HYPERLINK("https://map.naver.com/p/search/세종특별자치시 연동면 송용리 1039-5", "지도Link")</f>
        <v/>
      </c>
      <c r="N3481" s="6">
        <f>HYPERLINK("http://www.eum.go.kr/web/ar/lu/luLandDet.jsp?pnu=3611032027110390005&amp;isNoScr=script&amp;mode=search", "토지이음")</f>
        <v/>
      </c>
      <c r="O3481" s="3" t="inlineStr">
        <is>
          <t>제우스</t>
        </is>
      </c>
      <c r="P3481" s="3" t="n">
        <v>1</v>
      </c>
      <c r="Q3481" s="3" t="n">
        <v>2749.1</v>
      </c>
      <c r="R3481" s="3" t="inlineStr">
        <is>
          <t>지정되지않음</t>
        </is>
      </c>
      <c r="S3481" s="3" t="inlineStr">
        <is>
          <t>답</t>
        </is>
      </c>
      <c r="T3481" s="3" t="inlineStr">
        <is>
          <t>평지</t>
        </is>
      </c>
      <c r="U3481" s="3" t="inlineStr">
        <is>
          <t>세로장방</t>
        </is>
      </c>
      <c r="V3481" s="3" t="inlineStr">
        <is>
          <t>세로한면(가)</t>
        </is>
      </c>
    </row>
    <row r="3482">
      <c r="A3482" s="3" t="inlineStr">
        <is>
          <t>세종특별자치시 연동면 송용리 179-2</t>
        </is>
      </c>
      <c r="B3482" s="3" t="inlineStr">
        <is>
          <t>계획관리지역</t>
        </is>
      </c>
      <c r="C3482" s="3" t="inlineStr">
        <is>
          <t>대</t>
        </is>
      </c>
      <c r="D3482" s="3" t="inlineStr">
        <is>
          <t>대</t>
        </is>
      </c>
      <c r="E3482" s="3" t="inlineStr">
        <is>
          <t>매매</t>
        </is>
      </c>
      <c r="F3482" s="4" t="n">
        <v>250000</v>
      </c>
      <c r="G3482" s="4" t="n">
        <v>1837</v>
      </c>
      <c r="H3482" s="4" t="n">
        <v>556</v>
      </c>
      <c r="I3482" s="5" t="n">
        <v>449.6</v>
      </c>
      <c r="J3482" s="4" t="n">
        <v>309.9</v>
      </c>
      <c r="K3482" s="3" t="inlineStr">
        <is>
          <t>연동면 대형 식당자리 추천</t>
        </is>
      </c>
      <c r="L3482" s="6">
        <f>HYPERLINK("https://fin.land.naver.com/articles/2649703500", "매물Link")</f>
        <v/>
      </c>
      <c r="M3482" s="6">
        <f>HYPERLINK("https://map.naver.com/p/search/세종특별자치시 연동면 송용리 179-2", "지도Link")</f>
        <v/>
      </c>
      <c r="N3482" s="6">
        <f>HYPERLINK("http://www.eum.go.kr/web/ar/lu/luLandDet.jsp?pnu=3611032027101790002&amp;isNoScr=script&amp;mode=search", "토지이음")</f>
        <v/>
      </c>
      <c r="O3482" s="3" t="inlineStr">
        <is>
          <t>강아지풀</t>
        </is>
      </c>
      <c r="P3482" s="3" t="n">
        <v>1</v>
      </c>
      <c r="Q3482" s="3" t="n">
        <v>1358</v>
      </c>
      <c r="R3482" s="3" t="inlineStr">
        <is>
          <t>지정되지않음</t>
        </is>
      </c>
      <c r="S3482" s="3" t="inlineStr">
        <is>
          <t>상업용</t>
        </is>
      </c>
      <c r="T3482" s="3" t="inlineStr">
        <is>
          <t>평지</t>
        </is>
      </c>
      <c r="U3482" s="3" t="inlineStr">
        <is>
          <t>사다리형</t>
        </is>
      </c>
      <c r="V3482" s="3" t="inlineStr">
        <is>
          <t>소로한면</t>
        </is>
      </c>
    </row>
    <row r="3483">
      <c r="A3483" s="3" t="inlineStr">
        <is>
          <t>세종특별자치시 연동면 송용리 179-9</t>
        </is>
      </c>
      <c r="B3483" s="3" t="inlineStr">
        <is>
          <t>계획관리지역</t>
        </is>
      </c>
      <c r="C3483" s="3" t="inlineStr">
        <is>
          <t>잡종지</t>
        </is>
      </c>
      <c r="D3483" s="3" t="inlineStr">
        <is>
          <t>잡종지</t>
        </is>
      </c>
      <c r="E3483" s="3" t="inlineStr">
        <is>
          <t>매매</t>
        </is>
      </c>
      <c r="F3483" s="4" t="n">
        <v>80000</v>
      </c>
      <c r="G3483" s="4" t="n">
        <v>900</v>
      </c>
      <c r="H3483" s="4" t="n">
        <v>272</v>
      </c>
      <c r="I3483" s="5" t="n">
        <v>294.1</v>
      </c>
      <c r="J3483" s="4" t="n">
        <v>86.5</v>
      </c>
      <c r="K3483" s="3" t="inlineStr">
        <is>
          <t>태양광시설</t>
        </is>
      </c>
      <c r="L3483" s="6">
        <f>HYPERLINK("https://fin.land.naver.com/articles/2644390600", "매물Link")</f>
        <v/>
      </c>
      <c r="M3483" s="6">
        <f>HYPERLINK("https://map.naver.com/p/search/세종특별자치시 연동면 송용리 179-9", "지도Link")</f>
        <v/>
      </c>
      <c r="N3483" s="6">
        <f>HYPERLINK("http://www.eum.go.kr/web/ar/lu/luLandDet.jsp?pnu=3611032027101790009&amp;isNoScr=script&amp;mode=search", "토지이음")</f>
        <v/>
      </c>
      <c r="O3483" s="3" t="inlineStr">
        <is>
          <t>한창</t>
        </is>
      </c>
      <c r="P3483" s="3" t="n">
        <v>1</v>
      </c>
      <c r="Q3483" s="3" t="n">
        <v>450</v>
      </c>
      <c r="R3483" s="3" t="inlineStr">
        <is>
          <t>지정되지않음</t>
        </is>
      </c>
      <c r="S3483" s="3" t="inlineStr">
        <is>
          <t>태양광발전소부지</t>
        </is>
      </c>
      <c r="T3483" s="3" t="inlineStr">
        <is>
          <t>평지</t>
        </is>
      </c>
      <c r="U3483" s="3" t="inlineStr">
        <is>
          <t>부정형</t>
        </is>
      </c>
      <c r="V3483" s="3" t="inlineStr">
        <is>
          <t>세로한면(가)</t>
        </is>
      </c>
    </row>
    <row r="3484">
      <c r="A3484" s="3" t="inlineStr">
        <is>
          <t>세종특별자치시 연동면 송용리 213-4</t>
        </is>
      </c>
      <c r="B3484" s="3" t="inlineStr">
        <is>
          <t>계획관리지역</t>
        </is>
      </c>
      <c r="C3484" s="3" t="inlineStr">
        <is>
          <t>전</t>
        </is>
      </c>
      <c r="D3484" s="3" t="inlineStr">
        <is>
          <t>전</t>
        </is>
      </c>
      <c r="E3484" s="3" t="inlineStr">
        <is>
          <t>매매</t>
        </is>
      </c>
      <c r="F3484" s="4" t="n">
        <v>70000</v>
      </c>
      <c r="G3484" s="4" t="n">
        <v>662</v>
      </c>
      <c r="H3484" s="4" t="n">
        <v>200</v>
      </c>
      <c r="I3484" s="5" t="n">
        <v>350</v>
      </c>
      <c r="J3484" s="4" t="n">
        <v>62</v>
      </c>
      <c r="K3484" s="3" t="inlineStr">
        <is>
          <t>계획관리지역으로 8미터이상 도로에 접한 직사각형 토지, 주변환경 좋음</t>
        </is>
      </c>
      <c r="L3484" s="6">
        <f>HYPERLINK("https://fin.land.naver.com/articles/2644778617", "매물Link")</f>
        <v/>
      </c>
      <c r="M3484" s="6">
        <f>HYPERLINK("https://map.naver.com/p/search/세종특별자치시 연동면 송용리 213-4", "지도Link")</f>
        <v/>
      </c>
      <c r="N3484" s="6">
        <f>HYPERLINK("http://www.eum.go.kr/web/ar/lu/luLandDet.jsp?pnu=3611032027102130004&amp;isNoScr=script&amp;mode=search", "토지이음")</f>
        <v/>
      </c>
      <c r="O3484" s="3" t="inlineStr">
        <is>
          <t>가수원</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세종특별자치시 연동면 송용리 213-6</t>
        </is>
      </c>
      <c r="B3485" s="3" t="inlineStr">
        <is>
          <t>계획관리지역</t>
        </is>
      </c>
      <c r="C3485" s="3" t="inlineStr">
        <is>
          <t>전</t>
        </is>
      </c>
      <c r="D3485" s="3" t="inlineStr">
        <is>
          <t>전</t>
        </is>
      </c>
      <c r="E3485" s="3" t="inlineStr">
        <is>
          <t>매매</t>
        </is>
      </c>
      <c r="F3485" s="4" t="n">
        <v>66000</v>
      </c>
      <c r="G3485" s="4" t="n">
        <v>662</v>
      </c>
      <c r="H3485" s="4" t="n">
        <v>200</v>
      </c>
      <c r="I3485" s="5" t="n">
        <v>330</v>
      </c>
      <c r="J3485" s="4" t="n">
        <v>62</v>
      </c>
      <c r="K3485" s="3" t="inlineStr">
        <is>
          <t>급매. 5생활권 인접 도로접한 토지</t>
        </is>
      </c>
      <c r="L3485" s="6">
        <f>HYPERLINK("https://fin.land.naver.com/articles/2645465831", "매물Link")</f>
        <v/>
      </c>
      <c r="M3485" s="6">
        <f>HYPERLINK("https://map.naver.com/p/search/세종특별자치시 연동면 송용리 213-6", "지도Link")</f>
        <v/>
      </c>
      <c r="N3485" s="6">
        <f>HYPERLINK("http://www.eum.go.kr/web/ar/lu/luLandDet.jsp?pnu=3611032027102130006&amp;isNoScr=script&amp;mode=search", "토지이음")</f>
        <v/>
      </c>
      <c r="O3485" s="3" t="inlineStr">
        <is>
          <t>강아지풀</t>
        </is>
      </c>
      <c r="P3485" s="3" t="n">
        <v>1</v>
      </c>
      <c r="Q3485" s="3" t="n">
        <v>662</v>
      </c>
      <c r="R3485" s="3" t="inlineStr">
        <is>
          <t>지정되지않음</t>
        </is>
      </c>
      <c r="S3485" s="3" t="inlineStr">
        <is>
          <t>전</t>
        </is>
      </c>
      <c r="T3485" s="3" t="inlineStr">
        <is>
          <t>평지</t>
        </is>
      </c>
      <c r="U3485" s="3" t="inlineStr">
        <is>
          <t>사다리형</t>
        </is>
      </c>
      <c r="V3485" s="3" t="inlineStr">
        <is>
          <t>세로한면(가)</t>
        </is>
      </c>
    </row>
    <row r="3486">
      <c r="A3486" s="3" t="inlineStr">
        <is>
          <t>세종특별자치시 연동면 송용리 261-34</t>
        </is>
      </c>
      <c r="B3486" s="3" t="inlineStr">
        <is>
          <t>보전관리지역</t>
        </is>
      </c>
      <c r="C3486" s="3" t="inlineStr">
        <is>
          <t>대</t>
        </is>
      </c>
      <c r="D3486" s="3" t="inlineStr">
        <is>
          <t>대</t>
        </is>
      </c>
      <c r="E3486" s="3" t="inlineStr">
        <is>
          <t>매매</t>
        </is>
      </c>
      <c r="F3486" s="4" t="n">
        <v>50000</v>
      </c>
      <c r="G3486" s="4" t="n">
        <v>500</v>
      </c>
      <c r="H3486" s="4" t="n">
        <v>151</v>
      </c>
      <c r="I3486" s="5" t="n">
        <v>331.1</v>
      </c>
      <c r="J3486" s="4" t="n">
        <v>118.8</v>
      </c>
      <c r="K3486" s="3" t="inlineStr">
        <is>
          <t>계획관리지역,성장관리계획구역,대지,전원주택 용지로 투자가치 좋아요.</t>
        </is>
      </c>
      <c r="L3486" s="6">
        <f>HYPERLINK("https://fin.land.naver.com/articles/2649355280", "매물Link")</f>
        <v/>
      </c>
      <c r="M3486" s="6">
        <f>HYPERLINK("https://map.naver.com/p/search/세종특별자치시 연동면 송용리 261-34", "지도Link")</f>
        <v/>
      </c>
      <c r="N3486" s="6">
        <f>HYPERLINK("http://www.eum.go.kr/web/ar/lu/luLandDet.jsp?pnu=3611032027102610034&amp;isNoScr=script&amp;mode=search", "토지이음")</f>
        <v/>
      </c>
      <c r="O3486" s="3" t="inlineStr">
        <is>
          <t>마마</t>
        </is>
      </c>
      <c r="P3486" s="3" t="n">
        <v>1</v>
      </c>
      <c r="Q3486" s="3" t="n">
        <v>500</v>
      </c>
      <c r="R3486" s="3" t="inlineStr">
        <is>
          <t>지정되지않음</t>
        </is>
      </c>
      <c r="S3486" s="3" t="inlineStr">
        <is>
          <t>주상용</t>
        </is>
      </c>
      <c r="T3486" s="3" t="inlineStr">
        <is>
          <t>완경사</t>
        </is>
      </c>
      <c r="U3486" s="3" t="inlineStr">
        <is>
          <t>사다리형</t>
        </is>
      </c>
      <c r="V3486" s="3" t="inlineStr">
        <is>
          <t>세로한면(가)</t>
        </is>
      </c>
    </row>
    <row r="3487">
      <c r="A3487" s="3" t="inlineStr">
        <is>
          <t>세종특별자치시 연동면 송용리 261-8</t>
        </is>
      </c>
      <c r="B3487" s="3" t="inlineStr">
        <is>
          <t>보전관리지역</t>
        </is>
      </c>
      <c r="C3487" s="3" t="inlineStr">
        <is>
          <t>대</t>
        </is>
      </c>
      <c r="D3487" s="3" t="inlineStr">
        <is>
          <t>대</t>
        </is>
      </c>
      <c r="E3487" s="3" t="inlineStr">
        <is>
          <t>매매</t>
        </is>
      </c>
      <c r="F3487" s="4" t="n">
        <v>329000</v>
      </c>
      <c r="G3487" s="4" t="n">
        <v>4350</v>
      </c>
      <c r="H3487" s="4" t="n">
        <v>1316</v>
      </c>
      <c r="I3487" s="5" t="n">
        <v>250</v>
      </c>
      <c r="J3487" s="4" t="n">
        <v>121.3</v>
      </c>
      <c r="K3487" s="3" t="inlineStr">
        <is>
          <t>nan</t>
        </is>
      </c>
      <c r="L3487" s="6">
        <f>HYPERLINK("https://fin.land.naver.com/articles/2647973165", "매물Link")</f>
        <v/>
      </c>
      <c r="M3487" s="6">
        <f>HYPERLINK("https://map.naver.com/p/search/세종특별자치시 연동면 송용리 261-8", "지도Link")</f>
        <v/>
      </c>
      <c r="N3487" s="6">
        <f>HYPERLINK("http://www.eum.go.kr/web/ar/lu/luLandDet.jsp?pnu=3611032027102610008&amp;isNoScr=script&amp;mode=search", "토지이음")</f>
        <v/>
      </c>
      <c r="O3487" s="3" t="inlineStr">
        <is>
          <t>생명나무</t>
        </is>
      </c>
      <c r="P3487" s="3" t="n">
        <v>1</v>
      </c>
      <c r="Q3487" s="3" t="n">
        <v>2093</v>
      </c>
      <c r="R3487" s="3" t="inlineStr">
        <is>
          <t>지정되지않음</t>
        </is>
      </c>
      <c r="S3487" s="3" t="inlineStr">
        <is>
          <t>주상용</t>
        </is>
      </c>
      <c r="T3487" s="3" t="inlineStr">
        <is>
          <t>완경사</t>
        </is>
      </c>
      <c r="U3487" s="3" t="inlineStr">
        <is>
          <t>사다리형</t>
        </is>
      </c>
      <c r="V3487" s="3" t="inlineStr">
        <is>
          <t>세로한면(가)</t>
        </is>
      </c>
    </row>
    <row r="3488">
      <c r="A3488" s="3" t="inlineStr">
        <is>
          <t>세종특별자치시 연동면 송용리 4-1</t>
        </is>
      </c>
      <c r="B3488" s="3" t="inlineStr">
        <is>
          <t>계획관리지역</t>
        </is>
      </c>
      <c r="C3488" s="3" t="inlineStr">
        <is>
          <t>대</t>
        </is>
      </c>
      <c r="D3488" s="3" t="inlineStr">
        <is>
          <t>대</t>
        </is>
      </c>
      <c r="E3488" s="3" t="inlineStr">
        <is>
          <t>매매</t>
        </is>
      </c>
      <c r="F3488" s="4" t="n">
        <v>31000</v>
      </c>
      <c r="G3488" s="4" t="n">
        <v>421</v>
      </c>
      <c r="H3488" s="4" t="n">
        <v>127</v>
      </c>
      <c r="I3488" s="5" t="n">
        <v>244.1</v>
      </c>
      <c r="J3488" s="4" t="n">
        <v>69.5</v>
      </c>
      <c r="K3488" s="3" t="inlineStr">
        <is>
          <t>추천. 세종시 인근 주택지</t>
        </is>
      </c>
      <c r="L3488" s="6">
        <f>HYPERLINK("https://fin.land.naver.com/articles/2645464557", "매물Link")</f>
        <v/>
      </c>
      <c r="M3488" s="6">
        <f>HYPERLINK("https://map.naver.com/p/search/세종특별자치시 연동면 송용리 4-1", "지도Link")</f>
        <v/>
      </c>
      <c r="N3488" s="6">
        <f>HYPERLINK("http://www.eum.go.kr/web/ar/lu/luLandDet.jsp?pnu=3611032027100040001&amp;isNoScr=script&amp;mode=search", "토지이음")</f>
        <v/>
      </c>
      <c r="O3488" s="3" t="inlineStr">
        <is>
          <t>강아지풀</t>
        </is>
      </c>
      <c r="P3488" s="3" t="n">
        <v>1</v>
      </c>
      <c r="Q3488" s="3" t="n">
        <v>401</v>
      </c>
      <c r="R3488" s="3" t="inlineStr">
        <is>
          <t>지정되지않음</t>
        </is>
      </c>
      <c r="S3488" s="3" t="inlineStr">
        <is>
          <t>단독</t>
        </is>
      </c>
      <c r="T3488" s="3" t="inlineStr">
        <is>
          <t>평지</t>
        </is>
      </c>
      <c r="U3488" s="3" t="inlineStr">
        <is>
          <t>사다리형</t>
        </is>
      </c>
      <c r="V3488" s="3" t="inlineStr">
        <is>
          <t>세로한면(가)</t>
        </is>
      </c>
    </row>
    <row r="3489">
      <c r="A3489" s="3" t="inlineStr">
        <is>
          <t>세종특별자치시 연동면 송용리 82-1</t>
        </is>
      </c>
      <c r="B3489" s="3" t="inlineStr">
        <is>
          <t>계획관리지역</t>
        </is>
      </c>
      <c r="C3489" s="3" t="inlineStr">
        <is>
          <t>전</t>
        </is>
      </c>
      <c r="D3489" s="3" t="inlineStr">
        <is>
          <t>전</t>
        </is>
      </c>
      <c r="E3489" s="3" t="inlineStr">
        <is>
          <t>매매</t>
        </is>
      </c>
      <c r="F3489" s="4" t="n">
        <v>56200</v>
      </c>
      <c r="G3489" s="4" t="n">
        <v>1095</v>
      </c>
      <c r="H3489" s="4" t="n">
        <v>331</v>
      </c>
      <c r="I3489" s="5" t="n">
        <v>169.8</v>
      </c>
      <c r="J3489" s="4" t="n">
        <v>37.1</v>
      </c>
      <c r="K3489" s="3" t="inlineStr">
        <is>
          <t>nan</t>
        </is>
      </c>
      <c r="L3489" s="6">
        <f>HYPERLINK("https://fin.land.naver.com/articles/2646907874", "매물Link")</f>
        <v/>
      </c>
      <c r="M3489" s="6">
        <f>HYPERLINK("https://map.naver.com/p/search/세종특별자치시 연동면 송용리 82-1", "지도Link")</f>
        <v/>
      </c>
      <c r="N3489" s="6">
        <f>HYPERLINK("http://www.eum.go.kr/web/ar/lu/luLandDet.jsp?pnu=3611032027100820001&amp;isNoScr=script&amp;mode=search", "토지이음")</f>
        <v/>
      </c>
      <c r="O3489" s="3" t="inlineStr">
        <is>
          <t>장원</t>
        </is>
      </c>
      <c r="P3489" s="3" t="n">
        <v>1</v>
      </c>
      <c r="Q3489" s="3" t="n">
        <v>1095</v>
      </c>
      <c r="R3489" s="3" t="inlineStr">
        <is>
          <t>지정되지않음</t>
        </is>
      </c>
      <c r="S3489" s="3" t="inlineStr">
        <is>
          <t>전</t>
        </is>
      </c>
      <c r="T3489" s="3" t="inlineStr">
        <is>
          <t>완경사</t>
        </is>
      </c>
      <c r="U3489" s="3" t="inlineStr">
        <is>
          <t>부정형</t>
        </is>
      </c>
      <c r="V3489" s="3" t="inlineStr">
        <is>
          <t>맹지</t>
        </is>
      </c>
    </row>
    <row r="3490">
      <c r="A3490" s="3" t="inlineStr">
        <is>
          <t>세종특별자치시 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HYPERLINK("https://map.naver.com/p/search/세종특별자치시 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세종특별자치시 연동면 송용리 940-3</t>
        </is>
      </c>
      <c r="B3491" s="3" t="inlineStr">
        <is>
          <t>농림지역</t>
        </is>
      </c>
      <c r="C3491" s="3" t="inlineStr">
        <is>
          <t>과수원</t>
        </is>
      </c>
      <c r="D3491" s="3" t="inlineStr">
        <is>
          <t>과수원</t>
        </is>
      </c>
      <c r="E3491" s="3" t="inlineStr">
        <is>
          <t>매매</t>
        </is>
      </c>
      <c r="F3491" s="4" t="n">
        <v>18000</v>
      </c>
      <c r="G3491" s="4" t="n">
        <v>1381</v>
      </c>
      <c r="H3491" s="4" t="n">
        <v>418</v>
      </c>
      <c r="I3491" s="5" t="n">
        <v>43.1</v>
      </c>
      <c r="J3491" s="4" t="n">
        <v>25.5</v>
      </c>
      <c r="K3491" s="3" t="inlineStr">
        <is>
          <t>가격절충</t>
        </is>
      </c>
      <c r="L3491" s="6">
        <f>HYPERLINK("https://fin.land.naver.com/articles/2645908294", "매물Link")</f>
        <v/>
      </c>
      <c r="M3491" s="6">
        <f>HYPERLINK("https://map.naver.com/p/search/세종특별자치시 연동면 송용리 940-3", "지도Link")</f>
        <v/>
      </c>
      <c r="N3491" s="6">
        <f>HYPERLINK("http://www.eum.go.kr/web/ar/lu/luLandDet.jsp?pnu=3611032027109400003&amp;isNoScr=script&amp;mode=search", "토지이음")</f>
        <v/>
      </c>
      <c r="O3491" s="3" t="inlineStr">
        <is>
          <t>세종땅전문</t>
        </is>
      </c>
      <c r="P3491" s="3" t="n">
        <v>1</v>
      </c>
      <c r="Q3491" s="3" t="n">
        <v>1381.4</v>
      </c>
      <c r="R3491" s="3" t="inlineStr">
        <is>
          <t>지정되지않음</t>
        </is>
      </c>
      <c r="S3491" s="3" t="inlineStr">
        <is>
          <t>과수원</t>
        </is>
      </c>
      <c r="T3491" s="3" t="inlineStr">
        <is>
          <t>평지</t>
        </is>
      </c>
      <c r="U3491" s="3" t="inlineStr">
        <is>
          <t>사다리형</t>
        </is>
      </c>
      <c r="V3491" s="3" t="inlineStr">
        <is>
          <t>세로각지(가)</t>
        </is>
      </c>
    </row>
    <row r="3492">
      <c r="A3492" s="3" t="inlineStr">
        <is>
          <t>세종특별자치시 연동면 송용리 940-5</t>
        </is>
      </c>
      <c r="B3492" s="3" t="inlineStr">
        <is>
          <t>농림지역</t>
        </is>
      </c>
      <c r="C3492" s="3" t="inlineStr">
        <is>
          <t>답</t>
        </is>
      </c>
      <c r="D3492" s="3" t="inlineStr">
        <is>
          <t>답</t>
        </is>
      </c>
      <c r="E3492" s="3" t="inlineStr">
        <is>
          <t>매매</t>
        </is>
      </c>
      <c r="F3492" s="4" t="n">
        <v>71000</v>
      </c>
      <c r="G3492" s="4" t="n">
        <v>4848</v>
      </c>
      <c r="H3492" s="4" t="n">
        <v>1467</v>
      </c>
      <c r="I3492" s="5" t="n">
        <v>48.4</v>
      </c>
      <c r="J3492" s="4" t="n">
        <v>24.8</v>
      </c>
      <c r="K3492" s="3" t="inlineStr">
        <is>
          <t>예쁜 토지</t>
        </is>
      </c>
      <c r="L3492" s="6">
        <f>HYPERLINK("https://fin.land.naver.com/articles/2644756673", "매물Link")</f>
        <v/>
      </c>
      <c r="M3492" s="6">
        <f>HYPERLINK("https://map.naver.com/p/search/세종특별자치시 연동면 송용리 940-5", "지도Link")</f>
        <v/>
      </c>
      <c r="N3492" s="6">
        <f>HYPERLINK("http://www.eum.go.kr/web/ar/lu/luLandDet.jsp?pnu=3611032027109400005&amp;isNoScr=script&amp;mode=search", "토지이음")</f>
        <v/>
      </c>
      <c r="O3492" s="3" t="inlineStr">
        <is>
          <t>전원비래</t>
        </is>
      </c>
      <c r="P3492" s="3" t="n">
        <v>1</v>
      </c>
      <c r="Q3492" s="3" t="n">
        <v>4848.2</v>
      </c>
      <c r="R3492" s="3" t="inlineStr">
        <is>
          <t>지정되지않음</t>
        </is>
      </c>
      <c r="S3492" s="3" t="inlineStr">
        <is>
          <t>답</t>
        </is>
      </c>
      <c r="T3492" s="3" t="inlineStr">
        <is>
          <t>평지</t>
        </is>
      </c>
      <c r="U3492" s="3" t="inlineStr">
        <is>
          <t>세로장방</t>
        </is>
      </c>
      <c r="V3492" s="3" t="inlineStr">
        <is>
          <t>세로한면(가)</t>
        </is>
      </c>
    </row>
    <row r="3493">
      <c r="A3493" s="3" t="inlineStr">
        <is>
          <t>세종특별자치시 연동면 송용리 963-10</t>
        </is>
      </c>
      <c r="B3493" s="3" t="inlineStr">
        <is>
          <t>농림지역</t>
        </is>
      </c>
      <c r="C3493" s="3" t="inlineStr">
        <is>
          <t>답</t>
        </is>
      </c>
      <c r="D3493" s="3" t="inlineStr">
        <is>
          <t>답</t>
        </is>
      </c>
      <c r="E3493" s="3" t="inlineStr">
        <is>
          <t>매매</t>
        </is>
      </c>
      <c r="F3493" s="4" t="n">
        <v>49000</v>
      </c>
      <c r="G3493" s="4" t="n">
        <v>3382</v>
      </c>
      <c r="H3493" s="4" t="n">
        <v>1023</v>
      </c>
      <c r="I3493" s="5" t="n">
        <v>47.9</v>
      </c>
      <c r="J3493" s="4" t="n">
        <v>23.8</v>
      </c>
      <c r="K3493" s="3" t="inlineStr">
        <is>
          <t>nan</t>
        </is>
      </c>
      <c r="L3493" s="6">
        <f>HYPERLINK("https://fin.land.naver.com/articles/2645907735", "매물Link")</f>
        <v/>
      </c>
      <c r="M3493" s="6">
        <f>HYPERLINK("https://map.naver.com/p/search/세종특별자치시 연동면 송용리 963-10", "지도Link")</f>
        <v/>
      </c>
      <c r="N3493" s="6">
        <f>HYPERLINK("http://www.eum.go.kr/web/ar/lu/luLandDet.jsp?pnu=3611032027109630010&amp;isNoScr=script&amp;mode=search", "토지이음")</f>
        <v/>
      </c>
      <c r="O3493" s="3" t="inlineStr">
        <is>
          <t>세종땅전문</t>
        </is>
      </c>
      <c r="P3493" s="3" t="n">
        <v>1</v>
      </c>
      <c r="Q3493" s="3" t="n">
        <v>3382</v>
      </c>
      <c r="R3493" s="3" t="inlineStr">
        <is>
          <t>지정되지않음</t>
        </is>
      </c>
      <c r="S3493" s="3" t="inlineStr">
        <is>
          <t>답</t>
        </is>
      </c>
      <c r="T3493" s="3" t="inlineStr">
        <is>
          <t>평지</t>
        </is>
      </c>
      <c r="U3493" s="3" t="inlineStr">
        <is>
          <t>사다리형</t>
        </is>
      </c>
      <c r="V3493" s="3" t="inlineStr">
        <is>
          <t>세로한면(가)</t>
        </is>
      </c>
    </row>
    <row r="3494">
      <c r="A3494" s="3" t="inlineStr">
        <is>
          <t>세종특별자치시 연동면 송용리 974-1</t>
        </is>
      </c>
      <c r="B3494" s="3" t="inlineStr">
        <is>
          <t>농림지역</t>
        </is>
      </c>
      <c r="C3494" s="3" t="inlineStr">
        <is>
          <t>답</t>
        </is>
      </c>
      <c r="D3494" s="3" t="inlineStr">
        <is>
          <t>답</t>
        </is>
      </c>
      <c r="E3494" s="3" t="inlineStr">
        <is>
          <t>매매</t>
        </is>
      </c>
      <c r="F3494" s="4" t="n">
        <v>75000</v>
      </c>
      <c r="G3494" s="4" t="n">
        <v>3828</v>
      </c>
      <c r="H3494" s="4" t="n">
        <v>1158</v>
      </c>
      <c r="I3494" s="5" t="n">
        <v>64.8</v>
      </c>
      <c r="J3494" s="4" t="n">
        <v>24.8</v>
      </c>
      <c r="K3494" s="3" t="inlineStr">
        <is>
          <t>양면이 도로에 접해있어 접근성좋으며 농업관련 창고나 공장추천</t>
        </is>
      </c>
      <c r="L3494" s="6">
        <f>HYPERLINK("https://fin.land.naver.com/articles/2648263204", "매물Link")</f>
        <v/>
      </c>
      <c r="M3494" s="6">
        <f>HYPERLINK("https://map.naver.com/p/search/세종특별자치시 연동면 송용리 974-1", "지도Link")</f>
        <v/>
      </c>
      <c r="N3494" s="6">
        <f>HYPERLINK("http://www.eum.go.kr/web/ar/lu/luLandDet.jsp?pnu=3611032027109740001&amp;isNoScr=script&amp;mode=search", "토지이음")</f>
        <v/>
      </c>
      <c r="O3494" s="3" t="inlineStr">
        <is>
          <t>연동스카이</t>
        </is>
      </c>
      <c r="P3494" s="3" t="n">
        <v>1</v>
      </c>
      <c r="Q3494" s="3" t="n">
        <v>3826.7</v>
      </c>
      <c r="R3494" s="3" t="inlineStr">
        <is>
          <t>지정되지않음</t>
        </is>
      </c>
      <c r="S3494" s="3" t="inlineStr">
        <is>
          <t>답</t>
        </is>
      </c>
      <c r="T3494" s="3" t="inlineStr">
        <is>
          <t>평지</t>
        </is>
      </c>
      <c r="U3494" s="3" t="inlineStr">
        <is>
          <t>세로장방</t>
        </is>
      </c>
      <c r="V3494" s="3" t="inlineStr">
        <is>
          <t>세로각지(가)</t>
        </is>
      </c>
    </row>
    <row r="3495">
      <c r="A3495" s="3" t="inlineStr">
        <is>
          <t>세종특별자치시 연동면 예양리 25-1</t>
        </is>
      </c>
      <c r="B3495" s="3" t="inlineStr">
        <is>
          <t>계획관리지역</t>
        </is>
      </c>
      <c r="C3495" s="3" t="inlineStr">
        <is>
          <t>대</t>
        </is>
      </c>
      <c r="D3495" s="3" t="inlineStr">
        <is>
          <t>대</t>
        </is>
      </c>
      <c r="E3495" s="3" t="inlineStr">
        <is>
          <t>매매</t>
        </is>
      </c>
      <c r="F3495" s="4" t="n">
        <v>20000</v>
      </c>
      <c r="G3495" s="4" t="n">
        <v>248</v>
      </c>
      <c r="H3495" s="4" t="n">
        <v>75</v>
      </c>
      <c r="I3495" s="5" t="n">
        <v>266.7</v>
      </c>
      <c r="J3495" s="4" t="n">
        <v>66.59999999999999</v>
      </c>
      <c r="K3495" s="3" t="inlineStr">
        <is>
          <t>건축 및 투자</t>
        </is>
      </c>
      <c r="L3495" s="6">
        <f>HYPERLINK("https://fin.land.naver.com/articles/2646278884", "매물Link")</f>
        <v/>
      </c>
      <c r="M3495" s="6">
        <f>HYPERLINK("https://map.naver.com/p/search/세종특별자치시 연동면 예양리 25-1", "지도Link")</f>
        <v/>
      </c>
      <c r="N3495" s="6">
        <f>HYPERLINK("http://www.eum.go.kr/web/ar/lu/luLandDet.jsp?pnu=3611032026100250001&amp;isNoScr=script&amp;mode=search", "토지이음")</f>
        <v/>
      </c>
      <c r="O3495" s="3" t="inlineStr">
        <is>
          <t>한정호</t>
        </is>
      </c>
      <c r="P3495" s="3" t="n">
        <v>1</v>
      </c>
      <c r="Q3495" s="3" t="n">
        <v>248</v>
      </c>
      <c r="R3495" s="3" t="inlineStr">
        <is>
          <t>지정되지않음</t>
        </is>
      </c>
      <c r="S3495" s="3" t="inlineStr">
        <is>
          <t>단독</t>
        </is>
      </c>
      <c r="T3495" s="3" t="inlineStr">
        <is>
          <t>평지</t>
        </is>
      </c>
      <c r="U3495" s="3" t="inlineStr">
        <is>
          <t>부정형</t>
        </is>
      </c>
      <c r="V3495" s="3" t="inlineStr">
        <is>
          <t>세로한면(가)</t>
        </is>
      </c>
    </row>
    <row r="3496">
      <c r="A3496" s="3" t="inlineStr">
        <is>
          <t>세종특별자치시 연동면 예양리 66-3</t>
        </is>
      </c>
      <c r="B3496" s="3" t="inlineStr">
        <is>
          <t>계획관리지역</t>
        </is>
      </c>
      <c r="C3496" s="3" t="inlineStr">
        <is>
          <t>전</t>
        </is>
      </c>
      <c r="D3496" s="3" t="inlineStr">
        <is>
          <t>전</t>
        </is>
      </c>
      <c r="E3496" s="3" t="inlineStr">
        <is>
          <t>매매</t>
        </is>
      </c>
      <c r="F3496" s="4" t="n">
        <v>140000</v>
      </c>
      <c r="G3496" s="4" t="n">
        <v>2314</v>
      </c>
      <c r="H3496" s="4" t="n">
        <v>700</v>
      </c>
      <c r="I3496" s="5" t="n">
        <v>200</v>
      </c>
      <c r="J3496" s="4" t="n">
        <v>38.3</v>
      </c>
      <c r="K3496" s="3" t="inlineStr">
        <is>
          <t>도로접,땅모양좋습니다,조정가</t>
        </is>
      </c>
      <c r="L3496" s="6">
        <f>HYPERLINK("https://fin.land.naver.com/articles/2648103367", "매물Link")</f>
        <v/>
      </c>
      <c r="M3496" s="6">
        <f>HYPERLINK("https://map.naver.com/p/search/세종특별자치시 연동면 예양리 66-3", "지도Link")</f>
        <v/>
      </c>
      <c r="N3496" s="6">
        <f>HYPERLINK("http://www.eum.go.kr/web/ar/lu/luLandDet.jsp?pnu=3611032026100660003&amp;isNoScr=script&amp;mode=search", "토지이음")</f>
        <v/>
      </c>
      <c r="O3496" s="3" t="inlineStr">
        <is>
          <t>힐스테이트행복</t>
        </is>
      </c>
      <c r="P3496" s="3" t="n">
        <v>1</v>
      </c>
      <c r="Q3496" s="3" t="n">
        <v>2314</v>
      </c>
      <c r="R3496" s="3" t="inlineStr">
        <is>
          <t>지정되지않음</t>
        </is>
      </c>
      <c r="S3496" s="3" t="inlineStr">
        <is>
          <t>전</t>
        </is>
      </c>
      <c r="T3496" s="3" t="inlineStr">
        <is>
          <t>평지</t>
        </is>
      </c>
      <c r="U3496" s="3" t="inlineStr">
        <is>
          <t>부정형</t>
        </is>
      </c>
      <c r="V3496" s="3" t="inlineStr">
        <is>
          <t>세로한면(가)</t>
        </is>
      </c>
    </row>
    <row r="3497">
      <c r="A3497" s="3" t="inlineStr">
        <is>
          <t>세종특별자치시 연동면 예양리 795-4</t>
        </is>
      </c>
      <c r="B3497" s="3" t="inlineStr">
        <is>
          <t>농림지역</t>
        </is>
      </c>
      <c r="C3497" s="3" t="inlineStr">
        <is>
          <t>답</t>
        </is>
      </c>
      <c r="D3497" s="3" t="inlineStr">
        <is>
          <t>답</t>
        </is>
      </c>
      <c r="E3497" s="3" t="inlineStr">
        <is>
          <t>매매</t>
        </is>
      </c>
      <c r="F3497" s="4" t="n">
        <v>47125</v>
      </c>
      <c r="G3497" s="4" t="n">
        <v>2399</v>
      </c>
      <c r="H3497" s="4" t="n">
        <v>726</v>
      </c>
      <c r="I3497" s="5" t="n">
        <v>64.90000000000001</v>
      </c>
      <c r="J3497" s="4" t="n">
        <v>22.8</v>
      </c>
      <c r="K3497" s="3" t="inlineStr">
        <is>
          <t>농업용시설 허가완료 매물</t>
        </is>
      </c>
      <c r="L3497" s="6">
        <f>HYPERLINK("https://fin.land.naver.com/articles/2645775226", "매물Link")</f>
        <v/>
      </c>
      <c r="M3497" s="6">
        <f>HYPERLINK("https://map.naver.com/p/search/세종특별자치시 연동면 예양리 795-4", "지도Link")</f>
        <v/>
      </c>
      <c r="N3497" s="6">
        <f>HYPERLINK("http://www.eum.go.kr/web/ar/lu/luLandDet.jsp?pnu=3611032026107950004&amp;isNoScr=script&amp;mode=search", "토지이음")</f>
        <v/>
      </c>
      <c r="O3497" s="3" t="inlineStr">
        <is>
          <t>지호주식회사</t>
        </is>
      </c>
      <c r="P3497" s="3" t="n">
        <v>1</v>
      </c>
      <c r="Q3497" s="3" t="n">
        <v>2399.3</v>
      </c>
      <c r="R3497" s="3" t="inlineStr">
        <is>
          <t>지정되지않음</t>
        </is>
      </c>
      <c r="S3497" s="3" t="inlineStr">
        <is>
          <t>답</t>
        </is>
      </c>
      <c r="T3497" s="3" t="inlineStr">
        <is>
          <t>평지</t>
        </is>
      </c>
      <c r="U3497" s="3" t="inlineStr">
        <is>
          <t>세로장방</t>
        </is>
      </c>
      <c r="V3497" s="3" t="inlineStr">
        <is>
          <t>세로한면(가)</t>
        </is>
      </c>
    </row>
    <row r="3498">
      <c r="A3498" s="3" t="inlineStr">
        <is>
          <t>세종특별자치시 연동면 예양리 828-1</t>
        </is>
      </c>
      <c r="B3498" s="3" t="inlineStr">
        <is>
          <t>농림지역</t>
        </is>
      </c>
      <c r="C3498" s="3" t="inlineStr">
        <is>
          <t>답</t>
        </is>
      </c>
      <c r="D3498" s="3" t="inlineStr">
        <is>
          <t>답</t>
        </is>
      </c>
      <c r="E3498" s="3" t="inlineStr">
        <is>
          <t>매매</t>
        </is>
      </c>
      <c r="F3498" s="4" t="n">
        <v>60000</v>
      </c>
      <c r="G3498" s="4" t="n">
        <v>2913</v>
      </c>
      <c r="H3498" s="4" t="n">
        <v>881</v>
      </c>
      <c r="I3498" s="5" t="n">
        <v>68.09999999999999</v>
      </c>
      <c r="J3498" s="4" t="n">
        <v>23.8</v>
      </c>
      <c r="K3498" s="3" t="inlineStr">
        <is>
          <t>대토용,투자적합</t>
        </is>
      </c>
      <c r="L3498" s="6">
        <f>HYPERLINK("https://fin.land.naver.com/articles/2647046874", "매물Link")</f>
        <v/>
      </c>
      <c r="M3498" s="6">
        <f>HYPERLINK("https://map.naver.com/p/search/세종특별자치시 연동면 예양리 828-1", "지도Link")</f>
        <v/>
      </c>
      <c r="N3498" s="6">
        <f>HYPERLINK("http://www.eum.go.kr/web/ar/lu/luLandDet.jsp?pnu=3611032026108280001&amp;isNoScr=script&amp;mode=search", "토지이음")</f>
        <v/>
      </c>
      <c r="O3498" s="3" t="inlineStr">
        <is>
          <t>지원</t>
        </is>
      </c>
      <c r="P3498" s="3" t="n">
        <v>1</v>
      </c>
      <c r="Q3498" s="3" t="n">
        <v>2913.3</v>
      </c>
      <c r="R3498" s="3" t="inlineStr">
        <is>
          <t>지정되지않음</t>
        </is>
      </c>
      <c r="S3498" s="3" t="inlineStr">
        <is>
          <t>답</t>
        </is>
      </c>
      <c r="T3498" s="3" t="inlineStr">
        <is>
          <t>평지</t>
        </is>
      </c>
      <c r="U3498" s="3" t="inlineStr">
        <is>
          <t>세로장방</t>
        </is>
      </c>
      <c r="V3498" s="3" t="inlineStr">
        <is>
          <t>세로각지(가)</t>
        </is>
      </c>
    </row>
    <row r="3499">
      <c r="A3499" s="3" t="inlineStr">
        <is>
          <t>세종특별자치시 연동면 예양리 838-2</t>
        </is>
      </c>
      <c r="B3499" s="3" t="inlineStr">
        <is>
          <t>농림지역</t>
        </is>
      </c>
      <c r="C3499" s="3" t="inlineStr">
        <is>
          <t>답</t>
        </is>
      </c>
      <c r="D3499" s="3" t="inlineStr">
        <is>
          <t>답</t>
        </is>
      </c>
      <c r="E3499" s="3" t="inlineStr">
        <is>
          <t>매매</t>
        </is>
      </c>
      <c r="F3499" s="4" t="n">
        <v>16400</v>
      </c>
      <c r="G3499" s="4" t="n">
        <v>665</v>
      </c>
      <c r="H3499" s="4" t="n">
        <v>201</v>
      </c>
      <c r="I3499" s="5" t="n">
        <v>81.59999999999999</v>
      </c>
      <c r="J3499" s="4" t="n">
        <v>24</v>
      </c>
      <c r="K3499" s="3" t="inlineStr">
        <is>
          <t>도로5m,3m접한 코너각지 직사각형,현재 전으로 이용중임.</t>
        </is>
      </c>
      <c r="L3499" s="6">
        <f>HYPERLINK("https://fin.land.naver.com/articles/2647235810", "매물Link")</f>
        <v/>
      </c>
      <c r="M3499" s="6">
        <f>HYPERLINK("https://map.naver.com/p/search/세종특별자치시 연동면 예양리 838-2", "지도Link")</f>
        <v/>
      </c>
      <c r="N3499" s="6">
        <f>HYPERLINK("http://www.eum.go.kr/web/ar/lu/luLandDet.jsp?pnu=3611032026108380002&amp;isNoScr=script&amp;mode=search", "토지이음")</f>
        <v/>
      </c>
      <c r="O3499" s="3" t="inlineStr">
        <is>
          <t>자이호박</t>
        </is>
      </c>
      <c r="P3499" s="3" t="n">
        <v>1</v>
      </c>
      <c r="Q3499" s="3" t="n">
        <v>665.6</v>
      </c>
      <c r="R3499" s="3" t="inlineStr">
        <is>
          <t>지정되지않음</t>
        </is>
      </c>
      <c r="S3499" s="3" t="inlineStr">
        <is>
          <t>답</t>
        </is>
      </c>
      <c r="T3499" s="3" t="inlineStr">
        <is>
          <t>평지</t>
        </is>
      </c>
      <c r="U3499" s="3" t="inlineStr">
        <is>
          <t>가로장방</t>
        </is>
      </c>
      <c r="V3499" s="3" t="inlineStr">
        <is>
          <t>세로한면(가)</t>
        </is>
      </c>
    </row>
    <row r="3500">
      <c r="A3500" s="3" t="inlineStr">
        <is>
          <t>세종특별자치시 연동면 예양리 99-5</t>
        </is>
      </c>
      <c r="B3500" s="3" t="inlineStr">
        <is>
          <t>계획관리지역</t>
        </is>
      </c>
      <c r="C3500" s="3" t="inlineStr">
        <is>
          <t>답</t>
        </is>
      </c>
      <c r="D3500" s="3" t="inlineStr">
        <is>
          <t>답</t>
        </is>
      </c>
      <c r="E3500" s="3" t="inlineStr">
        <is>
          <t>매매</t>
        </is>
      </c>
      <c r="F3500" s="4" t="n">
        <v>52800</v>
      </c>
      <c r="G3500" s="4" t="n">
        <v>2384</v>
      </c>
      <c r="H3500" s="4" t="n">
        <v>721</v>
      </c>
      <c r="I3500" s="5" t="n">
        <v>73.2</v>
      </c>
      <c r="J3500" s="4" t="n">
        <v>32.9</v>
      </c>
      <c r="K3500" s="3" t="inlineStr">
        <is>
          <t>3m 도로접한 계획관리</t>
        </is>
      </c>
      <c r="L3500" s="6">
        <f>HYPERLINK("https://fin.land.naver.com/articles/2644767611", "매물Link")</f>
        <v/>
      </c>
      <c r="M3500" s="6">
        <f>HYPERLINK("https://map.naver.com/p/search/세종특별자치시 연동면 예양리 99-5", "지도Link")</f>
        <v/>
      </c>
      <c r="N3500" s="6">
        <f>HYPERLINK("http://www.eum.go.kr/web/ar/lu/luLandDet.jsp?pnu=3611032026100990005&amp;isNoScr=script&amp;mode=search", "토지이음")</f>
        <v/>
      </c>
      <c r="O3500" s="3" t="inlineStr">
        <is>
          <t>세종땅사랑</t>
        </is>
      </c>
      <c r="P3500" s="3" t="n">
        <v>1</v>
      </c>
      <c r="Q3500" s="3" t="n">
        <v>2384</v>
      </c>
      <c r="R3500" s="3" t="inlineStr">
        <is>
          <t>지정되지않음</t>
        </is>
      </c>
      <c r="S3500" s="3" t="inlineStr">
        <is>
          <t>답</t>
        </is>
      </c>
      <c r="T3500" s="3" t="inlineStr">
        <is>
          <t>완경사</t>
        </is>
      </c>
      <c r="U3500" s="3" t="inlineStr">
        <is>
          <t>부정형</t>
        </is>
      </c>
      <c r="V3500" s="3" t="inlineStr">
        <is>
          <t>세로한면(가)</t>
        </is>
      </c>
    </row>
    <row r="3501">
      <c r="A3501" s="3" t="inlineStr">
        <is>
          <t>세종특별자치시 연동면 응암리 121-4</t>
        </is>
      </c>
      <c r="B3501" s="3" t="inlineStr">
        <is>
          <t>계획관리지역</t>
        </is>
      </c>
      <c r="C3501" s="3" t="inlineStr">
        <is>
          <t>대</t>
        </is>
      </c>
      <c r="D3501" s="3" t="inlineStr">
        <is>
          <t>대</t>
        </is>
      </c>
      <c r="E3501" s="3" t="inlineStr">
        <is>
          <t>매매</t>
        </is>
      </c>
      <c r="F3501" s="4" t="n">
        <v>90000</v>
      </c>
      <c r="G3501" s="4" t="n">
        <v>1021</v>
      </c>
      <c r="H3501" s="4" t="n">
        <v>309</v>
      </c>
      <c r="I3501" s="5" t="n">
        <v>291.3</v>
      </c>
      <c r="J3501" s="4" t="n">
        <v>67.5</v>
      </c>
      <c r="K3501" s="3" t="inlineStr">
        <is>
          <t>nan</t>
        </is>
      </c>
      <c r="L3501" s="6">
        <f>HYPERLINK("https://fin.land.naver.com/articles/2645758542", "매물Link")</f>
        <v/>
      </c>
      <c r="M3501" s="6">
        <f>HYPERLINK("https://map.naver.com/p/search/세종특별자치시 연동면 응암리 121-4", "지도Link")</f>
        <v/>
      </c>
      <c r="N3501" s="6">
        <f>HYPERLINK("http://www.eum.go.kr/web/ar/lu/luLandDet.jsp?pnu=3611032024101210004&amp;isNoScr=script&amp;mode=search", "토지이음")</f>
        <v/>
      </c>
      <c r="O3501" s="3" t="inlineStr">
        <is>
          <t>어반통</t>
        </is>
      </c>
      <c r="P3501" s="3" t="n">
        <v>1</v>
      </c>
      <c r="Q3501" s="3" t="n">
        <v>1025</v>
      </c>
      <c r="R3501" s="3" t="inlineStr">
        <is>
          <t>지정되지않음</t>
        </is>
      </c>
      <c r="S3501" s="3" t="inlineStr">
        <is>
          <t>단독</t>
        </is>
      </c>
      <c r="T3501" s="3" t="inlineStr">
        <is>
          <t>완경사</t>
        </is>
      </c>
      <c r="U3501" s="3" t="inlineStr">
        <is>
          <t>부정형</t>
        </is>
      </c>
      <c r="V3501" s="3" t="inlineStr">
        <is>
          <t>세로한면(가)</t>
        </is>
      </c>
    </row>
    <row r="3502">
      <c r="A3502" s="3" t="inlineStr">
        <is>
          <t>세종특별자치시 연동면 응암리 199-1</t>
        </is>
      </c>
      <c r="B3502" s="3" t="inlineStr">
        <is>
          <t>계획관리지역</t>
        </is>
      </c>
      <c r="C3502" s="3" t="inlineStr">
        <is>
          <t>대</t>
        </is>
      </c>
      <c r="D3502" s="3" t="inlineStr">
        <is>
          <t>대</t>
        </is>
      </c>
      <c r="E3502" s="3" t="inlineStr">
        <is>
          <t>매매</t>
        </is>
      </c>
      <c r="F3502" s="4" t="n">
        <v>25000</v>
      </c>
      <c r="G3502" s="4" t="n">
        <v>743</v>
      </c>
      <c r="H3502" s="4" t="n">
        <v>225</v>
      </c>
      <c r="I3502" s="5" t="n">
        <v>111.1</v>
      </c>
      <c r="J3502" s="4" t="n">
        <v>57</v>
      </c>
      <c r="K3502" s="3" t="inlineStr">
        <is>
          <t>평지,계획관리,대지,도로접,이웃필지 연접가능</t>
        </is>
      </c>
      <c r="L3502" s="6">
        <f>HYPERLINK("https://fin.land.naver.com/articles/2648020617", "매물Link")</f>
        <v/>
      </c>
      <c r="M3502" s="6">
        <f>HYPERLINK("https://map.naver.com/p/search/세종특별자치시 연동면 응암리 199-1", "지도Link")</f>
        <v/>
      </c>
      <c r="N3502" s="6">
        <f>HYPERLINK("http://www.eum.go.kr/web/ar/lu/luLandDet.jsp?pnu=3611032024101990001&amp;isNoScr=script&amp;mode=search", "토지이음")</f>
        <v/>
      </c>
      <c r="O3502" s="3" t="inlineStr">
        <is>
          <t>세종초이스</t>
        </is>
      </c>
      <c r="P3502" s="3" t="n">
        <v>1</v>
      </c>
      <c r="Q3502" s="3" t="n">
        <v>743</v>
      </c>
      <c r="R3502" s="3" t="inlineStr">
        <is>
          <t>지정되지않음</t>
        </is>
      </c>
      <c r="S3502" s="3" t="inlineStr">
        <is>
          <t>단독</t>
        </is>
      </c>
      <c r="T3502" s="3" t="inlineStr">
        <is>
          <t>평지</t>
        </is>
      </c>
      <c r="U3502" s="3" t="inlineStr">
        <is>
          <t>부정형</t>
        </is>
      </c>
      <c r="V3502" s="3" t="inlineStr">
        <is>
          <t>세로각지(가)</t>
        </is>
      </c>
    </row>
    <row r="3503">
      <c r="A3503" s="3" t="inlineStr">
        <is>
          <t>세종특별자치시 연동면 응암리 253-5</t>
        </is>
      </c>
      <c r="B3503" s="3" t="inlineStr">
        <is>
          <t>농림지역</t>
        </is>
      </c>
      <c r="C3503" s="3" t="inlineStr">
        <is>
          <t>답</t>
        </is>
      </c>
      <c r="D3503" s="3" t="inlineStr">
        <is>
          <t>답</t>
        </is>
      </c>
      <c r="E3503" s="3" t="inlineStr">
        <is>
          <t>매매</t>
        </is>
      </c>
      <c r="F3503" s="4" t="n">
        <v>47000</v>
      </c>
      <c r="G3503" s="4" t="n">
        <v>3158</v>
      </c>
      <c r="H3503" s="4" t="n">
        <v>955</v>
      </c>
      <c r="I3503" s="5" t="n">
        <v>49.2</v>
      </c>
      <c r="J3503" s="4" t="n">
        <v>21.5</v>
      </c>
      <c r="K3503" s="3" t="inlineStr">
        <is>
          <t>도로 높이로 성토하여 현재 블루베리 재배 2년차임</t>
        </is>
      </c>
      <c r="L3503" s="6">
        <f>HYPERLINK("https://fin.land.naver.com/articles/2649176108", "매물Link")</f>
        <v/>
      </c>
      <c r="M3503" s="6">
        <f>HYPERLINK("https://map.naver.com/p/search/세종특별자치시 연동면 응암리 253-5", "지도Link")</f>
        <v/>
      </c>
      <c r="N3503" s="6">
        <f>HYPERLINK("http://www.eum.go.kr/web/ar/lu/luLandDet.jsp?pnu=3611032024102530005&amp;isNoScr=script&amp;mode=search", "토지이음")</f>
        <v/>
      </c>
      <c r="O3503" s="3" t="inlineStr">
        <is>
          <t>그래그</t>
        </is>
      </c>
      <c r="P3503" s="3" t="n">
        <v>1</v>
      </c>
      <c r="Q3503" s="3" t="n">
        <v>3158.4</v>
      </c>
      <c r="R3503" s="3" t="inlineStr">
        <is>
          <t>지정되지않음</t>
        </is>
      </c>
      <c r="S3503" s="3" t="inlineStr">
        <is>
          <t>답</t>
        </is>
      </c>
      <c r="T3503" s="3" t="inlineStr">
        <is>
          <t>평지</t>
        </is>
      </c>
      <c r="U3503" s="3" t="inlineStr">
        <is>
          <t>가로장방</t>
        </is>
      </c>
      <c r="V3503" s="3" t="inlineStr">
        <is>
          <t>세로한면(가)</t>
        </is>
      </c>
    </row>
    <row r="3504">
      <c r="A3504" s="3" t="inlineStr">
        <is>
          <t>세종특별자치시 연동면 응암리 257-5</t>
        </is>
      </c>
      <c r="B3504" s="3" t="inlineStr">
        <is>
          <t>농림지역</t>
        </is>
      </c>
      <c r="C3504" s="3" t="inlineStr">
        <is>
          <t>답</t>
        </is>
      </c>
      <c r="D3504" s="3" t="inlineStr">
        <is>
          <t>답</t>
        </is>
      </c>
      <c r="E3504" s="3" t="inlineStr">
        <is>
          <t>매매</t>
        </is>
      </c>
      <c r="F3504" s="4" t="n">
        <v>22000</v>
      </c>
      <c r="G3504" s="4" t="n">
        <v>1822</v>
      </c>
      <c r="H3504" s="4" t="n">
        <v>551</v>
      </c>
      <c r="I3504" s="5" t="n">
        <v>39.9</v>
      </c>
      <c r="J3504" s="4" t="n">
        <v>21</v>
      </c>
      <c r="K3504" s="3" t="inlineStr">
        <is>
          <t>nan</t>
        </is>
      </c>
      <c r="L3504" s="6">
        <f>HYPERLINK("https://fin.land.naver.com/articles/2647259477", "매물Link")</f>
        <v/>
      </c>
      <c r="M3504" s="6">
        <f>HYPERLINK("https://map.naver.com/p/search/세종특별자치시 연동면 응암리 257-5", "지도Link")</f>
        <v/>
      </c>
      <c r="N3504" s="6">
        <f>HYPERLINK("http://www.eum.go.kr/web/ar/lu/luLandDet.jsp?pnu=3611032024102570005&amp;isNoScr=script&amp;mode=search", "토지이음")</f>
        <v/>
      </c>
      <c r="O3504" s="3" t="inlineStr">
        <is>
          <t>세종땅전문</t>
        </is>
      </c>
      <c r="P3504" s="3" t="n">
        <v>1</v>
      </c>
      <c r="Q3504" s="3" t="n">
        <v>1822.2</v>
      </c>
      <c r="R3504" s="3" t="inlineStr">
        <is>
          <t>지정되지않음</t>
        </is>
      </c>
      <c r="S3504" s="3" t="inlineStr">
        <is>
          <t>답</t>
        </is>
      </c>
      <c r="T3504" s="3" t="inlineStr">
        <is>
          <t>평지</t>
        </is>
      </c>
      <c r="U3504" s="3" t="inlineStr">
        <is>
          <t>가로장방</t>
        </is>
      </c>
      <c r="V3504" s="3" t="inlineStr">
        <is>
          <t>세로한면(가)</t>
        </is>
      </c>
    </row>
    <row r="3505">
      <c r="A3505" s="3" t="inlineStr">
        <is>
          <t>세종특별자치시 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HYPERLINK("https://map.naver.com/p/search/세종특별자치시 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세종특별자치시 연동면 응암리 317</t>
        </is>
      </c>
      <c r="B3506" s="3" t="inlineStr">
        <is>
          <t>계획관리지역</t>
        </is>
      </c>
      <c r="C3506" s="3" t="inlineStr">
        <is>
          <t>전</t>
        </is>
      </c>
      <c r="D3506" s="3" t="inlineStr">
        <is>
          <t>전</t>
        </is>
      </c>
      <c r="E3506" s="3" t="inlineStr">
        <is>
          <t>매매</t>
        </is>
      </c>
      <c r="F3506" s="4" t="n">
        <v>250000</v>
      </c>
      <c r="G3506" s="4" t="n">
        <v>7500</v>
      </c>
      <c r="H3506" s="4" t="n">
        <v>2269</v>
      </c>
      <c r="I3506" s="5" t="n">
        <v>110.2</v>
      </c>
      <c r="J3506" s="4" t="n">
        <v>34.7</v>
      </c>
      <c r="K3506" s="3" t="inlineStr">
        <is>
          <t>1.2차선 도로에서 바로진입 2.남청주IC 7KM소요시간 10분이내</t>
        </is>
      </c>
      <c r="L3506" s="6">
        <f>HYPERLINK("https://fin.land.naver.com/articles/2650176467", "매물Link")</f>
        <v/>
      </c>
      <c r="M3506" s="6">
        <f>HYPERLINK("https://map.naver.com/p/search/세종특별자치시 연동면 응암리 317", "지도Link")</f>
        <v/>
      </c>
      <c r="N3506" s="6">
        <f>HYPERLINK("http://www.eum.go.kr/web/ar/lu/luLandDet.jsp?pnu=3611032024103170000&amp;isNoScr=script&amp;mode=search", "토지이음")</f>
        <v/>
      </c>
      <c r="O3506" s="3" t="inlineStr">
        <is>
          <t>연동스카이</t>
        </is>
      </c>
      <c r="P3506" s="3" t="n">
        <v>2</v>
      </c>
      <c r="Q3506" s="3" t="n">
        <v>3700</v>
      </c>
      <c r="R3506" s="3" t="inlineStr">
        <is>
          <t>지정되지않음</t>
        </is>
      </c>
      <c r="S3506" s="3" t="inlineStr">
        <is>
          <t>전</t>
        </is>
      </c>
      <c r="T3506" s="3" t="inlineStr">
        <is>
          <t>완경사</t>
        </is>
      </c>
      <c r="U3506" s="3" t="inlineStr">
        <is>
          <t>부정형</t>
        </is>
      </c>
      <c r="V3506" s="3" t="inlineStr">
        <is>
          <t>맹지</t>
        </is>
      </c>
    </row>
    <row r="3507">
      <c r="A3507" s="3" t="inlineStr">
        <is>
          <t>세종특별자치시 연동면 응암리 47-3</t>
        </is>
      </c>
      <c r="B3507" s="3" t="inlineStr">
        <is>
          <t>계획관리지역</t>
        </is>
      </c>
      <c r="C3507" s="3" t="inlineStr">
        <is>
          <t>답</t>
        </is>
      </c>
      <c r="D3507" s="3" t="inlineStr">
        <is>
          <t>답</t>
        </is>
      </c>
      <c r="E3507" s="3" t="inlineStr">
        <is>
          <t>매매</t>
        </is>
      </c>
      <c r="F3507" s="4" t="n">
        <v>105000</v>
      </c>
      <c r="G3507" s="4" t="n">
        <v>1742</v>
      </c>
      <c r="H3507" s="4" t="n">
        <v>527</v>
      </c>
      <c r="I3507" s="5" t="n">
        <v>199.2</v>
      </c>
      <c r="J3507" s="4" t="n">
        <v>48.7</v>
      </c>
      <c r="K3507" s="3" t="inlineStr">
        <is>
          <t>세종시 연동면 투자가치 좋은 토지</t>
        </is>
      </c>
      <c r="L3507" s="6">
        <f>HYPERLINK("https://fin.land.naver.com/articles/2645321209", "매물Link")</f>
        <v/>
      </c>
      <c r="M3507" s="6">
        <f>HYPERLINK("https://map.naver.com/p/search/세종특별자치시 연동면 응암리 47-3", "지도Link")</f>
        <v/>
      </c>
      <c r="N3507" s="6">
        <f>HYPERLINK("http://www.eum.go.kr/web/ar/lu/luLandDet.jsp?pnu=3611032024100470003&amp;isNoScr=script&amp;mode=search", "토지이음")</f>
        <v/>
      </c>
      <c r="O3507" s="3" t="inlineStr">
        <is>
          <t>365</t>
        </is>
      </c>
      <c r="P3507" s="3" t="n">
        <v>1</v>
      </c>
      <c r="Q3507" s="3" t="n">
        <v>1742</v>
      </c>
      <c r="R3507" s="3" t="inlineStr">
        <is>
          <t>지정되지않음</t>
        </is>
      </c>
      <c r="S3507" s="3" t="inlineStr">
        <is>
          <t>답</t>
        </is>
      </c>
      <c r="T3507" s="3" t="inlineStr">
        <is>
          <t>완경사</t>
        </is>
      </c>
      <c r="U3507" s="3" t="inlineStr">
        <is>
          <t>부정형</t>
        </is>
      </c>
      <c r="V3507" s="3" t="inlineStr">
        <is>
          <t>소로한면</t>
        </is>
      </c>
    </row>
    <row r="3508">
      <c r="A3508" s="3" t="inlineStr">
        <is>
          <t>세종특별자치시 연동면 응암리 479-8</t>
        </is>
      </c>
      <c r="B3508" s="3" t="inlineStr">
        <is>
          <t>농림지역</t>
        </is>
      </c>
      <c r="C3508" s="3" t="inlineStr">
        <is>
          <t>답</t>
        </is>
      </c>
      <c r="D3508" s="3" t="inlineStr">
        <is>
          <t>답</t>
        </is>
      </c>
      <c r="E3508" s="3" t="inlineStr">
        <is>
          <t>매매</t>
        </is>
      </c>
      <c r="F3508" s="4" t="n">
        <v>30000</v>
      </c>
      <c r="G3508" s="4" t="n">
        <v>2552</v>
      </c>
      <c r="H3508" s="4" t="n">
        <v>772</v>
      </c>
      <c r="I3508" s="5" t="n">
        <v>38.9</v>
      </c>
      <c r="J3508" s="4" t="n">
        <v>22.9</v>
      </c>
      <c r="K3508" s="3" t="inlineStr">
        <is>
          <t>저렴한 농지 가격 레고 가능</t>
        </is>
      </c>
      <c r="L3508" s="6">
        <f>HYPERLINK("https://fin.land.naver.com/articles/2647259674", "매물Link")</f>
        <v/>
      </c>
      <c r="M3508" s="6">
        <f>HYPERLINK("https://map.naver.com/p/search/세종특별자치시 연동면 응암리 479-8", "지도Link")</f>
        <v/>
      </c>
      <c r="N3508" s="6">
        <f>HYPERLINK("http://www.eum.go.kr/web/ar/lu/luLandDet.jsp?pnu=3611032024104790008&amp;isNoScr=script&amp;mode=search", "토지이음")</f>
        <v/>
      </c>
      <c r="O3508" s="3" t="inlineStr">
        <is>
          <t>세종땅전문</t>
        </is>
      </c>
      <c r="P3508" s="3" t="n">
        <v>1</v>
      </c>
      <c r="Q3508" s="3" t="n">
        <v>2551.9</v>
      </c>
      <c r="R3508" s="3" t="inlineStr">
        <is>
          <t>지정되지않음</t>
        </is>
      </c>
      <c r="S3508" s="3" t="inlineStr">
        <is>
          <t>답</t>
        </is>
      </c>
      <c r="T3508" s="3" t="inlineStr">
        <is>
          <t>평지</t>
        </is>
      </c>
      <c r="U3508" s="3" t="inlineStr">
        <is>
          <t>세로장방</t>
        </is>
      </c>
      <c r="V3508" s="3" t="inlineStr">
        <is>
          <t>세로한면(가)</t>
        </is>
      </c>
    </row>
    <row r="3509">
      <c r="A3509" s="3" t="inlineStr">
        <is>
          <t>세종특별자치시 연동면 응암리 481-1</t>
        </is>
      </c>
      <c r="B3509" s="3" t="inlineStr">
        <is>
          <t>농림지역</t>
        </is>
      </c>
      <c r="C3509" s="3" t="inlineStr">
        <is>
          <t>답</t>
        </is>
      </c>
      <c r="D3509" s="3" t="inlineStr">
        <is>
          <t>답</t>
        </is>
      </c>
      <c r="E3509" s="3" t="inlineStr">
        <is>
          <t>매매</t>
        </is>
      </c>
      <c r="F3509" s="4" t="n">
        <v>56800</v>
      </c>
      <c r="G3509" s="4" t="n">
        <v>2350</v>
      </c>
      <c r="H3509" s="4" t="n">
        <v>711</v>
      </c>
      <c r="I3509" s="5" t="n">
        <v>79.90000000000001</v>
      </c>
      <c r="J3509" s="4" t="n">
        <v>22.4</v>
      </c>
      <c r="K3509" s="3" t="inlineStr">
        <is>
          <t>nan</t>
        </is>
      </c>
      <c r="L3509" s="6">
        <f>HYPERLINK("https://fin.land.naver.com/articles/2645743219", "매물Link")</f>
        <v/>
      </c>
      <c r="M3509" s="6">
        <f>HYPERLINK("https://map.naver.com/p/search/세종특별자치시 연동면 응암리 481-1", "지도Link")</f>
        <v/>
      </c>
      <c r="N3509" s="6">
        <f>HYPERLINK("http://www.eum.go.kr/web/ar/lu/luLandDet.jsp?pnu=3611032024104810001&amp;isNoScr=script&amp;mode=search", "토지이음")</f>
        <v/>
      </c>
      <c r="O3509" s="3" t="inlineStr">
        <is>
          <t>세종몽땅</t>
        </is>
      </c>
      <c r="P3509" s="3" t="n">
        <v>1</v>
      </c>
      <c r="Q3509" s="3" t="n">
        <v>2350.7</v>
      </c>
      <c r="R3509" s="3" t="inlineStr">
        <is>
          <t>지정되지않음</t>
        </is>
      </c>
      <c r="S3509" s="3" t="inlineStr">
        <is>
          <t>답</t>
        </is>
      </c>
      <c r="T3509" s="3" t="inlineStr">
        <is>
          <t>평지</t>
        </is>
      </c>
      <c r="U3509" s="3" t="inlineStr">
        <is>
          <t>세로장방</t>
        </is>
      </c>
      <c r="V3509" s="3" t="inlineStr">
        <is>
          <t>세로한면(가)</t>
        </is>
      </c>
    </row>
    <row r="3510">
      <c r="A3510" s="3" t="inlineStr">
        <is>
          <t>세종특별자치시 연동면 응암리 555-1</t>
        </is>
      </c>
      <c r="B3510" s="3" t="inlineStr">
        <is>
          <t>계획관리지역</t>
        </is>
      </c>
      <c r="C3510" s="3" t="inlineStr">
        <is>
          <t>전</t>
        </is>
      </c>
      <c r="D3510" s="3" t="inlineStr">
        <is>
          <t>전</t>
        </is>
      </c>
      <c r="E3510" s="3" t="inlineStr">
        <is>
          <t>매매</t>
        </is>
      </c>
      <c r="F3510" s="4" t="n">
        <v>120000</v>
      </c>
      <c r="G3510" s="4" t="n">
        <v>2863</v>
      </c>
      <c r="H3510" s="4" t="n">
        <v>866</v>
      </c>
      <c r="I3510" s="5" t="n">
        <v>138.6</v>
      </c>
      <c r="J3510" s="4" t="n">
        <v>55.4</v>
      </c>
      <c r="K3510" s="3" t="inlineStr">
        <is>
          <t>계획관리.도로접,투자용,물류교통최상,세종5생활권근접,남청주ic인접</t>
        </is>
      </c>
      <c r="L3510" s="6">
        <f>HYPERLINK("https://fin.land.naver.com/articles/2646417745", "매물Link")</f>
        <v/>
      </c>
      <c r="M3510" s="6">
        <f>HYPERLINK("https://map.naver.com/p/search/세종특별자치시 연동면 응암리 555-1", "지도Link")</f>
        <v/>
      </c>
      <c r="N3510" s="6">
        <f>HYPERLINK("http://www.eum.go.kr/web/ar/lu/luLandDet.jsp?pnu=3611032024105550001&amp;isNoScr=script&amp;mode=search", "토지이음")</f>
        <v/>
      </c>
      <c r="O3510" s="3" t="inlineStr">
        <is>
          <t>옥산제일사무소</t>
        </is>
      </c>
      <c r="P3510" s="3" t="n">
        <v>1</v>
      </c>
      <c r="Q3510" s="3" t="n">
        <v>2863</v>
      </c>
      <c r="R3510" s="3" t="inlineStr">
        <is>
          <t>지정되지않음</t>
        </is>
      </c>
      <c r="S3510" s="3" t="inlineStr">
        <is>
          <t>전</t>
        </is>
      </c>
      <c r="T3510" s="3" t="inlineStr">
        <is>
          <t>완경사</t>
        </is>
      </c>
      <c r="U3510" s="3" t="inlineStr">
        <is>
          <t>부정형</t>
        </is>
      </c>
      <c r="V3510" s="3" t="inlineStr">
        <is>
          <t>소로한면</t>
        </is>
      </c>
    </row>
    <row r="3511">
      <c r="A3511" s="3" t="inlineStr">
        <is>
          <t>세종특별자치시 연동면 응암리 584-13</t>
        </is>
      </c>
      <c r="B3511" s="3" t="inlineStr">
        <is>
          <t>계획관리지역</t>
        </is>
      </c>
      <c r="C3511" s="3" t="inlineStr">
        <is>
          <t>대</t>
        </is>
      </c>
      <c r="D3511" s="3" t="inlineStr">
        <is>
          <t>대</t>
        </is>
      </c>
      <c r="E3511" s="3" t="inlineStr">
        <is>
          <t>매매</t>
        </is>
      </c>
      <c r="F3511" s="4" t="n">
        <v>105000</v>
      </c>
      <c r="G3511" s="4" t="n">
        <v>1429</v>
      </c>
      <c r="H3511" s="4" t="n">
        <v>432</v>
      </c>
      <c r="I3511" s="5" t="n">
        <v>243.1</v>
      </c>
      <c r="J3511" s="4" t="n">
        <v>103.4</v>
      </c>
      <c r="K3511" s="3" t="inlineStr">
        <is>
          <t>2차선 도로접한,대,평지로 땅모양 좋아요,5생활권 및 명학 산업단지 근접</t>
        </is>
      </c>
      <c r="L3511" s="6">
        <f>HYPERLINK("https://fin.land.naver.com/articles/2647057768", "매물Link")</f>
        <v/>
      </c>
      <c r="M3511" s="6">
        <f>HYPERLINK("https://map.naver.com/p/search/세종특별자치시 연동면 응암리 584-13", "지도Link")</f>
        <v/>
      </c>
      <c r="N3511" s="6">
        <f>HYPERLINK("http://www.eum.go.kr/web/ar/lu/luLandDet.jsp?pnu=3611032024105840013&amp;isNoScr=script&amp;mode=search", "토지이음")</f>
        <v/>
      </c>
      <c r="O3511" s="3" t="inlineStr">
        <is>
          <t>해밀탑</t>
        </is>
      </c>
      <c r="P3511" s="3" t="n">
        <v>2</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세종특별자치시 연동면 응암리 584-13</t>
        </is>
      </c>
      <c r="B3512" s="3" t="inlineStr">
        <is>
          <t>계획관리지역</t>
        </is>
      </c>
      <c r="C3512" s="3" t="inlineStr">
        <is>
          <t>대</t>
        </is>
      </c>
      <c r="D3512" s="3" t="inlineStr">
        <is>
          <t>대</t>
        </is>
      </c>
      <c r="E3512" s="3" t="inlineStr">
        <is>
          <t>매매</t>
        </is>
      </c>
      <c r="F3512" s="4" t="n">
        <v>130000</v>
      </c>
      <c r="G3512" s="4" t="n">
        <v>1429</v>
      </c>
      <c r="H3512" s="4" t="n">
        <v>432</v>
      </c>
      <c r="I3512" s="5" t="n">
        <v>300.9</v>
      </c>
      <c r="J3512" s="4" t="n">
        <v>103.4</v>
      </c>
      <c r="K3512" s="3" t="inlineStr">
        <is>
          <t>2차선도로접  명학산업단지 5생활권 남청주ic 인근</t>
        </is>
      </c>
      <c r="L3512" s="6">
        <f>HYPERLINK("https://fin.land.naver.com/articles/2646908663", "매물Link")</f>
        <v/>
      </c>
      <c r="M3512" s="6">
        <f>HYPERLINK("https://map.naver.com/p/search/세종특별자치시 연동면 응암리 584-13", "지도Link")</f>
        <v/>
      </c>
      <c r="N3512" s="6">
        <f>HYPERLINK("http://www.eum.go.kr/web/ar/lu/luLandDet.jsp?pnu=3611032024105840013&amp;isNoScr=script&amp;mode=search", "토지이음")</f>
        <v/>
      </c>
      <c r="O3512" s="3" t="inlineStr">
        <is>
          <t>세종로또</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세종특별자치시 연동면 응암리 584-13</t>
        </is>
      </c>
      <c r="B3513" s="3" t="inlineStr">
        <is>
          <t>계획관리지역</t>
        </is>
      </c>
      <c r="C3513" s="3" t="inlineStr">
        <is>
          <t>대</t>
        </is>
      </c>
      <c r="D3513" s="3" t="inlineStr">
        <is>
          <t>대</t>
        </is>
      </c>
      <c r="E3513" s="3" t="inlineStr">
        <is>
          <t>매매</t>
        </is>
      </c>
      <c r="F3513" s="4" t="n">
        <v>100000</v>
      </c>
      <c r="G3513" s="4" t="n">
        <v>1429</v>
      </c>
      <c r="H3513" s="4" t="n">
        <v>432</v>
      </c>
      <c r="I3513" s="5" t="n">
        <v>231.5</v>
      </c>
      <c r="J3513" s="4" t="n">
        <v>103.4</v>
      </c>
      <c r="K3513" s="3" t="inlineStr">
        <is>
          <t>1. 2차선도로 접한 직사각형토지 급매토지 2. 오송역 남청주IC 1</t>
        </is>
      </c>
      <c r="L3513" s="6">
        <f>HYPERLINK("https://fin.land.naver.com/articles/2646950261", "매물Link")</f>
        <v/>
      </c>
      <c r="M3513" s="6">
        <f>HYPERLINK("https://map.naver.com/p/search/세종특별자치시 연동면 응암리 584-13", "지도Link")</f>
        <v/>
      </c>
      <c r="N3513" s="6">
        <f>HYPERLINK("http://www.eum.go.kr/web/ar/lu/luLandDet.jsp?pnu=3611032024105840013&amp;isNoScr=script&amp;mode=search", "토지이음")</f>
        <v/>
      </c>
      <c r="O3513" s="3" t="inlineStr">
        <is>
          <t>연동스카이</t>
        </is>
      </c>
      <c r="P3513" s="3" t="n">
        <v>1</v>
      </c>
      <c r="Q3513" s="3" t="n">
        <v>766</v>
      </c>
      <c r="R3513" s="3" t="inlineStr">
        <is>
          <t>지정되지않음</t>
        </is>
      </c>
      <c r="S3513" s="3" t="inlineStr">
        <is>
          <t>주거기타</t>
        </is>
      </c>
      <c r="T3513" s="3" t="inlineStr">
        <is>
          <t>평지</t>
        </is>
      </c>
      <c r="U3513" s="3" t="inlineStr">
        <is>
          <t>사다리형</t>
        </is>
      </c>
      <c r="V3513" s="3" t="inlineStr">
        <is>
          <t>소로한면</t>
        </is>
      </c>
    </row>
    <row r="3514">
      <c r="A3514" s="3" t="inlineStr">
        <is>
          <t>세종특별자치시 연동면 응암리 602-3</t>
        </is>
      </c>
      <c r="B3514" s="3" t="inlineStr">
        <is>
          <t>계획관리지역</t>
        </is>
      </c>
      <c r="C3514" s="3" t="inlineStr">
        <is>
          <t>대</t>
        </is>
      </c>
      <c r="D3514" s="3" t="inlineStr">
        <is>
          <t>대</t>
        </is>
      </c>
      <c r="E3514" s="3" t="inlineStr">
        <is>
          <t>매매</t>
        </is>
      </c>
      <c r="F3514" s="4" t="n">
        <v>27000</v>
      </c>
      <c r="G3514" s="4" t="n">
        <v>452</v>
      </c>
      <c r="H3514" s="4" t="n">
        <v>137</v>
      </c>
      <c r="I3514" s="5" t="n">
        <v>197.1</v>
      </c>
      <c r="J3514" s="4" t="n">
        <v>89.90000000000001</v>
      </c>
      <c r="K3514" s="3" t="inlineStr">
        <is>
          <t>nan</t>
        </is>
      </c>
      <c r="L3514" s="6">
        <f>HYPERLINK("https://fin.land.naver.com/articles/2645277621", "매물Link")</f>
        <v/>
      </c>
      <c r="M3514" s="6">
        <f>HYPERLINK("https://map.naver.com/p/search/세종특별자치시 연동면 응암리 602-3", "지도Link")</f>
        <v/>
      </c>
      <c r="N3514" s="6">
        <f>HYPERLINK("http://www.eum.go.kr/web/ar/lu/luLandDet.jsp?pnu=3611032024106020003&amp;isNoScr=script&amp;mode=search", "토지이음")</f>
        <v/>
      </c>
      <c r="O3514" s="3" t="inlineStr">
        <is>
          <t>부엉이</t>
        </is>
      </c>
      <c r="P3514" s="3" t="n">
        <v>2</v>
      </c>
      <c r="Q3514" s="3" t="n">
        <v>188</v>
      </c>
      <c r="R3514" s="3" t="inlineStr">
        <is>
          <t>지정되지않음</t>
        </is>
      </c>
      <c r="S3514" s="3" t="inlineStr">
        <is>
          <t>단독</t>
        </is>
      </c>
      <c r="T3514" s="3" t="inlineStr">
        <is>
          <t>평지</t>
        </is>
      </c>
      <c r="U3514" s="3" t="inlineStr">
        <is>
          <t>세로장방</t>
        </is>
      </c>
      <c r="V3514" s="3" t="inlineStr">
        <is>
          <t>세로한면(가)</t>
        </is>
      </c>
    </row>
    <row r="3515">
      <c r="A3515" s="3" t="inlineStr">
        <is>
          <t>세종특별자치시 연동면 응암리 694</t>
        </is>
      </c>
      <c r="B3515" s="3" t="inlineStr">
        <is>
          <t>계획관리지역</t>
        </is>
      </c>
      <c r="C3515" s="3" t="inlineStr">
        <is>
          <t>답</t>
        </is>
      </c>
      <c r="D3515" s="3" t="inlineStr">
        <is>
          <t>답</t>
        </is>
      </c>
      <c r="E3515" s="3" t="inlineStr">
        <is>
          <t>매매</t>
        </is>
      </c>
      <c r="F3515" s="4" t="n">
        <v>32000</v>
      </c>
      <c r="G3515" s="4" t="n">
        <v>1769</v>
      </c>
      <c r="H3515" s="4" t="n">
        <v>535</v>
      </c>
      <c r="I3515" s="5" t="n">
        <v>59.8</v>
      </c>
      <c r="J3515" s="4" t="n">
        <v>36.4</v>
      </c>
      <c r="K3515" s="3" t="inlineStr">
        <is>
          <t>연동면 응암리 계획관리지역</t>
        </is>
      </c>
      <c r="L3515" s="6">
        <f>HYPERLINK("https://fin.land.naver.com/articles/2649787914", "매물Link")</f>
        <v/>
      </c>
      <c r="M3515" s="6">
        <f>HYPERLINK("https://map.naver.com/p/search/세종특별자치시 연동면 응암리 694", "지도Link")</f>
        <v/>
      </c>
      <c r="N3515" s="6">
        <f>HYPERLINK("http://www.eum.go.kr/web/ar/lu/luLandDet.jsp?pnu=3611032024106940000&amp;isNoScr=script&amp;mode=search", "토지이음")</f>
        <v/>
      </c>
      <c r="O3515" s="3" t="inlineStr">
        <is>
          <t>KB세종</t>
        </is>
      </c>
      <c r="P3515" s="3" t="n">
        <v>1</v>
      </c>
      <c r="Q3515" s="3" t="n">
        <v>1769</v>
      </c>
      <c r="R3515" s="3" t="inlineStr">
        <is>
          <t>지정되지않음</t>
        </is>
      </c>
      <c r="S3515" s="3" t="inlineStr">
        <is>
          <t>답</t>
        </is>
      </c>
      <c r="T3515" s="3" t="inlineStr">
        <is>
          <t>완경사</t>
        </is>
      </c>
      <c r="U3515" s="3" t="inlineStr">
        <is>
          <t>부정형</t>
        </is>
      </c>
      <c r="V3515" s="3" t="inlineStr">
        <is>
          <t>세로한면(불)</t>
        </is>
      </c>
    </row>
    <row r="3516">
      <c r="A3516" s="3" t="inlineStr">
        <is>
          <t>세종특별자치시 연동면 응암리 738-8</t>
        </is>
      </c>
      <c r="B3516" s="3" t="inlineStr">
        <is>
          <t>계획관리지역</t>
        </is>
      </c>
      <c r="C3516" s="3" t="inlineStr">
        <is>
          <t>주유소용지</t>
        </is>
      </c>
      <c r="D3516" s="3" t="inlineStr">
        <is>
          <t>주유소용지</t>
        </is>
      </c>
      <c r="E3516" s="3" t="inlineStr">
        <is>
          <t>매매</t>
        </is>
      </c>
      <c r="F3516" s="4" t="n">
        <v>370000</v>
      </c>
      <c r="G3516" s="4" t="n">
        <v>1420</v>
      </c>
      <c r="H3516" s="4" t="n">
        <v>430</v>
      </c>
      <c r="I3516" s="5" t="n">
        <v>860.5</v>
      </c>
      <c r="J3516" s="4" t="n">
        <v>160</v>
      </c>
      <c r="K3516" s="3" t="inlineStr">
        <is>
          <t>행정중심복합도시 진입 방향 건축가능한 나대지</t>
        </is>
      </c>
      <c r="L3516" s="6">
        <f>HYPERLINK("https://fin.land.naver.com/articles/2647420850", "매물Link")</f>
        <v/>
      </c>
      <c r="M3516" s="6">
        <f>HYPERLINK("https://map.naver.com/p/search/세종특별자치시 연동면 응암리 738-8", "지도Link")</f>
        <v/>
      </c>
      <c r="N3516" s="6">
        <f>HYPERLINK("http://www.eum.go.kr/web/ar/lu/luLandDet.jsp?pnu=3611032024107380008&amp;isNoScr=script&amp;mode=search", "토지이음")</f>
        <v/>
      </c>
      <c r="O3516" s="3" t="inlineStr">
        <is>
          <t>남산제일</t>
        </is>
      </c>
      <c r="P3516" s="3" t="n">
        <v>1</v>
      </c>
      <c r="Q3516" s="3" t="n">
        <v>1420</v>
      </c>
      <c r="R3516" s="3" t="inlineStr">
        <is>
          <t>지정되지않음</t>
        </is>
      </c>
      <c r="S3516" s="3" t="inlineStr">
        <is>
          <t>상업용</t>
        </is>
      </c>
      <c r="T3516" s="3" t="inlineStr">
        <is>
          <t>평지</t>
        </is>
      </c>
      <c r="U3516" s="3" t="inlineStr">
        <is>
          <t>부정형</t>
        </is>
      </c>
      <c r="V3516" s="3" t="inlineStr">
        <is>
          <t>소로한면</t>
        </is>
      </c>
    </row>
    <row r="3517">
      <c r="A3517" s="3" t="inlineStr">
        <is>
          <t>세종특별자치시 연동면 응암리 749-2</t>
        </is>
      </c>
      <c r="B3517" s="3" t="inlineStr">
        <is>
          <t>계획관리지역</t>
        </is>
      </c>
      <c r="C3517" s="3" t="inlineStr">
        <is>
          <t>전</t>
        </is>
      </c>
      <c r="D3517" s="3" t="inlineStr">
        <is>
          <t>전</t>
        </is>
      </c>
      <c r="E3517" s="3" t="inlineStr">
        <is>
          <t>매매</t>
        </is>
      </c>
      <c r="F3517" s="4" t="n">
        <v>147000</v>
      </c>
      <c r="G3517" s="4" t="n">
        <v>972</v>
      </c>
      <c r="H3517" s="4" t="n">
        <v>294</v>
      </c>
      <c r="I3517" s="5" t="n">
        <v>500</v>
      </c>
      <c r="J3517" s="4" t="n">
        <v>76.2</v>
      </c>
      <c r="K3517" s="3" t="inlineStr">
        <is>
          <t>2차선접,땅모양 굿</t>
        </is>
      </c>
      <c r="L3517" s="6">
        <f>HYPERLINK("https://fin.land.naver.com/articles/2649526799", "매물Link")</f>
        <v/>
      </c>
      <c r="M3517" s="6">
        <f>HYPERLINK("https://map.naver.com/p/search/세종특별자치시 연동면 응암리 749-2", "지도Link")</f>
        <v/>
      </c>
      <c r="N3517" s="6">
        <f>HYPERLINK("http://www.eum.go.kr/web/ar/lu/luLandDet.jsp?pnu=3611032024107490002&amp;isNoScr=script&amp;mode=search", "토지이음")</f>
        <v/>
      </c>
      <c r="O3517" s="3" t="inlineStr">
        <is>
          <t>힐스테이트행복</t>
        </is>
      </c>
      <c r="P3517" s="3" t="n">
        <v>1</v>
      </c>
      <c r="Q3517" s="3" t="n">
        <v>972</v>
      </c>
      <c r="R3517" s="3" t="inlineStr">
        <is>
          <t>지정되지않음</t>
        </is>
      </c>
      <c r="S3517" s="3" t="inlineStr">
        <is>
          <t>과수원</t>
        </is>
      </c>
      <c r="T3517" s="3" t="inlineStr">
        <is>
          <t>평지</t>
        </is>
      </c>
      <c r="U3517" s="3" t="inlineStr">
        <is>
          <t>사다리형</t>
        </is>
      </c>
      <c r="V3517" s="3" t="inlineStr">
        <is>
          <t>소로한면</t>
        </is>
      </c>
    </row>
    <row r="3518">
      <c r="A3518" s="3" t="inlineStr">
        <is>
          <t>세종특별자치시 연동면 응암리 752-2</t>
        </is>
      </c>
      <c r="B3518" s="3" t="inlineStr">
        <is>
          <t>계획관리지역</t>
        </is>
      </c>
      <c r="C3518" s="3" t="inlineStr">
        <is>
          <t>잡종지</t>
        </is>
      </c>
      <c r="D3518" s="3" t="inlineStr">
        <is>
          <t>잡종지</t>
        </is>
      </c>
      <c r="E3518" s="3" t="inlineStr">
        <is>
          <t>매매</t>
        </is>
      </c>
      <c r="F3518" s="4" t="n">
        <v>300000</v>
      </c>
      <c r="G3518" s="4" t="n">
        <v>2428</v>
      </c>
      <c r="H3518" s="4" t="n">
        <v>734</v>
      </c>
      <c r="I3518" s="5" t="n">
        <v>408.7</v>
      </c>
      <c r="J3518" s="4" t="n">
        <v>133</v>
      </c>
      <c r="K3518" s="3" t="inlineStr">
        <is>
          <t>2차선도로변, 5생활권주변, 카센터,타이어,물류,상가 등 추천</t>
        </is>
      </c>
      <c r="L3518" s="6">
        <f>HYPERLINK("https://fin.land.naver.com/articles/2649691502", "매물Link")</f>
        <v/>
      </c>
      <c r="M3518" s="6">
        <f>HYPERLINK("https://map.naver.com/p/search/세종특별자치시 연동면 응암리 752-2", "지도Link")</f>
        <v/>
      </c>
      <c r="N3518" s="6">
        <f>HYPERLINK("http://www.eum.go.kr/web/ar/lu/luLandDet.jsp?pnu=3611032024107520002&amp;isNoScr=script&amp;mode=search", "토지이음")</f>
        <v/>
      </c>
      <c r="O3518" s="3" t="inlineStr">
        <is>
          <t>세종큰길</t>
        </is>
      </c>
      <c r="P3518" s="3" t="n">
        <v>1</v>
      </c>
      <c r="Q3518" s="3" t="n">
        <v>628</v>
      </c>
      <c r="R3518" s="3" t="inlineStr">
        <is>
          <t>지정되지않음</t>
        </is>
      </c>
      <c r="S3518" s="3" t="inlineStr">
        <is>
          <t>주상용</t>
        </is>
      </c>
      <c r="T3518" s="3" t="inlineStr">
        <is>
          <t>평지</t>
        </is>
      </c>
      <c r="U3518" s="3" t="inlineStr">
        <is>
          <t>부정형</t>
        </is>
      </c>
      <c r="V3518" s="3" t="inlineStr">
        <is>
          <t>소로한면</t>
        </is>
      </c>
    </row>
    <row r="3519">
      <c r="A3519" s="3" t="inlineStr">
        <is>
          <t>세종특별자치시 연동면 응암리 871</t>
        </is>
      </c>
      <c r="B3519" s="3" t="inlineStr">
        <is>
          <t>농림지역</t>
        </is>
      </c>
      <c r="C3519" s="3" t="inlineStr">
        <is>
          <t>답</t>
        </is>
      </c>
      <c r="D3519" s="3" t="inlineStr">
        <is>
          <t>답</t>
        </is>
      </c>
      <c r="E3519" s="3" t="inlineStr">
        <is>
          <t>매매</t>
        </is>
      </c>
      <c r="F3519" s="4" t="n">
        <v>48800</v>
      </c>
      <c r="G3519" s="4" t="n">
        <v>2928</v>
      </c>
      <c r="H3519" s="4" t="n">
        <v>886</v>
      </c>
      <c r="I3519" s="5" t="n">
        <v>55.1</v>
      </c>
      <c r="J3519" s="4" t="n">
        <v>21.7</v>
      </c>
      <c r="K3519" s="3" t="inlineStr">
        <is>
          <t>마을부근의 농지로 대토 및 농업관련 업종의 소형공장이나 창고, 주택</t>
        </is>
      </c>
      <c r="L3519" s="6">
        <f>HYPERLINK("https://fin.land.naver.com/articles/2648259374", "매물Link")</f>
        <v/>
      </c>
      <c r="M3519" s="6">
        <f>HYPERLINK("https://map.naver.com/p/search/세종특별자치시 연동면 응암리 871", "지도Link")</f>
        <v/>
      </c>
      <c r="N3519" s="6">
        <f>HYPERLINK("http://www.eum.go.kr/web/ar/lu/luLandDet.jsp?pnu=3611032024108710000&amp;isNoScr=script&amp;mode=search", "토지이음")</f>
        <v/>
      </c>
      <c r="O3519" s="3" t="inlineStr">
        <is>
          <t>연동스카이</t>
        </is>
      </c>
      <c r="P3519" s="3" t="n">
        <v>1</v>
      </c>
      <c r="Q3519" s="3" t="n">
        <v>2927.9</v>
      </c>
      <c r="R3519" s="3" t="inlineStr">
        <is>
          <t>지정되지않음</t>
        </is>
      </c>
      <c r="S3519" s="3" t="inlineStr">
        <is>
          <t>답</t>
        </is>
      </c>
      <c r="T3519" s="3" t="inlineStr">
        <is>
          <t>평지</t>
        </is>
      </c>
      <c r="U3519" s="3" t="inlineStr">
        <is>
          <t>가로장방</t>
        </is>
      </c>
      <c r="V3519" s="3" t="inlineStr">
        <is>
          <t>세로한면(가)</t>
        </is>
      </c>
    </row>
    <row r="3520">
      <c r="A3520" s="3" t="inlineStr">
        <is>
          <t>세종특별자치시 연동면 응암리 산42-6</t>
        </is>
      </c>
      <c r="B3520" s="3" t="inlineStr">
        <is>
          <t>계획관리지역</t>
        </is>
      </c>
      <c r="C3520" s="3" t="inlineStr">
        <is>
          <t>임야</t>
        </is>
      </c>
      <c r="D3520" s="3" t="inlineStr">
        <is>
          <t>임야</t>
        </is>
      </c>
      <c r="E3520" s="3" t="inlineStr">
        <is>
          <t>매매</t>
        </is>
      </c>
      <c r="F3520" s="4" t="n">
        <v>220000</v>
      </c>
      <c r="G3520" s="4" t="n">
        <v>5620</v>
      </c>
      <c r="H3520" s="4" t="n">
        <v>1700</v>
      </c>
      <c r="I3520" s="5" t="n">
        <v>129.4</v>
      </c>
      <c r="J3520" s="4" t="n">
        <v>13.1</v>
      </c>
      <c r="K3520" s="3" t="inlineStr">
        <is>
          <t>계획관리지역.4미터포장진입도로있음.물류창고용도활용가능.준보전산지.종중임야</t>
        </is>
      </c>
      <c r="L3520" s="6">
        <f>HYPERLINK("https://fin.land.naver.com/articles/2644984438", "매물Link")</f>
        <v/>
      </c>
      <c r="M3520" s="6">
        <f>HYPERLINK("https://map.naver.com/p/search/세종특별자치시 연동면 응암리 산42-6", "지도Link")</f>
        <v/>
      </c>
      <c r="N3520" s="6">
        <f>HYPERLINK("http://www.eum.go.kr/web/ar/lu/luLandDet.jsp?pnu=3611032024200420006&amp;isNoScr=script&amp;mode=search", "토지이음")</f>
        <v/>
      </c>
      <c r="O3520" s="3" t="inlineStr">
        <is>
          <t>돈방석</t>
        </is>
      </c>
      <c r="P3520" s="3" t="n">
        <v>1</v>
      </c>
      <c r="Q3520" s="3" t="n">
        <v>5620</v>
      </c>
      <c r="R3520" s="3" t="inlineStr">
        <is>
          <t>지정되지않음</t>
        </is>
      </c>
      <c r="S3520" s="3" t="inlineStr">
        <is>
          <t>자연림</t>
        </is>
      </c>
      <c r="T3520" s="3" t="inlineStr">
        <is>
          <t>완경사</t>
        </is>
      </c>
      <c r="U3520" s="3" t="inlineStr">
        <is>
          <t>부정형</t>
        </is>
      </c>
      <c r="V3520" s="3" t="inlineStr">
        <is>
          <t>세로한면(불)</t>
        </is>
      </c>
    </row>
    <row r="3521">
      <c r="A3521" s="3" t="inlineStr">
        <is>
          <t>세종특별자치시 연동면 응암리 산6-1</t>
        </is>
      </c>
      <c r="B3521" s="3" t="inlineStr">
        <is>
          <t>계획관리지역</t>
        </is>
      </c>
      <c r="C3521" s="3" t="inlineStr">
        <is>
          <t>임야</t>
        </is>
      </c>
      <c r="D3521" s="3" t="inlineStr">
        <is>
          <t>임야</t>
        </is>
      </c>
      <c r="E3521" s="3" t="inlineStr">
        <is>
          <t>매매</t>
        </is>
      </c>
      <c r="F3521" s="4" t="n">
        <v>280000</v>
      </c>
      <c r="G3521" s="4" t="n">
        <v>11561</v>
      </c>
      <c r="H3521" s="4" t="n">
        <v>3497</v>
      </c>
      <c r="I3521" s="5" t="n">
        <v>80.09999999999999</v>
      </c>
      <c r="J3521" s="4" t="n">
        <v>15.4</v>
      </c>
      <c r="K3521" s="3" t="inlineStr">
        <is>
          <t>nan</t>
        </is>
      </c>
      <c r="L3521" s="6">
        <f>HYPERLINK("https://fin.land.naver.com/articles/2645606155", "매물Link")</f>
        <v/>
      </c>
      <c r="M3521" s="6">
        <f>HYPERLINK("https://map.naver.com/p/search/세종특별자치시 연동면 응암리 산6-1", "지도Link")</f>
        <v/>
      </c>
      <c r="N3521" s="6">
        <f>HYPERLINK("http://www.eum.go.kr/web/ar/lu/luLandDet.jsp?pnu=3611032024200060001&amp;isNoScr=script&amp;mode=search", "토지이음")</f>
        <v/>
      </c>
      <c r="O3521" s="3" t="inlineStr">
        <is>
          <t>미스터홈즈강남지사</t>
        </is>
      </c>
      <c r="P3521" s="3" t="n">
        <v>1</v>
      </c>
      <c r="Q3521" s="3" t="n">
        <v>7736</v>
      </c>
      <c r="R3521" s="3" t="inlineStr">
        <is>
          <t>지정되지않음</t>
        </is>
      </c>
      <c r="S3521" s="3" t="inlineStr">
        <is>
          <t>자연림</t>
        </is>
      </c>
      <c r="T3521" s="3" t="inlineStr">
        <is>
          <t>완경사</t>
        </is>
      </c>
      <c r="U3521" s="3" t="inlineStr">
        <is>
          <t>부정형</t>
        </is>
      </c>
      <c r="V3521" s="3" t="inlineStr">
        <is>
          <t>세로한면(불)</t>
        </is>
      </c>
    </row>
    <row r="3522">
      <c r="A3522" s="3" t="inlineStr">
        <is>
          <t>세종특별자치시 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HYPERLINK("https://map.naver.com/p/search/세종특별자치시 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세종특별자치시 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HYPERLINK("https://map.naver.com/p/search/세종특별자치시 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세종특별자치시 연동면 합강리 486-41</t>
        </is>
      </c>
      <c r="B3524" s="3" t="inlineStr">
        <is>
          <t>농림지역</t>
        </is>
      </c>
      <c r="C3524" s="3" t="inlineStr">
        <is>
          <t>임야</t>
        </is>
      </c>
      <c r="D3524" s="3" t="inlineStr">
        <is>
          <t>임야</t>
        </is>
      </c>
      <c r="E3524" s="3" t="inlineStr">
        <is>
          <t>매매</t>
        </is>
      </c>
      <c r="F3524" s="4" t="n">
        <v>73000</v>
      </c>
      <c r="G3524" s="4" t="n">
        <v>12036</v>
      </c>
      <c r="H3524" s="4" t="n">
        <v>3641</v>
      </c>
      <c r="I3524" s="5" t="n">
        <v>20</v>
      </c>
      <c r="J3524" s="4" t="n">
        <v>6</v>
      </c>
      <c r="K3524" s="3" t="inlineStr">
        <is>
          <t>조망이 좋고 투자가치가 높음, 인근에 비해 가격이 좋음</t>
        </is>
      </c>
      <c r="L3524" s="6">
        <f>HYPERLINK("https://fin.land.naver.com/articles/2646827360", "매물Link")</f>
        <v/>
      </c>
      <c r="M3524" s="6">
        <f>HYPERLINK("https://map.naver.com/p/search/세종특별자치시 연동면 합강리 486-41", "지도Link")</f>
        <v/>
      </c>
      <c r="N3524" s="6">
        <f>HYPERLINK("http://www.eum.go.kr/web/ar/lu/luLandDet.jsp?pnu=3611032028104860041&amp;isNoScr=script&amp;mode=search", "토지이음")</f>
        <v/>
      </c>
      <c r="O3524" s="3" t="inlineStr">
        <is>
          <t>새날</t>
        </is>
      </c>
      <c r="P3524" s="3" t="n">
        <v>1</v>
      </c>
      <c r="Q3524" s="3" t="n">
        <v>10686</v>
      </c>
      <c r="R3524" s="3" t="inlineStr">
        <is>
          <t>보전관리지역</t>
        </is>
      </c>
      <c r="S3524" s="3" t="inlineStr">
        <is>
          <t>자연림</t>
        </is>
      </c>
      <c r="T3524" s="3" t="inlineStr">
        <is>
          <t>급경사</t>
        </is>
      </c>
      <c r="U3524" s="3" t="inlineStr">
        <is>
          <t>부정형</t>
        </is>
      </c>
      <c r="V3524" s="3" t="inlineStr">
        <is>
          <t>맹지</t>
        </is>
      </c>
    </row>
    <row r="3525">
      <c r="A3525" s="3" t="inlineStr">
        <is>
          <t>세종특별자치시 연동면 합강리 490-14</t>
        </is>
      </c>
      <c r="B3525" s="3" t="inlineStr">
        <is>
          <t>보전관리지역</t>
        </is>
      </c>
      <c r="C3525" s="3" t="inlineStr">
        <is>
          <t>임야</t>
        </is>
      </c>
      <c r="D3525" s="3" t="inlineStr">
        <is>
          <t>임야</t>
        </is>
      </c>
      <c r="E3525" s="3" t="inlineStr">
        <is>
          <t>매매</t>
        </is>
      </c>
      <c r="F3525" s="4" t="n">
        <v>103000</v>
      </c>
      <c r="G3525" s="4" t="n">
        <v>682</v>
      </c>
      <c r="H3525" s="4" t="n">
        <v>206</v>
      </c>
      <c r="I3525" s="5" t="n">
        <v>500</v>
      </c>
      <c r="J3525" s="4" t="n">
        <v>165</v>
      </c>
      <c r="K3525" s="3" t="inlineStr">
        <is>
          <t>5생활권 인접한 세종의 꽃 합강리 무릉도원 배산임수 명당</t>
        </is>
      </c>
      <c r="L3525" s="6">
        <f>HYPERLINK("https://fin.land.naver.com/articles/2645210148", "매물Link")</f>
        <v/>
      </c>
      <c r="M3525" s="6">
        <f>HYPERLINK("https://map.naver.com/p/search/세종특별자치시 연동면 합강리 490-14", "지도Link")</f>
        <v/>
      </c>
      <c r="N3525" s="6">
        <f>HYPERLINK("http://www.eum.go.kr/web/ar/lu/luLandDet.jsp?pnu=3611032028104900014&amp;isNoScr=script&amp;mode=search", "토지이음")</f>
        <v/>
      </c>
      <c r="O3525" s="3" t="inlineStr">
        <is>
          <t>세종복댕이</t>
        </is>
      </c>
      <c r="P3525" s="3" t="n">
        <v>1</v>
      </c>
      <c r="Q3525" s="3" t="n">
        <v>682</v>
      </c>
      <c r="R3525" s="3" t="inlineStr">
        <is>
          <t>지정되지않음</t>
        </is>
      </c>
      <c r="S3525" s="3" t="inlineStr">
        <is>
          <t>주거나지</t>
        </is>
      </c>
      <c r="T3525" s="3" t="inlineStr">
        <is>
          <t>완경사</t>
        </is>
      </c>
      <c r="U3525" s="3" t="inlineStr">
        <is>
          <t>가로장방</t>
        </is>
      </c>
      <c r="V3525" s="3" t="inlineStr">
        <is>
          <t>세로한면(가)</t>
        </is>
      </c>
    </row>
    <row r="3526">
      <c r="A3526" s="3" t="inlineStr">
        <is>
          <t>세종특별자치시 연동면 합강리 491</t>
        </is>
      </c>
      <c r="B3526" s="3" t="inlineStr">
        <is>
          <t>보전관리지역</t>
        </is>
      </c>
      <c r="C3526" s="3" t="inlineStr">
        <is>
          <t>전</t>
        </is>
      </c>
      <c r="D3526" s="3" t="inlineStr">
        <is>
          <t>전</t>
        </is>
      </c>
      <c r="E3526" s="3" t="inlineStr">
        <is>
          <t>매매</t>
        </is>
      </c>
      <c r="F3526" s="4" t="n">
        <v>150000</v>
      </c>
      <c r="G3526" s="4" t="n">
        <v>1684</v>
      </c>
      <c r="H3526" s="4" t="n">
        <v>509</v>
      </c>
      <c r="I3526" s="5" t="n">
        <v>294.7</v>
      </c>
      <c r="J3526" s="4" t="n">
        <v>159.8</v>
      </c>
      <c r="K3526" s="3" t="inlineStr">
        <is>
          <t>nan</t>
        </is>
      </c>
      <c r="L3526" s="6">
        <f>HYPERLINK("https://fin.land.naver.com/articles/2645657449", "매물Link")</f>
        <v/>
      </c>
      <c r="M3526" s="6">
        <f>HYPERLINK("https://map.naver.com/p/search/세종특별자치시 연동면 합강리 491", "지도Link")</f>
        <v/>
      </c>
      <c r="N3526" s="6">
        <f>HYPERLINK("http://www.eum.go.kr/web/ar/lu/luLandDet.jsp?pnu=3611032028104910000&amp;isNoScr=script&amp;mode=search", "토지이음")</f>
        <v/>
      </c>
      <c r="O3526" s="3" t="inlineStr">
        <is>
          <t>하이엔드</t>
        </is>
      </c>
      <c r="P3526" s="3" t="n">
        <v>1</v>
      </c>
      <c r="Q3526" s="3" t="n">
        <v>1684</v>
      </c>
      <c r="R3526" s="3" t="inlineStr">
        <is>
          <t>지정되지않음</t>
        </is>
      </c>
      <c r="S3526" s="3" t="inlineStr">
        <is>
          <t>주거나지</t>
        </is>
      </c>
      <c r="T3526" s="3" t="inlineStr">
        <is>
          <t>완경사</t>
        </is>
      </c>
      <c r="U3526" s="3" t="inlineStr">
        <is>
          <t>부정형</t>
        </is>
      </c>
      <c r="V3526" s="3" t="inlineStr">
        <is>
          <t>세로한면(가)</t>
        </is>
      </c>
    </row>
    <row r="3527">
      <c r="A3527" s="3" t="inlineStr">
        <is>
          <t>세종특별자치시 연동면 합강리 492-4</t>
        </is>
      </c>
      <c r="B3527" s="3" t="inlineStr">
        <is>
          <t>보전관리지역</t>
        </is>
      </c>
      <c r="C3527" s="3" t="inlineStr">
        <is>
          <t>전</t>
        </is>
      </c>
      <c r="D3527" s="3" t="inlineStr">
        <is>
          <t>전</t>
        </is>
      </c>
      <c r="E3527" s="3" t="inlineStr">
        <is>
          <t>매매</t>
        </is>
      </c>
      <c r="F3527" s="4" t="n">
        <v>770000</v>
      </c>
      <c r="G3527" s="4" t="n">
        <v>2308</v>
      </c>
      <c r="H3527" s="4" t="n">
        <v>698</v>
      </c>
      <c r="I3527" s="5" t="n">
        <v>1103.2</v>
      </c>
      <c r="J3527" s="4" t="n">
        <v>107.6</v>
      </c>
      <c r="K3527" s="3" t="inlineStr">
        <is>
          <t>카페입지, 좋은 위치, 상수도 전기설비완료, 농막 시설물포함, 가격절충</t>
        </is>
      </c>
      <c r="L3527" s="6">
        <f>HYPERLINK("https://fin.land.naver.com/articles/2649498432", "매물Link")</f>
        <v/>
      </c>
      <c r="M3527" s="6">
        <f>HYPERLINK("https://map.naver.com/p/search/세종특별자치시 연동면 합강리 492-4", "지도Link")</f>
        <v/>
      </c>
      <c r="N3527" s="6">
        <f>HYPERLINK("http://www.eum.go.kr/web/ar/lu/luLandDet.jsp?pnu=3611032028104920004&amp;isNoScr=script&amp;mode=search", "토지이음")</f>
        <v/>
      </c>
      <c r="O3527" s="3" t="inlineStr">
        <is>
          <t>황금힐스테이트</t>
        </is>
      </c>
      <c r="P3527" s="3" t="n">
        <v>1</v>
      </c>
      <c r="Q3527" s="3" t="n">
        <v>2308</v>
      </c>
      <c r="R3527" s="3" t="inlineStr">
        <is>
          <t>지정되지않음</t>
        </is>
      </c>
      <c r="S3527" s="3" t="inlineStr">
        <is>
          <t>전</t>
        </is>
      </c>
      <c r="T3527" s="3" t="inlineStr">
        <is>
          <t>평지</t>
        </is>
      </c>
      <c r="U3527" s="3" t="inlineStr">
        <is>
          <t>부정형</t>
        </is>
      </c>
      <c r="V3527" s="3" t="inlineStr">
        <is>
          <t>세로한면(가)</t>
        </is>
      </c>
    </row>
    <row r="3528">
      <c r="A3528" s="3" t="inlineStr">
        <is>
          <t>세종특별자치시 연동면 합강리 500-24</t>
        </is>
      </c>
      <c r="B3528" s="3" t="inlineStr">
        <is>
          <t>보전관리지역</t>
        </is>
      </c>
      <c r="C3528" s="3" t="inlineStr">
        <is>
          <t>대</t>
        </is>
      </c>
      <c r="D3528" s="3" t="inlineStr">
        <is>
          <t>대</t>
        </is>
      </c>
      <c r="E3528" s="3" t="inlineStr">
        <is>
          <t>매매</t>
        </is>
      </c>
      <c r="F3528" s="4" t="n">
        <v>98000</v>
      </c>
      <c r="G3528" s="4" t="n">
        <v>647</v>
      </c>
      <c r="H3528" s="4" t="n">
        <v>196</v>
      </c>
      <c r="I3528" s="5" t="n">
        <v>500</v>
      </c>
      <c r="J3528" s="4" t="n">
        <v>158.2</v>
      </c>
      <c r="K3528" s="3" t="inlineStr">
        <is>
          <t>전망 좋은 주택지</t>
        </is>
      </c>
      <c r="L3528" s="6">
        <f>HYPERLINK("https://fin.land.naver.com/articles/2646891086", "매물Link")</f>
        <v/>
      </c>
      <c r="M3528" s="6">
        <f>HYPERLINK("https://map.naver.com/p/search/세종특별자치시 연동면 합강리 500-24", "지도Link")</f>
        <v/>
      </c>
      <c r="N3528" s="6">
        <f>HYPERLINK("http://www.eum.go.kr/web/ar/lu/luLandDet.jsp?pnu=3611032028105000024&amp;isNoScr=script&amp;mode=search", "토지이음")</f>
        <v/>
      </c>
      <c r="O3528" s="3" t="inlineStr">
        <is>
          <t>강아지풀</t>
        </is>
      </c>
      <c r="P3528" s="3" t="n">
        <v>1</v>
      </c>
      <c r="Q3528" s="3" t="n">
        <v>647</v>
      </c>
      <c r="R3528" s="3" t="inlineStr">
        <is>
          <t>지정되지않음</t>
        </is>
      </c>
      <c r="S3528" s="3" t="inlineStr">
        <is>
          <t>단독</t>
        </is>
      </c>
      <c r="T3528" s="3" t="inlineStr">
        <is>
          <t>완경사</t>
        </is>
      </c>
      <c r="U3528" s="3" t="inlineStr">
        <is>
          <t>부정형</t>
        </is>
      </c>
      <c r="V3528" s="3" t="inlineStr">
        <is>
          <t>세로한면(가)</t>
        </is>
      </c>
    </row>
    <row r="3529">
      <c r="A3529" s="3" t="inlineStr">
        <is>
          <t>세종특별자치시 연서면 고복리 112-1</t>
        </is>
      </c>
      <c r="B3529" s="3" t="inlineStr">
        <is>
          <t>계획관리지역</t>
        </is>
      </c>
      <c r="C3529" s="3" t="inlineStr">
        <is>
          <t>대</t>
        </is>
      </c>
      <c r="D3529" s="3" t="inlineStr">
        <is>
          <t>대</t>
        </is>
      </c>
      <c r="E3529" s="3" t="inlineStr">
        <is>
          <t>매매</t>
        </is>
      </c>
      <c r="F3529" s="4" t="n">
        <v>37500</v>
      </c>
      <c r="G3529" s="4" t="n">
        <v>946</v>
      </c>
      <c r="H3529" s="4" t="n">
        <v>286</v>
      </c>
      <c r="I3529" s="5" t="n">
        <v>131.1</v>
      </c>
      <c r="J3529" s="4" t="n">
        <v>66</v>
      </c>
      <c r="K3529" s="3" t="inlineStr">
        <is>
          <t>고복리 계획관리지역 대와 전으로 시세보다 저렴한 2필지 일괄매매.</t>
        </is>
      </c>
      <c r="L3529" s="6">
        <f>HYPERLINK("https://fin.land.naver.com/articles/2647918884", "매물Link")</f>
        <v/>
      </c>
      <c r="M3529" s="6">
        <f>HYPERLINK("https://map.naver.com/p/search/세종특별자치시 연서면 고복리 112-1", "지도Link")</f>
        <v/>
      </c>
      <c r="N3529" s="6">
        <f>HYPERLINK("http://www.eum.go.kr/web/ar/lu/luLandDet.jsp?pnu=3611036024101120001&amp;isNoScr=script&amp;mode=search", "토지이음")</f>
        <v/>
      </c>
      <c r="O3529" s="3" t="inlineStr">
        <is>
          <t>세종대장</t>
        </is>
      </c>
      <c r="P3529" s="3" t="n">
        <v>1</v>
      </c>
      <c r="Q3529" s="3" t="n">
        <v>377</v>
      </c>
      <c r="R3529" s="3" t="inlineStr">
        <is>
          <t>지정되지않음</t>
        </is>
      </c>
      <c r="S3529" s="3" t="inlineStr">
        <is>
          <t>주거나지</t>
        </is>
      </c>
      <c r="T3529" s="3" t="inlineStr">
        <is>
          <t>평지</t>
        </is>
      </c>
      <c r="U3529" s="3" t="inlineStr">
        <is>
          <t>사다리형</t>
        </is>
      </c>
      <c r="V3529" s="3" t="inlineStr">
        <is>
          <t>맹지</t>
        </is>
      </c>
    </row>
    <row r="3530">
      <c r="A3530" s="3" t="inlineStr">
        <is>
          <t>세종특별자치시 연서면 고복리 117</t>
        </is>
      </c>
      <c r="B3530" s="3" t="inlineStr">
        <is>
          <t>생산관리지역</t>
        </is>
      </c>
      <c r="C3530" s="3" t="inlineStr">
        <is>
          <t>답</t>
        </is>
      </c>
      <c r="D3530" s="3" t="inlineStr">
        <is>
          <t>답</t>
        </is>
      </c>
      <c r="E3530" s="3" t="inlineStr">
        <is>
          <t>매매</t>
        </is>
      </c>
      <c r="F3530" s="4" t="n">
        <v>224000</v>
      </c>
      <c r="G3530" s="4" t="n">
        <v>4932</v>
      </c>
      <c r="H3530" s="4" t="n">
        <v>1492</v>
      </c>
      <c r="I3530" s="5" t="n">
        <v>150.1</v>
      </c>
      <c r="J3530" s="4" t="n">
        <v>33.5</v>
      </c>
      <c r="K3530" s="3" t="inlineStr">
        <is>
          <t>추천. 도로접한 생산관리 농지</t>
        </is>
      </c>
      <c r="L3530" s="6">
        <f>HYPERLINK("https://fin.land.naver.com/articles/2645464010", "매물Link")</f>
        <v/>
      </c>
      <c r="M3530" s="6">
        <f>HYPERLINK("https://map.naver.com/p/search/세종특별자치시 연서면 고복리 117", "지도Link")</f>
        <v/>
      </c>
      <c r="N3530" s="6">
        <f>HYPERLINK("http://www.eum.go.kr/web/ar/lu/luLandDet.jsp?pnu=3611036024101170000&amp;isNoScr=script&amp;mode=search", "토지이음")</f>
        <v/>
      </c>
      <c r="O3530" s="3" t="inlineStr">
        <is>
          <t>강아지풀</t>
        </is>
      </c>
      <c r="P3530" s="3" t="n">
        <v>1</v>
      </c>
      <c r="Q3530" s="3" t="n">
        <v>4275</v>
      </c>
      <c r="R3530" s="3" t="inlineStr">
        <is>
          <t>지정되지않음</t>
        </is>
      </c>
      <c r="S3530" s="3" t="inlineStr">
        <is>
          <t>답</t>
        </is>
      </c>
      <c r="T3530" s="3" t="inlineStr">
        <is>
          <t>평지</t>
        </is>
      </c>
      <c r="U3530" s="3" t="inlineStr">
        <is>
          <t>부정형</t>
        </is>
      </c>
      <c r="V3530" s="3" t="inlineStr">
        <is>
          <t>세로한면(가)</t>
        </is>
      </c>
    </row>
    <row r="3531">
      <c r="A3531" s="3" t="inlineStr">
        <is>
          <t>세종특별자치시 연서면 고복리 174-1</t>
        </is>
      </c>
      <c r="B3531" s="3" t="inlineStr">
        <is>
          <t>생산관리지역</t>
        </is>
      </c>
      <c r="C3531" s="3" t="inlineStr">
        <is>
          <t>과수원</t>
        </is>
      </c>
      <c r="D3531" s="3" t="inlineStr">
        <is>
          <t>과수원</t>
        </is>
      </c>
      <c r="E3531" s="3" t="inlineStr">
        <is>
          <t>매매</t>
        </is>
      </c>
      <c r="F3531" s="4" t="n">
        <v>8370</v>
      </c>
      <c r="G3531" s="4" t="n">
        <v>615</v>
      </c>
      <c r="H3531" s="4" t="n">
        <v>186</v>
      </c>
      <c r="I3531" s="5" t="n">
        <v>45</v>
      </c>
      <c r="J3531" s="4" t="n">
        <v>23.4</v>
      </c>
      <c r="K3531" s="3" t="inlineStr">
        <is>
          <t>소액추천매물,주말농장겸 투자용으로 미래가치 까지 가져가세요</t>
        </is>
      </c>
      <c r="L3531" s="6">
        <f>HYPERLINK("https://fin.land.naver.com/articles/2646793702", "매물Link")</f>
        <v/>
      </c>
      <c r="M3531" s="6">
        <f>HYPERLINK("https://map.naver.com/p/search/세종특별자치시 연서면 고복리 174-1", "지도Link")</f>
        <v/>
      </c>
      <c r="N3531" s="6">
        <f>HYPERLINK("http://www.eum.go.kr/web/ar/lu/luLandDet.jsp?pnu=3611036024101740001&amp;isNoScr=script&amp;mode=search", "토지이음")</f>
        <v/>
      </c>
      <c r="O3531" s="3" t="inlineStr">
        <is>
          <t>가치잇는</t>
        </is>
      </c>
      <c r="P3531" s="3" t="n">
        <v>4</v>
      </c>
      <c r="Q3531" s="3" t="n">
        <v>615</v>
      </c>
      <c r="R3531" s="3" t="inlineStr">
        <is>
          <t>지정되지않음</t>
        </is>
      </c>
      <c r="S3531" s="3" t="inlineStr">
        <is>
          <t>과수원</t>
        </is>
      </c>
      <c r="T3531" s="3" t="inlineStr">
        <is>
          <t>완경사</t>
        </is>
      </c>
      <c r="U3531" s="3" t="inlineStr">
        <is>
          <t>사다리형</t>
        </is>
      </c>
      <c r="V3531" s="3" t="inlineStr">
        <is>
          <t>맹지</t>
        </is>
      </c>
    </row>
    <row r="3532">
      <c r="A3532" s="3" t="inlineStr">
        <is>
          <t>세종특별자치시 연서면 고복리 186-1</t>
        </is>
      </c>
      <c r="B3532" s="3" t="inlineStr">
        <is>
          <t>생산관리지역</t>
        </is>
      </c>
      <c r="C3532" s="3" t="inlineStr">
        <is>
          <t>답</t>
        </is>
      </c>
      <c r="D3532" s="3" t="inlineStr">
        <is>
          <t>답</t>
        </is>
      </c>
      <c r="E3532" s="3" t="inlineStr">
        <is>
          <t>매매</t>
        </is>
      </c>
      <c r="F3532" s="4" t="n">
        <v>29000</v>
      </c>
      <c r="G3532" s="4" t="n">
        <v>1964</v>
      </c>
      <c r="H3532" s="4" t="n">
        <v>594</v>
      </c>
      <c r="I3532" s="5" t="n">
        <v>48.8</v>
      </c>
      <c r="J3532" s="4" t="n">
        <v>22.6</v>
      </c>
      <c r="K3532" s="3" t="inlineStr">
        <is>
          <t>고복저수지 근방 대토또는 과수원으로 경작 추천 ,2필지 일괄매매</t>
        </is>
      </c>
      <c r="L3532" s="6">
        <f>HYPERLINK("https://fin.land.naver.com/articles/2647512056", "매물Link")</f>
        <v/>
      </c>
      <c r="M3532" s="6">
        <f>HYPERLINK("https://map.naver.com/p/search/세종특별자치시 연서면 고복리 186-1", "지도Link")</f>
        <v/>
      </c>
      <c r="N3532" s="6">
        <f>HYPERLINK("http://www.eum.go.kr/web/ar/lu/luLandDet.jsp?pnu=3611036024101860001&amp;isNoScr=script&amp;mode=search", "토지이음")</f>
        <v/>
      </c>
      <c r="O3532" s="3" t="inlineStr">
        <is>
          <t>담뜰</t>
        </is>
      </c>
      <c r="P3532" s="3" t="n">
        <v>1</v>
      </c>
      <c r="Q3532" s="3" t="n">
        <v>582</v>
      </c>
      <c r="R3532" s="3" t="inlineStr">
        <is>
          <t>지정되지않음</t>
        </is>
      </c>
      <c r="S3532" s="3" t="inlineStr">
        <is>
          <t>답</t>
        </is>
      </c>
      <c r="T3532" s="3" t="inlineStr">
        <is>
          <t>완경사</t>
        </is>
      </c>
      <c r="U3532" s="3" t="inlineStr">
        <is>
          <t>부정형</t>
        </is>
      </c>
      <c r="V3532" s="3" t="inlineStr">
        <is>
          <t>세로한면(불)</t>
        </is>
      </c>
    </row>
    <row r="3533">
      <c r="A3533" s="3" t="inlineStr">
        <is>
          <t>세종특별자치시 연서면 고복리 291-3</t>
        </is>
      </c>
      <c r="B3533" s="3" t="inlineStr">
        <is>
          <t>계획관리지역</t>
        </is>
      </c>
      <c r="C3533" s="3" t="inlineStr">
        <is>
          <t>대</t>
        </is>
      </c>
      <c r="D3533" s="3" t="inlineStr">
        <is>
          <t>과수원</t>
        </is>
      </c>
      <c r="E3533" s="3" t="inlineStr">
        <is>
          <t>매매</t>
        </is>
      </c>
      <c r="F3533" s="4" t="n">
        <v>97000</v>
      </c>
      <c r="G3533" s="4" t="n">
        <v>4599</v>
      </c>
      <c r="H3533" s="4" t="n">
        <v>1391</v>
      </c>
      <c r="I3533" s="5" t="n">
        <v>69.7</v>
      </c>
      <c r="J3533" s="4" t="n">
        <v>50.5</v>
      </c>
      <c r="K3533" s="3" t="inlineStr">
        <is>
          <t>고복리 계획관리와 생산관리지역으로 지목이 대,과수원,창고시설 일괄급매.</t>
        </is>
      </c>
      <c r="L3533" s="6">
        <f>HYPERLINK("https://fin.land.naver.com/articles/2645179254", "매물Link")</f>
        <v/>
      </c>
      <c r="M3533" s="6">
        <f>HYPERLINK("https://map.naver.com/p/search/세종특별자치시 연서면 고복리 291-3", "지도Link")</f>
        <v/>
      </c>
      <c r="N3533" s="6">
        <f>HYPERLINK("http://www.eum.go.kr/web/ar/lu/luLandDet.jsp?pnu=3611036024102910003&amp;isNoScr=script&amp;mode=search", "토지이음")</f>
        <v/>
      </c>
      <c r="O3533" s="3" t="inlineStr">
        <is>
          <t>세종대장</t>
        </is>
      </c>
      <c r="P3533" s="3" t="n">
        <v>1</v>
      </c>
      <c r="Q3533" s="3" t="n">
        <v>863</v>
      </c>
      <c r="R3533" s="3" t="inlineStr">
        <is>
          <t>생산관리지역</t>
        </is>
      </c>
      <c r="S3533" s="3" t="inlineStr">
        <is>
          <t>단독</t>
        </is>
      </c>
      <c r="T3533" s="3" t="inlineStr">
        <is>
          <t>평지</t>
        </is>
      </c>
      <c r="U3533" s="3" t="inlineStr">
        <is>
          <t>부정형</t>
        </is>
      </c>
      <c r="V3533" s="3" t="inlineStr">
        <is>
          <t>세로한면(불)</t>
        </is>
      </c>
    </row>
    <row r="3534">
      <c r="A3534" s="3" t="inlineStr">
        <is>
          <t>세종특별자치시 연서면 고복리 294</t>
        </is>
      </c>
      <c r="B3534" s="3" t="inlineStr">
        <is>
          <t>생산관리지역</t>
        </is>
      </c>
      <c r="C3534" s="3" t="inlineStr">
        <is>
          <t>과수원</t>
        </is>
      </c>
      <c r="D3534" s="3" t="inlineStr">
        <is>
          <t>과수원</t>
        </is>
      </c>
      <c r="E3534" s="3" t="inlineStr">
        <is>
          <t>매매</t>
        </is>
      </c>
      <c r="F3534" s="4" t="n">
        <v>80000</v>
      </c>
      <c r="G3534" s="4" t="n">
        <v>2922</v>
      </c>
      <c r="H3534" s="4" t="n">
        <v>884</v>
      </c>
      <c r="I3534" s="5" t="n">
        <v>90.5</v>
      </c>
      <c r="J3534" s="4" t="n">
        <v>32.5</v>
      </c>
      <c r="K3534" s="3" t="inlineStr">
        <is>
          <t>급매, 연서면 고복리 마을포장도로에 접한 생산관리지역 과수원을 급매합니다</t>
        </is>
      </c>
      <c r="L3534" s="6">
        <f>HYPERLINK("https://fin.land.naver.com/articles/2647005012", "매물Link")</f>
        <v/>
      </c>
      <c r="M3534" s="6">
        <f>HYPERLINK("https://map.naver.com/p/search/세종특별자치시 연서면 고복리 294", "지도Link")</f>
        <v/>
      </c>
      <c r="N3534" s="6">
        <f>HYPERLINK("http://www.eum.go.kr/web/ar/lu/luLandDet.jsp?pnu=3611036024102940000&amp;isNoScr=script&amp;mode=search", "토지이음")</f>
        <v/>
      </c>
      <c r="O3534" s="3" t="inlineStr">
        <is>
          <t>스마일세종</t>
        </is>
      </c>
      <c r="P3534" s="3" t="n">
        <v>1</v>
      </c>
      <c r="Q3534" s="3" t="n">
        <v>2922</v>
      </c>
      <c r="R3534" s="3" t="inlineStr">
        <is>
          <t>지정되지않음</t>
        </is>
      </c>
      <c r="S3534" s="3" t="inlineStr">
        <is>
          <t>과수원</t>
        </is>
      </c>
      <c r="T3534" s="3" t="inlineStr">
        <is>
          <t>평지</t>
        </is>
      </c>
      <c r="U3534" s="3" t="inlineStr">
        <is>
          <t>사다리형</t>
        </is>
      </c>
      <c r="V3534" s="3" t="inlineStr">
        <is>
          <t>세로한면(가)</t>
        </is>
      </c>
    </row>
    <row r="3535">
      <c r="A3535" s="3" t="inlineStr">
        <is>
          <t>세종특별자치시 연서면 고복리 373</t>
        </is>
      </c>
      <c r="B3535" s="3" t="inlineStr">
        <is>
          <t>보전관리지역</t>
        </is>
      </c>
      <c r="C3535" s="3" t="inlineStr">
        <is>
          <t>대</t>
        </is>
      </c>
      <c r="D3535" s="3" t="inlineStr">
        <is>
          <t>전</t>
        </is>
      </c>
      <c r="E3535" s="3" t="inlineStr">
        <is>
          <t>매매</t>
        </is>
      </c>
      <c r="F3535" s="4" t="n">
        <v>120000</v>
      </c>
      <c r="G3535" s="4" t="n">
        <v>5623</v>
      </c>
      <c r="H3535" s="4" t="n">
        <v>1701</v>
      </c>
      <c r="I3535" s="5" t="n">
        <v>70.5</v>
      </c>
      <c r="J3535" s="4" t="n">
        <v>38.3</v>
      </c>
      <c r="K3535" s="3" t="inlineStr">
        <is>
          <t>고복저수지 3분, 조치원 5분 이내.</t>
        </is>
      </c>
      <c r="L3535" s="6">
        <f>HYPERLINK("https://fin.land.naver.com/articles/2649922113", "매물Link")</f>
        <v/>
      </c>
      <c r="M3535" s="6">
        <f>HYPERLINK("https://map.naver.com/p/search/세종특별자치시 연서면 고복리 373", "지도Link")</f>
        <v/>
      </c>
      <c r="N3535" s="6">
        <f>HYPERLINK("http://www.eum.go.kr/web/ar/lu/luLandDet.jsp?pnu=3611036024103730000&amp;isNoScr=script&amp;mode=search", "토지이음")</f>
        <v/>
      </c>
      <c r="O3535" s="3" t="inlineStr">
        <is>
          <t>미스터홈즈강남지사</t>
        </is>
      </c>
      <c r="P3535" s="3" t="n">
        <v>1</v>
      </c>
      <c r="Q3535" s="3" t="n">
        <v>628</v>
      </c>
      <c r="R3535" s="3" t="inlineStr">
        <is>
          <t>지정되지않음</t>
        </is>
      </c>
      <c r="S3535" s="3" t="inlineStr">
        <is>
          <t>단독</t>
        </is>
      </c>
      <c r="T3535" s="3" t="inlineStr">
        <is>
          <t>완경사</t>
        </is>
      </c>
      <c r="U3535" s="3" t="inlineStr">
        <is>
          <t>사다리형</t>
        </is>
      </c>
      <c r="V3535" s="3" t="inlineStr">
        <is>
          <t>세로한면(가)</t>
        </is>
      </c>
    </row>
    <row r="3536">
      <c r="A3536" s="3" t="inlineStr">
        <is>
          <t>세종특별자치시 연서면 고복리 395</t>
        </is>
      </c>
      <c r="B3536" s="3" t="inlineStr">
        <is>
          <t>보전관리지역</t>
        </is>
      </c>
      <c r="C3536" s="3" t="inlineStr">
        <is>
          <t>전</t>
        </is>
      </c>
      <c r="D3536" s="3" t="inlineStr">
        <is>
          <t>전</t>
        </is>
      </c>
      <c r="E3536" s="3" t="inlineStr">
        <is>
          <t>매매</t>
        </is>
      </c>
      <c r="F3536" s="4" t="n">
        <v>60000</v>
      </c>
      <c r="G3536" s="4" t="n">
        <v>3587</v>
      </c>
      <c r="H3536" s="4" t="n">
        <v>1085</v>
      </c>
      <c r="I3536" s="5" t="n">
        <v>55.3</v>
      </c>
      <c r="J3536" s="4" t="n">
        <v>21.6</v>
      </c>
      <c r="K3536" s="3" t="inlineStr">
        <is>
          <t>고복저수지 인근 투자용도로 추천  가격 조율 가능</t>
        </is>
      </c>
      <c r="L3536" s="6">
        <f>HYPERLINK("https://fin.land.naver.com/articles/2649200788", "매물Link")</f>
        <v/>
      </c>
      <c r="M3536" s="6">
        <f>HYPERLINK("https://map.naver.com/p/search/세종특별자치시 연서면 고복리 395", "지도Link")</f>
        <v/>
      </c>
      <c r="N3536" s="6">
        <f>HYPERLINK("http://www.eum.go.kr/web/ar/lu/luLandDet.jsp?pnu=3611036024103950000&amp;isNoScr=script&amp;mode=search", "토지이음")</f>
        <v/>
      </c>
      <c r="O3536" s="3" t="inlineStr">
        <is>
          <t>뉴엘리트탑</t>
        </is>
      </c>
      <c r="P3536" s="3" t="n">
        <v>1</v>
      </c>
      <c r="Q3536" s="3" t="n">
        <v>3587</v>
      </c>
      <c r="R3536" s="3" t="inlineStr">
        <is>
          <t>지정되지않음</t>
        </is>
      </c>
      <c r="S3536" s="3" t="inlineStr">
        <is>
          <t>전</t>
        </is>
      </c>
      <c r="T3536" s="3" t="inlineStr">
        <is>
          <t>완경사</t>
        </is>
      </c>
      <c r="U3536" s="3" t="inlineStr">
        <is>
          <t>부정형</t>
        </is>
      </c>
      <c r="V3536" s="3" t="inlineStr">
        <is>
          <t>맹지</t>
        </is>
      </c>
    </row>
    <row r="3537">
      <c r="A3537" s="3" t="inlineStr">
        <is>
          <t>세종특별자치시 연서면 고복리 415-34</t>
        </is>
      </c>
      <c r="B3537" s="3" t="inlineStr">
        <is>
          <t>보전관리지역</t>
        </is>
      </c>
      <c r="C3537" s="3" t="inlineStr">
        <is>
          <t>대</t>
        </is>
      </c>
      <c r="D3537" s="3" t="inlineStr">
        <is>
          <t>대</t>
        </is>
      </c>
      <c r="E3537" s="3" t="inlineStr">
        <is>
          <t>매매</t>
        </is>
      </c>
      <c r="F3537" s="4" t="n">
        <v>54000</v>
      </c>
      <c r="G3537" s="4" t="n">
        <v>725</v>
      </c>
      <c r="H3537" s="4" t="n">
        <v>219</v>
      </c>
      <c r="I3537" s="5" t="n">
        <v>246.6</v>
      </c>
      <c r="J3537" s="4" t="n">
        <v>122.9</v>
      </c>
      <c r="K3537" s="3" t="inlineStr">
        <is>
          <t>고복저수지 뷰 좋아요</t>
        </is>
      </c>
      <c r="L3537" s="6">
        <f>HYPERLINK("https://fin.land.naver.com/articles/2646008035", "매물Link")</f>
        <v/>
      </c>
      <c r="M3537" s="6">
        <f>HYPERLINK("https://map.naver.com/p/search/세종특별자치시 연서면 고복리 415-34", "지도Link")</f>
        <v/>
      </c>
      <c r="N3537" s="6">
        <f>HYPERLINK("http://www.eum.go.kr/web/ar/lu/luLandDet.jsp?pnu=3611036024104150034&amp;isNoScr=script&amp;mode=search", "토지이음")</f>
        <v/>
      </c>
      <c r="O3537" s="3" t="inlineStr">
        <is>
          <t>세종대박</t>
        </is>
      </c>
      <c r="P3537" s="3" t="n">
        <v>1</v>
      </c>
      <c r="Q3537" s="3" t="n">
        <v>725</v>
      </c>
      <c r="R3537" s="3" t="inlineStr">
        <is>
          <t>지정되지않음</t>
        </is>
      </c>
      <c r="S3537" s="3" t="inlineStr">
        <is>
          <t>단독</t>
        </is>
      </c>
      <c r="T3537" s="3" t="inlineStr">
        <is>
          <t>완경사</t>
        </is>
      </c>
      <c r="U3537" s="3" t="inlineStr">
        <is>
          <t>사다리형</t>
        </is>
      </c>
      <c r="V3537" s="3" t="inlineStr">
        <is>
          <t>세로한면(가)</t>
        </is>
      </c>
    </row>
    <row r="3538">
      <c r="A3538" s="3" t="inlineStr">
        <is>
          <t>세종특별자치시 연서면 고복리 415-54</t>
        </is>
      </c>
      <c r="B3538" s="3" t="inlineStr">
        <is>
          <t>보전관리지역</t>
        </is>
      </c>
      <c r="C3538" s="3" t="inlineStr">
        <is>
          <t>대</t>
        </is>
      </c>
      <c r="D3538" s="3" t="inlineStr">
        <is>
          <t>대</t>
        </is>
      </c>
      <c r="E3538" s="3" t="inlineStr">
        <is>
          <t>매매</t>
        </is>
      </c>
      <c r="F3538" s="4" t="n">
        <v>404000</v>
      </c>
      <c r="G3538" s="4" t="n">
        <v>3904</v>
      </c>
      <c r="H3538" s="4" t="n">
        <v>1181</v>
      </c>
      <c r="I3538" s="5" t="n">
        <v>342.1</v>
      </c>
      <c r="J3538" s="4" t="n">
        <v>116.1</v>
      </c>
      <c r="K3538" s="3" t="inlineStr">
        <is>
          <t>고복저수지 바로 인접한 토지매매 넓은 면적에 탁트인 전망 매매가격 조절가</t>
        </is>
      </c>
      <c r="L3538" s="6">
        <f>HYPERLINK("https://fin.land.naver.com/articles/2647450406", "매물Link")</f>
        <v/>
      </c>
      <c r="M3538" s="6">
        <f>HYPERLINK("https://map.naver.com/p/search/세종특별자치시 연서면 고복리 415-54", "지도Link")</f>
        <v/>
      </c>
      <c r="N3538" s="6">
        <f>HYPERLINK("http://www.eum.go.kr/web/ar/lu/luLandDet.jsp?pnu=3611036024104150054&amp;isNoScr=script&amp;mode=search", "토지이음")</f>
        <v/>
      </c>
      <c r="O3538" s="3" t="inlineStr">
        <is>
          <t>효성해링턴오복</t>
        </is>
      </c>
      <c r="P3538" s="3" t="n">
        <v>1</v>
      </c>
      <c r="Q3538" s="3" t="n">
        <v>599</v>
      </c>
      <c r="R3538" s="3" t="inlineStr">
        <is>
          <t>지정되지않음</t>
        </is>
      </c>
      <c r="S3538" s="3" t="inlineStr">
        <is>
          <t>주거기타</t>
        </is>
      </c>
      <c r="T3538" s="3" t="inlineStr">
        <is>
          <t>완경사</t>
        </is>
      </c>
      <c r="U3538" s="3" t="inlineStr">
        <is>
          <t>자루형</t>
        </is>
      </c>
      <c r="V3538" s="3" t="inlineStr">
        <is>
          <t>세로한면(가)</t>
        </is>
      </c>
    </row>
    <row r="3539">
      <c r="A3539" s="3" t="inlineStr">
        <is>
          <t>세종특별자치시 연서면 고복리 42-7</t>
        </is>
      </c>
      <c r="B3539" s="3" t="inlineStr">
        <is>
          <t>농림지역</t>
        </is>
      </c>
      <c r="C3539" s="3" t="inlineStr">
        <is>
          <t>답</t>
        </is>
      </c>
      <c r="D3539" s="3" t="inlineStr">
        <is>
          <t>답</t>
        </is>
      </c>
      <c r="E3539" s="3" t="inlineStr">
        <is>
          <t>매매</t>
        </is>
      </c>
      <c r="F3539" s="4" t="n">
        <v>53340</v>
      </c>
      <c r="G3539" s="4" t="n">
        <v>2940</v>
      </c>
      <c r="H3539" s="4" t="n">
        <v>889</v>
      </c>
      <c r="I3539" s="5" t="n">
        <v>60</v>
      </c>
      <c r="J3539" s="4" t="n">
        <v>21.1</v>
      </c>
      <c r="K3539" s="3" t="inlineStr">
        <is>
          <t>nan</t>
        </is>
      </c>
      <c r="L3539" s="6">
        <f>HYPERLINK("https://fin.land.naver.com/articles/2648826287", "매물Link")</f>
        <v/>
      </c>
      <c r="M3539" s="6">
        <f>HYPERLINK("https://map.naver.com/p/search/세종특별자치시 연서면 고복리 42-7", "지도Link")</f>
        <v/>
      </c>
      <c r="N3539" s="6">
        <f>HYPERLINK("http://www.eum.go.kr/web/ar/lu/luLandDet.jsp?pnu=3611036024100420007&amp;isNoScr=script&amp;mode=search", "토지이음")</f>
        <v/>
      </c>
      <c r="O3539" s="3" t="inlineStr">
        <is>
          <t>푸른들</t>
        </is>
      </c>
      <c r="P3539" s="3" t="n">
        <v>1</v>
      </c>
      <c r="Q3539" s="3" t="n">
        <v>2940</v>
      </c>
      <c r="R3539" s="3" t="inlineStr">
        <is>
          <t>지정되지않음</t>
        </is>
      </c>
      <c r="S3539" s="3" t="inlineStr">
        <is>
          <t>답</t>
        </is>
      </c>
      <c r="T3539" s="3" t="inlineStr">
        <is>
          <t>평지</t>
        </is>
      </c>
      <c r="U3539" s="3" t="inlineStr">
        <is>
          <t>세로장방</t>
        </is>
      </c>
      <c r="V3539" s="3" t="inlineStr">
        <is>
          <t>세로한면(가)</t>
        </is>
      </c>
    </row>
    <row r="3540">
      <c r="A3540" s="3" t="inlineStr">
        <is>
          <t>세종특별자치시 연서면 고복리 45-4</t>
        </is>
      </c>
      <c r="B3540" s="3" t="inlineStr">
        <is>
          <t>농림지역</t>
        </is>
      </c>
      <c r="C3540" s="3" t="inlineStr">
        <is>
          <t>답</t>
        </is>
      </c>
      <c r="D3540" s="3" t="inlineStr">
        <is>
          <t>답</t>
        </is>
      </c>
      <c r="E3540" s="3" t="inlineStr">
        <is>
          <t>매매</t>
        </is>
      </c>
      <c r="F3540" s="4" t="n">
        <v>70800</v>
      </c>
      <c r="G3540" s="4" t="n">
        <v>3900</v>
      </c>
      <c r="H3540" s="4" t="n">
        <v>1180</v>
      </c>
      <c r="I3540" s="5" t="n">
        <v>60</v>
      </c>
      <c r="J3540" s="4" t="n">
        <v>21.1</v>
      </c>
      <c r="K3540" s="3" t="inlineStr">
        <is>
          <t>절충가능한 연서면 고복리 농림지역 대토용 토지를 급매합니다</t>
        </is>
      </c>
      <c r="L3540" s="6">
        <f>HYPERLINK("https://fin.land.naver.com/articles/2645199661", "매물Link")</f>
        <v/>
      </c>
      <c r="M3540" s="6">
        <f>HYPERLINK("https://map.naver.com/p/search/세종특별자치시 연서면 고복리 45-4", "지도Link")</f>
        <v/>
      </c>
      <c r="N3540" s="6">
        <f>HYPERLINK("http://www.eum.go.kr/web/ar/lu/luLandDet.jsp?pnu=3611036024100450004&amp;isNoScr=script&amp;mode=search", "토지이음")</f>
        <v/>
      </c>
      <c r="O3540" s="3" t="inlineStr">
        <is>
          <t>스마일세종</t>
        </is>
      </c>
      <c r="P3540" s="3" t="n">
        <v>1</v>
      </c>
      <c r="Q3540" s="3" t="n">
        <v>2900</v>
      </c>
      <c r="R3540" s="3" t="inlineStr">
        <is>
          <t>지정되지않음</t>
        </is>
      </c>
      <c r="S3540" s="3" t="inlineStr">
        <is>
          <t>답</t>
        </is>
      </c>
      <c r="T3540" s="3" t="inlineStr">
        <is>
          <t>평지</t>
        </is>
      </c>
      <c r="U3540" s="3" t="inlineStr">
        <is>
          <t>세로장방</t>
        </is>
      </c>
      <c r="V3540" s="3" t="inlineStr">
        <is>
          <t>세로한면(가)</t>
        </is>
      </c>
    </row>
    <row r="3541">
      <c r="A3541" s="3" t="inlineStr">
        <is>
          <t>세종특별자치시 연서면 고복리 46-5</t>
        </is>
      </c>
      <c r="B3541" s="3" t="inlineStr">
        <is>
          <t>농림지역</t>
        </is>
      </c>
      <c r="C3541" s="3" t="inlineStr">
        <is>
          <t>답</t>
        </is>
      </c>
      <c r="D3541" s="3" t="inlineStr">
        <is>
          <t>답</t>
        </is>
      </c>
      <c r="E3541" s="3" t="inlineStr">
        <is>
          <t>매매</t>
        </is>
      </c>
      <c r="F3541" s="4" t="n">
        <v>79000</v>
      </c>
      <c r="G3541" s="4" t="n">
        <v>2980</v>
      </c>
      <c r="H3541" s="4" t="n">
        <v>901</v>
      </c>
      <c r="I3541" s="5" t="n">
        <v>87.7</v>
      </c>
      <c r="J3541" s="4" t="n">
        <v>21.1</v>
      </c>
      <c r="K3541" s="3" t="inlineStr">
        <is>
          <t>nan</t>
        </is>
      </c>
      <c r="L3541" s="6">
        <f>HYPERLINK("https://fin.land.naver.com/articles/2646331785", "매물Link")</f>
        <v/>
      </c>
      <c r="M3541" s="6">
        <f>HYPERLINK("https://map.naver.com/p/search/세종특별자치시 연서면 고복리 46-5", "지도Link")</f>
        <v/>
      </c>
      <c r="N3541" s="6">
        <f>HYPERLINK("http://www.eum.go.kr/web/ar/lu/luLandDet.jsp?pnu=3611036024100460005&amp;isNoScr=script&amp;mode=search", "토지이음")</f>
        <v/>
      </c>
      <c r="O3541" s="3" t="inlineStr">
        <is>
          <t>행운IPARK</t>
        </is>
      </c>
      <c r="P3541" s="3" t="n">
        <v>1</v>
      </c>
      <c r="Q3541" s="3" t="n">
        <v>2980</v>
      </c>
      <c r="R3541" s="3" t="inlineStr">
        <is>
          <t>지정되지않음</t>
        </is>
      </c>
      <c r="S3541" s="3" t="inlineStr">
        <is>
          <t>답</t>
        </is>
      </c>
      <c r="T3541" s="3" t="inlineStr">
        <is>
          <t>평지</t>
        </is>
      </c>
      <c r="U3541" s="3" t="inlineStr">
        <is>
          <t>세로장방</t>
        </is>
      </c>
      <c r="V3541" s="3" t="inlineStr">
        <is>
          <t>세로한면(가)</t>
        </is>
      </c>
    </row>
    <row r="3542">
      <c r="A3542" s="3" t="inlineStr">
        <is>
          <t>세종특별자치시 연서면 고복리 469-2</t>
        </is>
      </c>
      <c r="B3542" s="3" t="inlineStr">
        <is>
          <t>자연환경보전지역</t>
        </is>
      </c>
      <c r="C3542" s="3" t="inlineStr">
        <is>
          <t>대</t>
        </is>
      </c>
      <c r="D3542" s="3" t="inlineStr">
        <is>
          <t>대</t>
        </is>
      </c>
      <c r="E3542" s="3" t="inlineStr">
        <is>
          <t>매매</t>
        </is>
      </c>
      <c r="F3542" s="4" t="n">
        <v>120000</v>
      </c>
      <c r="G3542" s="4" t="n">
        <v>718</v>
      </c>
      <c r="H3542" s="4" t="n">
        <v>217</v>
      </c>
      <c r="I3542" s="5" t="n">
        <v>553</v>
      </c>
      <c r="J3542" s="4" t="n">
        <v>67.8</v>
      </c>
      <c r="K3542" s="3" t="inlineStr">
        <is>
          <t>고복저수지 책 박물관 옆</t>
        </is>
      </c>
      <c r="L3542" s="6">
        <f>HYPERLINK("https://fin.land.naver.com/articles/2646829683", "매물Link")</f>
        <v/>
      </c>
      <c r="M3542" s="6">
        <f>HYPERLINK("https://map.naver.com/p/search/세종특별자치시 연서면 고복리 469-2", "지도Link")</f>
        <v/>
      </c>
      <c r="N3542" s="6">
        <f>HYPERLINK("http://www.eum.go.kr/web/ar/lu/luLandDet.jsp?pnu=3611036024104690002&amp;isNoScr=script&amp;mode=search", "토지이음")</f>
        <v/>
      </c>
      <c r="O3542" s="3" t="inlineStr">
        <is>
          <t>새땅</t>
        </is>
      </c>
      <c r="P3542" s="3" t="n">
        <v>1</v>
      </c>
      <c r="Q3542" s="3" t="n">
        <v>390</v>
      </c>
      <c r="R3542" s="3" t="inlineStr">
        <is>
          <t>지정되지않음</t>
        </is>
      </c>
      <c r="S3542" s="3" t="inlineStr">
        <is>
          <t>전</t>
        </is>
      </c>
      <c r="T3542" s="3" t="inlineStr">
        <is>
          <t>평지</t>
        </is>
      </c>
      <c r="U3542" s="3" t="inlineStr">
        <is>
          <t>가로장방</t>
        </is>
      </c>
      <c r="V3542" s="3" t="inlineStr">
        <is>
          <t>세로한면(불)</t>
        </is>
      </c>
    </row>
    <row r="3543">
      <c r="A3543" s="3" t="inlineStr">
        <is>
          <t>세종특별자치시 연서면 고복리 548-16</t>
        </is>
      </c>
      <c r="B3543" s="3" t="inlineStr">
        <is>
          <t>보전관리지역</t>
        </is>
      </c>
      <c r="C3543" s="3" t="inlineStr">
        <is>
          <t>임야</t>
        </is>
      </c>
      <c r="D3543" s="3" t="inlineStr">
        <is>
          <t>임야</t>
        </is>
      </c>
      <c r="E3543" s="3" t="inlineStr">
        <is>
          <t>매매</t>
        </is>
      </c>
      <c r="F3543" s="4" t="n">
        <v>37000</v>
      </c>
      <c r="G3543" s="4" t="n">
        <v>425</v>
      </c>
      <c r="H3543" s="4" t="n">
        <v>129</v>
      </c>
      <c r="I3543" s="5" t="n">
        <v>286.8</v>
      </c>
      <c r="J3543" s="4" t="n">
        <v>46.8</v>
      </c>
      <c r="K3543" s="3" t="inlineStr">
        <is>
          <t>nan</t>
        </is>
      </c>
      <c r="L3543" s="6">
        <f>HYPERLINK("https://fin.land.naver.com/articles/2644905986", "매물Link")</f>
        <v/>
      </c>
      <c r="M3543" s="6">
        <f>HYPERLINK("https://map.naver.com/p/search/세종특별자치시 연서면 고복리 548-16", "지도Link")</f>
        <v/>
      </c>
      <c r="N3543" s="6">
        <f>HYPERLINK("http://www.eum.go.kr/web/ar/lu/luLandDet.jsp?pnu=3611036024105480016&amp;isNoScr=script&amp;mode=search", "토지이음")</f>
        <v/>
      </c>
      <c r="O3543" s="3" t="inlineStr">
        <is>
          <t>KB</t>
        </is>
      </c>
      <c r="P3543" s="3" t="n">
        <v>1</v>
      </c>
      <c r="Q3543" s="3" t="n">
        <v>756</v>
      </c>
      <c r="R3543" s="3" t="inlineStr">
        <is>
          <t>지정되지않음</t>
        </is>
      </c>
      <c r="S3543" s="3" t="inlineStr">
        <is>
          <t>주거나지</t>
        </is>
      </c>
      <c r="T3543" s="3" t="inlineStr">
        <is>
          <t>완경사</t>
        </is>
      </c>
      <c r="U3543" s="3" t="inlineStr">
        <is>
          <t>사다리형</t>
        </is>
      </c>
      <c r="V3543" s="3" t="inlineStr">
        <is>
          <t>세로한면(가)</t>
        </is>
      </c>
    </row>
    <row r="3544">
      <c r="A3544" s="3" t="inlineStr">
        <is>
          <t>세종특별자치시 연서면 고복리 548-3</t>
        </is>
      </c>
      <c r="B3544" s="3" t="inlineStr">
        <is>
          <t>보전관리지역</t>
        </is>
      </c>
      <c r="C3544" s="3" t="inlineStr">
        <is>
          <t>임야</t>
        </is>
      </c>
      <c r="D3544" s="3" t="inlineStr">
        <is>
          <t>임야</t>
        </is>
      </c>
      <c r="E3544" s="3" t="inlineStr">
        <is>
          <t>매매</t>
        </is>
      </c>
      <c r="F3544" s="4" t="n">
        <v>90000</v>
      </c>
      <c r="G3544" s="4" t="n">
        <v>1922</v>
      </c>
      <c r="H3544" s="4" t="n">
        <v>581</v>
      </c>
      <c r="I3544" s="5" t="n">
        <v>154.9</v>
      </c>
      <c r="J3544" s="4" t="n">
        <v>42.1</v>
      </c>
      <c r="K3544" s="3" t="inlineStr">
        <is>
          <t>도로지분있음,주변개발가능성많은곳임야.맹지아님.조절가능.연서면고복저수지조망</t>
        </is>
      </c>
      <c r="L3544" s="6">
        <f>HYPERLINK("https://fin.land.naver.com/articles/2646411392", "매물Link")</f>
        <v/>
      </c>
      <c r="M3544" s="6">
        <f>HYPERLINK("https://map.naver.com/p/search/세종특별자치시 연서면 고복리 548-3", "지도Link")</f>
        <v/>
      </c>
      <c r="N3544" s="6">
        <f>HYPERLINK("http://www.eum.go.kr/web/ar/lu/luLandDet.jsp?pnu=3611036024105480003&amp;isNoScr=script&amp;mode=search", "토지이음")</f>
        <v/>
      </c>
      <c r="O3544" s="3" t="inlineStr">
        <is>
          <t>테크노금성</t>
        </is>
      </c>
      <c r="P3544" s="3" t="n">
        <v>1</v>
      </c>
      <c r="Q3544" s="3" t="n">
        <v>1714</v>
      </c>
      <c r="R3544" s="3" t="inlineStr">
        <is>
          <t>지정되지않음</t>
        </is>
      </c>
      <c r="S3544" s="3" t="inlineStr">
        <is>
          <t>주거나지</t>
        </is>
      </c>
      <c r="T3544" s="3" t="inlineStr">
        <is>
          <t>완경사</t>
        </is>
      </c>
      <c r="U3544" s="3" t="inlineStr">
        <is>
          <t>가로장방</t>
        </is>
      </c>
      <c r="V3544" s="3" t="inlineStr">
        <is>
          <t>세로한면(불)</t>
        </is>
      </c>
    </row>
    <row r="3545">
      <c r="A3545" s="3" t="inlineStr">
        <is>
          <t>세종특별자치시 연서면 고복리 556-12</t>
        </is>
      </c>
      <c r="B3545" s="3" t="inlineStr">
        <is>
          <t>보전관리지역</t>
        </is>
      </c>
      <c r="C3545" s="3" t="inlineStr">
        <is>
          <t>답</t>
        </is>
      </c>
      <c r="D3545" s="3" t="inlineStr">
        <is>
          <t>답</t>
        </is>
      </c>
      <c r="E3545" s="3" t="inlineStr">
        <is>
          <t>매매</t>
        </is>
      </c>
      <c r="F3545" s="4" t="n">
        <v>69000</v>
      </c>
      <c r="G3545" s="4" t="n">
        <v>1140</v>
      </c>
      <c r="H3545" s="4" t="n">
        <v>345</v>
      </c>
      <c r="I3545" s="5" t="n">
        <v>200</v>
      </c>
      <c r="J3545" s="4" t="n">
        <v>52.8</v>
      </c>
      <c r="K3545" s="3" t="inlineStr">
        <is>
          <t>고복저수지 최고 조망권을 가진 주택지</t>
        </is>
      </c>
      <c r="L3545" s="6">
        <f>HYPERLINK("https://fin.land.naver.com/articles/2644525398", "매물Link")</f>
        <v/>
      </c>
      <c r="M3545" s="6">
        <f>HYPERLINK("https://map.naver.com/p/search/세종특별자치시 연서면 고복리 556-12", "지도Link")</f>
        <v/>
      </c>
      <c r="N3545" s="6">
        <f>HYPERLINK("http://www.eum.go.kr/web/ar/lu/luLandDet.jsp?pnu=3611036024105560012&amp;isNoScr=script&amp;mode=search", "토지이음")</f>
        <v/>
      </c>
      <c r="O3545" s="3" t="inlineStr">
        <is>
          <t>용궁</t>
        </is>
      </c>
      <c r="P3545" s="3" t="n">
        <v>1</v>
      </c>
      <c r="Q3545" s="3" t="n">
        <v>1139</v>
      </c>
      <c r="R3545" s="3" t="inlineStr">
        <is>
          <t>지정되지않음</t>
        </is>
      </c>
      <c r="S3545" s="3" t="inlineStr">
        <is>
          <t>전</t>
        </is>
      </c>
      <c r="T3545" s="3" t="inlineStr">
        <is>
          <t>완경사</t>
        </is>
      </c>
      <c r="U3545" s="3" t="inlineStr">
        <is>
          <t>부정형</t>
        </is>
      </c>
      <c r="V3545" s="3" t="inlineStr">
        <is>
          <t>세로한면(가)</t>
        </is>
      </c>
    </row>
    <row r="3546">
      <c r="A3546" s="3" t="inlineStr">
        <is>
          <t>세종특별자치시 연서면 고복리 556-28</t>
        </is>
      </c>
      <c r="B3546" s="3" t="inlineStr">
        <is>
          <t>보전관리지역</t>
        </is>
      </c>
      <c r="C3546" s="3" t="inlineStr">
        <is>
          <t>대</t>
        </is>
      </c>
      <c r="D3546" s="3" t="inlineStr">
        <is>
          <t>대</t>
        </is>
      </c>
      <c r="E3546" s="3" t="inlineStr">
        <is>
          <t>매매</t>
        </is>
      </c>
      <c r="F3546" s="4" t="n">
        <v>184000</v>
      </c>
      <c r="G3546" s="4" t="n">
        <v>1520</v>
      </c>
      <c r="H3546" s="4" t="n">
        <v>460</v>
      </c>
      <c r="I3546" s="5" t="n">
        <v>400</v>
      </c>
      <c r="J3546" s="4" t="n">
        <v>119.4</v>
      </c>
      <c r="K3546" s="3" t="inlineStr">
        <is>
          <t>2필지 대지와근생건물 일괄매매.고복저수지인접.</t>
        </is>
      </c>
      <c r="L3546" s="6">
        <f>HYPERLINK("https://fin.land.naver.com/articles/2646788234", "매물Link")</f>
        <v/>
      </c>
      <c r="M3546" s="6">
        <f>HYPERLINK("https://map.naver.com/p/search/세종특별자치시 연서면 고복리 556-28", "지도Link")</f>
        <v/>
      </c>
      <c r="N3546" s="6">
        <f>HYPERLINK("http://www.eum.go.kr/web/ar/lu/luLandDet.jsp?pnu=3611036024105560028&amp;isNoScr=script&amp;mode=search", "토지이음")</f>
        <v/>
      </c>
      <c r="O3546" s="3" t="inlineStr">
        <is>
          <t>담뜰</t>
        </is>
      </c>
      <c r="P3546" s="3" t="n">
        <v>1</v>
      </c>
      <c r="Q3546" s="3" t="n">
        <v>793</v>
      </c>
      <c r="R3546" s="3" t="inlineStr">
        <is>
          <t>지정되지않음</t>
        </is>
      </c>
      <c r="S3546" s="3" t="inlineStr">
        <is>
          <t>주거기타</t>
        </is>
      </c>
      <c r="T3546" s="3" t="inlineStr">
        <is>
          <t>완경사</t>
        </is>
      </c>
      <c r="U3546" s="3" t="inlineStr">
        <is>
          <t>사다리형</t>
        </is>
      </c>
      <c r="V3546" s="3" t="inlineStr">
        <is>
          <t>세로한면(가)</t>
        </is>
      </c>
    </row>
    <row r="3547">
      <c r="A3547" s="3" t="inlineStr">
        <is>
          <t>세종특별자치시 연서면 고복리 557-4</t>
        </is>
      </c>
      <c r="B3547" s="3" t="inlineStr">
        <is>
          <t>보전관리지역</t>
        </is>
      </c>
      <c r="C3547" s="3" t="inlineStr">
        <is>
          <t>답</t>
        </is>
      </c>
      <c r="D3547" s="3" t="inlineStr">
        <is>
          <t>답</t>
        </is>
      </c>
      <c r="E3547" s="3" t="inlineStr">
        <is>
          <t>매매</t>
        </is>
      </c>
      <c r="F3547" s="4" t="n">
        <v>100000</v>
      </c>
      <c r="G3547" s="4" t="n">
        <v>2085</v>
      </c>
      <c r="H3547" s="4" t="n">
        <v>631</v>
      </c>
      <c r="I3547" s="5" t="n">
        <v>158.5</v>
      </c>
      <c r="J3547" s="4" t="n">
        <v>50.7</v>
      </c>
      <c r="K3547" s="3" t="inlineStr">
        <is>
          <t>저수지 뷰가 최상이며 필요한 평수 만큼 분할 매매도 가능합니다.</t>
        </is>
      </c>
      <c r="L3547" s="6">
        <f>HYPERLINK("https://fin.land.naver.com/articles/2649234828", "매물Link")</f>
        <v/>
      </c>
      <c r="M3547" s="6">
        <f>HYPERLINK("https://map.naver.com/p/search/세종특별자치시 연서면 고복리 557-4", "지도Link")</f>
        <v/>
      </c>
      <c r="N3547" s="6">
        <f>HYPERLINK("http://www.eum.go.kr/web/ar/lu/luLandDet.jsp?pnu=3611036024105570004&amp;isNoScr=script&amp;mode=search", "토지이음")</f>
        <v/>
      </c>
      <c r="O3547" s="3" t="inlineStr">
        <is>
          <t>신흥주공</t>
        </is>
      </c>
      <c r="P3547" s="3" t="n">
        <v>1</v>
      </c>
      <c r="Q3547" s="3" t="n">
        <v>775</v>
      </c>
      <c r="R3547" s="3" t="inlineStr">
        <is>
          <t>지정되지않음</t>
        </is>
      </c>
      <c r="S3547" s="3" t="inlineStr">
        <is>
          <t>답</t>
        </is>
      </c>
      <c r="T3547" s="3" t="inlineStr">
        <is>
          <t>완경사</t>
        </is>
      </c>
      <c r="U3547" s="3" t="inlineStr">
        <is>
          <t>부정형</t>
        </is>
      </c>
      <c r="V3547" s="3" t="inlineStr">
        <is>
          <t>세로한면(가)</t>
        </is>
      </c>
    </row>
    <row r="3548">
      <c r="A3548" s="3" t="inlineStr">
        <is>
          <t>세종특별자치시 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HYPERLINK("https://map.naver.com/p/search/세종특별자치시 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세종특별자치시 연서면 고복리 56-10</t>
        </is>
      </c>
      <c r="B3549" s="3" t="inlineStr">
        <is>
          <t>농림지역</t>
        </is>
      </c>
      <c r="C3549" s="3" t="inlineStr">
        <is>
          <t>답</t>
        </is>
      </c>
      <c r="D3549" s="3" t="inlineStr">
        <is>
          <t>답</t>
        </is>
      </c>
      <c r="E3549" s="3" t="inlineStr">
        <is>
          <t>매매</t>
        </is>
      </c>
      <c r="F3549" s="4" t="n">
        <v>24000</v>
      </c>
      <c r="G3549" s="4" t="n">
        <v>2010</v>
      </c>
      <c r="H3549" s="4" t="n">
        <v>608</v>
      </c>
      <c r="I3549" s="5" t="n">
        <v>39.5</v>
      </c>
      <c r="J3549" s="4" t="n">
        <v>22</v>
      </c>
      <c r="K3549" s="3" t="inlineStr">
        <is>
          <t>대토용 및 주말농장</t>
        </is>
      </c>
      <c r="L3549" s="6">
        <f>HYPERLINK("https://fin.land.naver.com/articles/2645775432", "매물Link")</f>
        <v/>
      </c>
      <c r="M3549" s="6">
        <f>HYPERLINK("https://map.naver.com/p/search/세종특별자치시 연서면 고복리 56-10", "지도Link")</f>
        <v/>
      </c>
      <c r="N3549" s="6">
        <f>HYPERLINK("http://www.eum.go.kr/web/ar/lu/luLandDet.jsp?pnu=3611036024100560010&amp;isNoScr=script&amp;mode=search", "토지이음")</f>
        <v/>
      </c>
      <c r="O3549" s="3" t="inlineStr">
        <is>
          <t>지호주식회사</t>
        </is>
      </c>
      <c r="P3549" s="3" t="n">
        <v>1</v>
      </c>
      <c r="Q3549" s="3" t="n">
        <v>2010</v>
      </c>
      <c r="R3549" s="3" t="inlineStr">
        <is>
          <t>지정되지않음</t>
        </is>
      </c>
      <c r="S3549" s="3" t="inlineStr">
        <is>
          <t>답</t>
        </is>
      </c>
      <c r="T3549" s="3" t="inlineStr">
        <is>
          <t>평지</t>
        </is>
      </c>
      <c r="U3549" s="3" t="inlineStr">
        <is>
          <t>세로장방</t>
        </is>
      </c>
      <c r="V3549" s="3" t="inlineStr">
        <is>
          <t>세로한면(가)</t>
        </is>
      </c>
    </row>
    <row r="3550">
      <c r="A3550" s="3" t="inlineStr">
        <is>
          <t>세종특별자치시 연서면 고복리 589</t>
        </is>
      </c>
      <c r="B3550" s="3" t="inlineStr">
        <is>
          <t>농림지역</t>
        </is>
      </c>
      <c r="C3550" s="3" t="inlineStr">
        <is>
          <t>답</t>
        </is>
      </c>
      <c r="D3550" s="3" t="inlineStr">
        <is>
          <t>답</t>
        </is>
      </c>
      <c r="E3550" s="3" t="inlineStr">
        <is>
          <t>매매</t>
        </is>
      </c>
      <c r="F3550" s="4" t="n">
        <v>108000</v>
      </c>
      <c r="G3550" s="4" t="n">
        <v>3716</v>
      </c>
      <c r="H3550" s="4" t="n">
        <v>1124</v>
      </c>
      <c r="I3550" s="5" t="n">
        <v>96.09999999999999</v>
      </c>
      <c r="J3550" s="4" t="n">
        <v>42.8</v>
      </c>
      <c r="K3550" s="3" t="inlineStr">
        <is>
          <t>대토용, 자경용, 전원주택, 투자용으로 추천.</t>
        </is>
      </c>
      <c r="L3550" s="6">
        <f>HYPERLINK("https://fin.land.naver.com/articles/2650165339", "매물Link")</f>
        <v/>
      </c>
      <c r="M3550" s="6">
        <f>HYPERLINK("https://map.naver.com/p/search/세종특별자치시 연서면 고복리 589", "지도Link")</f>
        <v/>
      </c>
      <c r="N3550" s="6">
        <f>HYPERLINK("http://www.eum.go.kr/web/ar/lu/luLandDet.jsp?pnu=3611036024105890000&amp;isNoScr=script&amp;mode=search", "토지이음")</f>
        <v/>
      </c>
      <c r="O3550" s="3" t="inlineStr">
        <is>
          <t>세종대장</t>
        </is>
      </c>
      <c r="P3550" s="3" t="n">
        <v>1</v>
      </c>
      <c r="Q3550" s="3" t="n">
        <v>3716</v>
      </c>
      <c r="R3550" s="3" t="inlineStr">
        <is>
          <t>지정되지않음</t>
        </is>
      </c>
      <c r="S3550" s="3" t="inlineStr">
        <is>
          <t>답</t>
        </is>
      </c>
      <c r="T3550" s="3" t="inlineStr">
        <is>
          <t>평지</t>
        </is>
      </c>
      <c r="U3550" s="3" t="inlineStr">
        <is>
          <t>부정형</t>
        </is>
      </c>
      <c r="V3550" s="3" t="inlineStr">
        <is>
          <t>세로한면(불)</t>
        </is>
      </c>
    </row>
    <row r="3551">
      <c r="A3551" s="3" t="inlineStr">
        <is>
          <t>세종특별자치시 연서면 고복리 97-4</t>
        </is>
      </c>
      <c r="B3551" s="3" t="inlineStr">
        <is>
          <t>생산관리지역</t>
        </is>
      </c>
      <c r="C3551" s="3" t="inlineStr">
        <is>
          <t>답</t>
        </is>
      </c>
      <c r="D3551" s="3" t="inlineStr">
        <is>
          <t>답</t>
        </is>
      </c>
      <c r="E3551" s="3" t="inlineStr">
        <is>
          <t>매매</t>
        </is>
      </c>
      <c r="F3551" s="4" t="n">
        <v>118000</v>
      </c>
      <c r="G3551" s="4" t="n">
        <v>3905</v>
      </c>
      <c r="H3551" s="4" t="n">
        <v>1181</v>
      </c>
      <c r="I3551" s="5" t="n">
        <v>99.90000000000001</v>
      </c>
      <c r="J3551" s="4" t="n">
        <v>24.4</v>
      </c>
      <c r="K3551" s="3" t="inlineStr">
        <is>
          <t>고복저수지 인근의 전원주택지, 3필지</t>
        </is>
      </c>
      <c r="L3551" s="6">
        <f>HYPERLINK("https://fin.land.naver.com/articles/2647255708", "매물Link")</f>
        <v/>
      </c>
      <c r="M3551" s="6">
        <f>HYPERLINK("https://map.naver.com/p/search/세종특별자치시 연서면 고복리 97-4", "지도Link")</f>
        <v/>
      </c>
      <c r="N3551" s="6">
        <f>HYPERLINK("http://www.eum.go.kr/web/ar/lu/luLandDet.jsp?pnu=3611036024100970004&amp;isNoScr=script&amp;mode=search", "토지이음")</f>
        <v/>
      </c>
      <c r="O3551" s="3" t="inlineStr">
        <is>
          <t>세종공감</t>
        </is>
      </c>
      <c r="P3551" s="3" t="n">
        <v>1</v>
      </c>
      <c r="Q3551" s="3" t="n">
        <v>2787</v>
      </c>
      <c r="R3551" s="3" t="inlineStr">
        <is>
          <t>지정되지않음</t>
        </is>
      </c>
      <c r="S3551" s="3" t="inlineStr">
        <is>
          <t>답</t>
        </is>
      </c>
      <c r="T3551" s="3" t="inlineStr">
        <is>
          <t>완경사</t>
        </is>
      </c>
      <c r="U3551" s="3" t="inlineStr">
        <is>
          <t>부정형</t>
        </is>
      </c>
      <c r="V3551" s="3" t="inlineStr">
        <is>
          <t>맹지</t>
        </is>
      </c>
    </row>
    <row r="3552">
      <c r="A3552" s="3" t="inlineStr">
        <is>
          <t>세종특별자치시 연서면 고복리 산 3</t>
        </is>
      </c>
      <c r="B3552" s="3" t="inlineStr">
        <is>
          <t>보전관리지역</t>
        </is>
      </c>
      <c r="C3552" s="3" t="inlineStr">
        <is>
          <t>임야</t>
        </is>
      </c>
      <c r="D3552" s="3" t="inlineStr">
        <is>
          <t>임야</t>
        </is>
      </c>
      <c r="E3552" s="3" t="inlineStr">
        <is>
          <t>매매</t>
        </is>
      </c>
      <c r="F3552" s="4" t="n">
        <v>4300</v>
      </c>
      <c r="G3552" s="4" t="n">
        <v>661</v>
      </c>
      <c r="H3552" s="4" t="n">
        <v>200</v>
      </c>
      <c r="I3552" s="5" t="n">
        <v>21.5</v>
      </c>
      <c r="J3552" s="4" t="n">
        <v>5.1</v>
      </c>
      <c r="K3552" s="3" t="inlineStr">
        <is>
          <t>세종시 임야 지분 매매</t>
        </is>
      </c>
      <c r="L3552" s="6">
        <f>HYPERLINK("https://fin.land.naver.com/articles/2649010337", "매물Link")</f>
        <v/>
      </c>
      <c r="M3552" s="6">
        <f>HYPERLINK("https://map.naver.com/p/search/세종특별자치시 연서면 고복리 산 3", "지도Link")</f>
        <v/>
      </c>
      <c r="N3552" s="6">
        <f>HYPERLINK("http://www.eum.go.kr/web/ar/lu/luLandDet.jsp?pnu=3611036024200030000&amp;isNoScr=script&amp;mode=search", "토지이음")</f>
        <v/>
      </c>
      <c r="O3552" s="3" t="inlineStr">
        <is>
          <t>최고봉</t>
        </is>
      </c>
      <c r="P3552" s="3" t="n">
        <v>1</v>
      </c>
      <c r="Q3552" s="3" t="n">
        <v>27769</v>
      </c>
      <c r="R3552" s="3" t="inlineStr">
        <is>
          <t>농림지역</t>
        </is>
      </c>
      <c r="S3552" s="3" t="inlineStr">
        <is>
          <t>자연림</t>
        </is>
      </c>
      <c r="T3552" s="3" t="inlineStr">
        <is>
          <t>급경사</t>
        </is>
      </c>
      <c r="U3552" s="3" t="inlineStr">
        <is>
          <t>부정형</t>
        </is>
      </c>
      <c r="V3552" s="3" t="inlineStr">
        <is>
          <t>맹지</t>
        </is>
      </c>
    </row>
    <row r="3553">
      <c r="A3553" s="3" t="inlineStr">
        <is>
          <t>세종특별자치시 연서면 고복리 산102-1</t>
        </is>
      </c>
      <c r="B3553" s="3" t="inlineStr">
        <is>
          <t>농림지역</t>
        </is>
      </c>
      <c r="C3553" s="3" t="inlineStr">
        <is>
          <t>임야</t>
        </is>
      </c>
      <c r="D3553" s="3" t="inlineStr">
        <is>
          <t>임야</t>
        </is>
      </c>
      <c r="E3553" s="3" t="inlineStr">
        <is>
          <t>매매</t>
        </is>
      </c>
      <c r="F3553" s="4" t="n">
        <v>50000</v>
      </c>
      <c r="G3553" s="4" t="n">
        <v>61742</v>
      </c>
      <c r="H3553" s="4" t="n">
        <v>18677</v>
      </c>
      <c r="I3553" s="5" t="n">
        <v>2.7</v>
      </c>
      <c r="J3553" s="4" t="n">
        <v>3.4</v>
      </c>
      <c r="K3553" s="3" t="inlineStr">
        <is>
          <t>명성공인, 급매 연서면 임야 추천 매물</t>
        </is>
      </c>
      <c r="L3553" s="6">
        <f>HYPERLINK("https://fin.land.naver.com/articles/2644660100", "매물Link")</f>
        <v/>
      </c>
      <c r="M3553" s="6">
        <f>HYPERLINK("https://map.naver.com/p/search/세종특별자치시 연서면 고복리 산102-1", "지도Link")</f>
        <v/>
      </c>
      <c r="N3553" s="6">
        <f>HYPERLINK("http://www.eum.go.kr/web/ar/lu/luLandDet.jsp?pnu=3611036024201020001&amp;isNoScr=script&amp;mode=search", "토지이음")</f>
        <v/>
      </c>
      <c r="O3553" s="3" t="inlineStr">
        <is>
          <t>명성</t>
        </is>
      </c>
      <c r="P3553" s="3" t="n">
        <v>1</v>
      </c>
      <c r="Q3553" s="3" t="n">
        <v>61742</v>
      </c>
      <c r="R3553" s="3" t="inlineStr">
        <is>
          <t>보전관리지역</t>
        </is>
      </c>
      <c r="S3553" s="3" t="inlineStr">
        <is>
          <t>자연림</t>
        </is>
      </c>
      <c r="T3553" s="3" t="inlineStr">
        <is>
          <t>급경사</t>
        </is>
      </c>
      <c r="U3553" s="3" t="inlineStr">
        <is>
          <t>부정형</t>
        </is>
      </c>
      <c r="V3553" s="3" t="inlineStr">
        <is>
          <t>맹지</t>
        </is>
      </c>
    </row>
    <row r="3554">
      <c r="A3554" s="3" t="inlineStr">
        <is>
          <t>세종특별자치시 연서면 고복리 산34-6</t>
        </is>
      </c>
      <c r="B3554" s="3" t="inlineStr">
        <is>
          <t>보전관리지역</t>
        </is>
      </c>
      <c r="C3554" s="3" t="inlineStr">
        <is>
          <t>임야</t>
        </is>
      </c>
      <c r="D3554" s="3" t="inlineStr">
        <is>
          <t>임야</t>
        </is>
      </c>
      <c r="E3554" s="3" t="inlineStr">
        <is>
          <t>매매</t>
        </is>
      </c>
      <c r="F3554" s="4" t="n">
        <v>100000</v>
      </c>
      <c r="G3554" s="4" t="n">
        <v>3164</v>
      </c>
      <c r="H3554" s="4" t="n">
        <v>957</v>
      </c>
      <c r="I3554" s="5" t="n">
        <v>104.5</v>
      </c>
      <c r="J3554" s="4" t="n">
        <v>4.2</v>
      </c>
      <c r="K3554" s="3" t="inlineStr">
        <is>
          <t>고복저수지가 잘 보이고 포장도로에 접한 경사도 완만한 보전관리지역의 임야</t>
        </is>
      </c>
      <c r="L3554" s="6">
        <f>HYPERLINK("https://fin.land.naver.com/articles/2648172406", "매물Link")</f>
        <v/>
      </c>
      <c r="M3554" s="6">
        <f>HYPERLINK("https://map.naver.com/p/search/세종특별자치시 연서면 고복리 산34-6", "지도Link")</f>
        <v/>
      </c>
      <c r="N3554" s="6">
        <f>HYPERLINK("http://www.eum.go.kr/web/ar/lu/luLandDet.jsp?pnu=3611036024200340006&amp;isNoScr=script&amp;mode=search", "토지이음")</f>
        <v/>
      </c>
      <c r="O3554" s="3" t="inlineStr">
        <is>
          <t>스마일세종</t>
        </is>
      </c>
      <c r="P3554" s="3" t="n">
        <v>1</v>
      </c>
      <c r="Q3554" s="3" t="n">
        <v>17717</v>
      </c>
      <c r="R3554" s="3" t="inlineStr">
        <is>
          <t>자연환경보전지역</t>
        </is>
      </c>
      <c r="S3554" s="3" t="inlineStr">
        <is>
          <t>자연림</t>
        </is>
      </c>
      <c r="T3554" s="3" t="inlineStr">
        <is>
          <t>완경사</t>
        </is>
      </c>
      <c r="U3554" s="3" t="inlineStr">
        <is>
          <t>부정형</t>
        </is>
      </c>
      <c r="V3554" s="3" t="inlineStr">
        <is>
          <t>맹지</t>
        </is>
      </c>
    </row>
    <row r="3555">
      <c r="A3555" s="3" t="inlineStr">
        <is>
          <t>세종특별자치시 연서면 고복리 산96-6</t>
        </is>
      </c>
      <c r="B3555" s="3" t="inlineStr">
        <is>
          <t>보전관리지역</t>
        </is>
      </c>
      <c r="C3555" s="3" t="inlineStr">
        <is>
          <t>목장용지</t>
        </is>
      </c>
      <c r="D3555" s="3" t="inlineStr">
        <is>
          <t>목장용지</t>
        </is>
      </c>
      <c r="E3555" s="3" t="inlineStr">
        <is>
          <t>매매</t>
        </is>
      </c>
      <c r="F3555" s="4" t="n">
        <v>362000</v>
      </c>
      <c r="G3555" s="4" t="n">
        <v>11983</v>
      </c>
      <c r="H3555" s="4" t="n">
        <v>3625</v>
      </c>
      <c r="I3555" s="5" t="n">
        <v>99.90000000000001</v>
      </c>
      <c r="J3555" s="4" t="n">
        <v>10.5</v>
      </c>
      <c r="K3555" s="3" t="inlineStr">
        <is>
          <t>절충가능, 경사도가 완만하여 전원주택부지로 개발하기 최적의 토지입니다.</t>
        </is>
      </c>
      <c r="L3555" s="6">
        <f>HYPERLINK("https://fin.land.naver.com/articles/2647698471", "매물Link")</f>
        <v/>
      </c>
      <c r="M3555" s="6">
        <f>HYPERLINK("https://map.naver.com/p/search/세종특별자치시 연서면 고복리 산96-6", "지도Link")</f>
        <v/>
      </c>
      <c r="N3555" s="6">
        <f>HYPERLINK("http://www.eum.go.kr/web/ar/lu/luLandDet.jsp?pnu=3611036024200960006&amp;isNoScr=script&amp;mode=search", "토지이음")</f>
        <v/>
      </c>
      <c r="O3555" s="3" t="inlineStr">
        <is>
          <t>스마일세종</t>
        </is>
      </c>
      <c r="P3555" s="3" t="n">
        <v>1</v>
      </c>
      <c r="Q3555" s="3" t="n">
        <v>11983</v>
      </c>
      <c r="R3555" s="3" t="inlineStr">
        <is>
          <t>지정되지않음</t>
        </is>
      </c>
      <c r="S3555" s="3" t="inlineStr">
        <is>
          <t>자연림</t>
        </is>
      </c>
      <c r="T3555" s="3" t="inlineStr">
        <is>
          <t>완경사</t>
        </is>
      </c>
      <c r="U3555" s="3" t="inlineStr">
        <is>
          <t>사다리형</t>
        </is>
      </c>
      <c r="V3555" s="3" t="inlineStr">
        <is>
          <t>세로한면(가)</t>
        </is>
      </c>
    </row>
    <row r="3556">
      <c r="A3556" s="3" t="inlineStr">
        <is>
          <t>세종특별자치시 연서면 국촌리 166-29</t>
        </is>
      </c>
      <c r="B3556" s="3" t="inlineStr">
        <is>
          <t>계획관리지역</t>
        </is>
      </c>
      <c r="C3556" s="3" t="inlineStr">
        <is>
          <t>임야</t>
        </is>
      </c>
      <c r="D3556" s="3" t="inlineStr">
        <is>
          <t>임야</t>
        </is>
      </c>
      <c r="E3556" s="3" t="inlineStr">
        <is>
          <t>매매</t>
        </is>
      </c>
      <c r="F3556" s="4" t="n">
        <v>222000</v>
      </c>
      <c r="G3556" s="4" t="n">
        <v>3183</v>
      </c>
      <c r="H3556" s="4" t="n">
        <v>963</v>
      </c>
      <c r="I3556" s="5" t="n">
        <v>230.5</v>
      </c>
      <c r="J3556" s="4" t="n">
        <v>27.9</v>
      </c>
      <c r="K3556" s="3" t="inlineStr">
        <is>
          <t>근린상가 건축허가 득한 스마트국가산업단지 인근의 계획관리지역의 평탄한임야</t>
        </is>
      </c>
      <c r="L3556" s="6">
        <f>HYPERLINK("https://fin.land.naver.com/articles/2646257012", "매물Link")</f>
        <v/>
      </c>
      <c r="M3556" s="6">
        <f>HYPERLINK("https://map.naver.com/p/search/세종특별자치시 연서면 국촌리 166-29", "지도Link")</f>
        <v/>
      </c>
      <c r="N3556" s="6">
        <f>HYPERLINK("http://www.eum.go.kr/web/ar/lu/luLandDet.jsp?pnu=3611036030101660029&amp;isNoScr=script&amp;mode=search", "토지이음")</f>
        <v/>
      </c>
      <c r="O3556" s="3" t="inlineStr">
        <is>
          <t>스마일세종</t>
        </is>
      </c>
      <c r="P3556" s="3" t="n">
        <v>1</v>
      </c>
      <c r="Q3556" s="3" t="n">
        <v>2158</v>
      </c>
      <c r="R3556" s="3" t="inlineStr">
        <is>
          <t>지정되지않음</t>
        </is>
      </c>
      <c r="S3556" s="3" t="inlineStr">
        <is>
          <t>과수원</t>
        </is>
      </c>
      <c r="T3556" s="3" t="inlineStr">
        <is>
          <t>완경사</t>
        </is>
      </c>
      <c r="U3556" s="3" t="inlineStr">
        <is>
          <t>부정형</t>
        </is>
      </c>
      <c r="V3556" s="3" t="inlineStr">
        <is>
          <t>맹지</t>
        </is>
      </c>
    </row>
    <row r="3557">
      <c r="A3557" s="3" t="inlineStr">
        <is>
          <t>세종특별자치시 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급매,도로접한 계획관리지역,알토란 토지,가격조정가능</t>
        </is>
      </c>
      <c r="L3557" s="6">
        <f>HYPERLINK("https://fin.land.naver.com/articles/2645370986", "매물Link")</f>
        <v/>
      </c>
      <c r="M3557" s="6">
        <f>HYPERLINK("https://map.naver.com/p/search/세종특별자치시 연서면 국촌리 24", "지도Link")</f>
        <v/>
      </c>
      <c r="N3557" s="6">
        <f>HYPERLINK("http://www.eum.go.kr/web/ar/lu/luLandDet.jsp?pnu=3611036030100240000&amp;isNoScr=script&amp;mode=search", "토지이음")</f>
        <v/>
      </c>
      <c r="O3557" s="3" t="inlineStr">
        <is>
          <t>고운맘</t>
        </is>
      </c>
      <c r="P3557" s="3" t="n">
        <v>1</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세종특별자치시 연서면 국촌리 24</t>
        </is>
      </c>
      <c r="B3558" s="3" t="inlineStr">
        <is>
          <t>계획관리지역</t>
        </is>
      </c>
      <c r="C3558" s="3" t="inlineStr">
        <is>
          <t>전</t>
        </is>
      </c>
      <c r="D3558" s="3" t="inlineStr">
        <is>
          <t>전</t>
        </is>
      </c>
      <c r="E3558" s="3" t="inlineStr">
        <is>
          <t>매매</t>
        </is>
      </c>
      <c r="F3558" s="4" t="n">
        <v>35000</v>
      </c>
      <c r="G3558" s="4" t="n">
        <v>1015</v>
      </c>
      <c r="H3558" s="4" t="n">
        <v>307</v>
      </c>
      <c r="I3558" s="5" t="n">
        <v>114</v>
      </c>
      <c r="J3558" s="4" t="n">
        <v>56.4</v>
      </c>
      <c r="K3558" s="3" t="inlineStr">
        <is>
          <t>스마트국가산업단지와 북세종IC 인근 계획관리지역 토지로 지가상승 예상.</t>
        </is>
      </c>
      <c r="L3558" s="6">
        <f>HYPERLINK("https://fin.land.naver.com/articles/2644820086", "매물Link")</f>
        <v/>
      </c>
      <c r="M3558" s="6">
        <f>HYPERLINK("https://map.naver.com/p/search/세종특별자치시 연서면 국촌리 24", "지도Link")</f>
        <v/>
      </c>
      <c r="N3558" s="6">
        <f>HYPERLINK("http://www.eum.go.kr/web/ar/lu/luLandDet.jsp?pnu=3611036030100240000&amp;isNoScr=script&amp;mode=search", "토지이음")</f>
        <v/>
      </c>
      <c r="O3558" s="3" t="inlineStr">
        <is>
          <t>세종대장</t>
        </is>
      </c>
      <c r="P3558" s="3" t="n">
        <v>2</v>
      </c>
      <c r="Q3558" s="3" t="n">
        <v>1015</v>
      </c>
      <c r="R3558" s="3" t="inlineStr">
        <is>
          <t>지정되지않음</t>
        </is>
      </c>
      <c r="S3558" s="3" t="inlineStr">
        <is>
          <t>과수원</t>
        </is>
      </c>
      <c r="T3558" s="3" t="inlineStr">
        <is>
          <t>평지</t>
        </is>
      </c>
      <c r="U3558" s="3" t="inlineStr">
        <is>
          <t>자루형</t>
        </is>
      </c>
      <c r="V3558" s="3" t="inlineStr">
        <is>
          <t>세로한면(불)</t>
        </is>
      </c>
    </row>
    <row r="3559">
      <c r="A3559" s="3" t="inlineStr">
        <is>
          <t>세종특별자치시 연서면 국촌리 321-8</t>
        </is>
      </c>
      <c r="B3559" s="3" t="inlineStr">
        <is>
          <t>계획관리지역</t>
        </is>
      </c>
      <c r="C3559" s="3" t="inlineStr">
        <is>
          <t>대</t>
        </is>
      </c>
      <c r="D3559" s="3" t="inlineStr">
        <is>
          <t>대</t>
        </is>
      </c>
      <c r="E3559" s="3" t="inlineStr">
        <is>
          <t>매매</t>
        </is>
      </c>
      <c r="F3559" s="4" t="n">
        <v>26500</v>
      </c>
      <c r="G3559" s="4" t="n">
        <v>350</v>
      </c>
      <c r="H3559" s="4" t="n">
        <v>106</v>
      </c>
      <c r="I3559" s="5" t="n">
        <v>250</v>
      </c>
      <c r="J3559" s="4" t="n">
        <v>57.5</v>
      </c>
      <c r="K3559" s="3" t="inlineStr">
        <is>
          <t>추천. 세종스마트산단 인접 대지</t>
        </is>
      </c>
      <c r="L3559" s="6">
        <f>HYPERLINK("https://fin.land.naver.com/articles/2649193716", "매물Link")</f>
        <v/>
      </c>
      <c r="M3559" s="6">
        <f>HYPERLINK("https://map.naver.com/p/search/세종특별자치시 연서면 국촌리 321-8", "지도Link")</f>
        <v/>
      </c>
      <c r="N3559" s="6">
        <f>HYPERLINK("http://www.eum.go.kr/web/ar/lu/luLandDet.jsp?pnu=3611036030103210008&amp;isNoScr=script&amp;mode=search", "토지이음")</f>
        <v/>
      </c>
      <c r="O3559" s="3" t="inlineStr">
        <is>
          <t>강아지풀</t>
        </is>
      </c>
      <c r="P3559" s="3" t="n">
        <v>1</v>
      </c>
      <c r="Q3559" s="3" t="n">
        <v>350</v>
      </c>
      <c r="R3559" s="3" t="inlineStr">
        <is>
          <t>지정되지않음</t>
        </is>
      </c>
      <c r="S3559" s="3" t="inlineStr">
        <is>
          <t>과수원</t>
        </is>
      </c>
      <c r="T3559" s="3" t="inlineStr">
        <is>
          <t>완경사</t>
        </is>
      </c>
      <c r="U3559" s="3" t="inlineStr">
        <is>
          <t>가로장방</t>
        </is>
      </c>
      <c r="V3559" s="3" t="inlineStr">
        <is>
          <t>세로한면(불)</t>
        </is>
      </c>
    </row>
    <row r="3560">
      <c r="A3560" s="3" t="inlineStr">
        <is>
          <t>세종특별자치시 연서면 국촌리 322-44</t>
        </is>
      </c>
      <c r="B3560" s="3" t="inlineStr">
        <is>
          <t>계획관리지역</t>
        </is>
      </c>
      <c r="C3560" s="3" t="inlineStr">
        <is>
          <t>전</t>
        </is>
      </c>
      <c r="D3560" s="3" t="inlineStr">
        <is>
          <t>전</t>
        </is>
      </c>
      <c r="E3560" s="3" t="inlineStr">
        <is>
          <t>매매</t>
        </is>
      </c>
      <c r="F3560" s="4" t="n">
        <v>148200</v>
      </c>
      <c r="G3560" s="4" t="n">
        <v>2450</v>
      </c>
      <c r="H3560" s="4" t="n">
        <v>741</v>
      </c>
      <c r="I3560" s="5" t="n">
        <v>200</v>
      </c>
      <c r="J3560" s="4" t="n">
        <v>70</v>
      </c>
      <c r="K3560" s="3" t="inlineStr">
        <is>
          <t>연서면 국촌리토지 북세종IC예정지 와 5분 계획관리 세종국가산업단지인근</t>
        </is>
      </c>
      <c r="L3560" s="6">
        <f>HYPERLINK("https://fin.land.naver.com/articles/2645413011", "매물Link")</f>
        <v/>
      </c>
      <c r="M3560" s="6">
        <f>HYPERLINK("https://map.naver.com/p/search/세종특별자치시 연서면 국촌리 322-44", "지도Link")</f>
        <v/>
      </c>
      <c r="N3560" s="6">
        <f>HYPERLINK("http://www.eum.go.kr/web/ar/lu/luLandDet.jsp?pnu=3611036030103220044&amp;isNoScr=script&amp;mode=search", "토지이음")</f>
        <v/>
      </c>
      <c r="O3560" s="3" t="inlineStr">
        <is>
          <t>지성</t>
        </is>
      </c>
      <c r="P3560" s="3" t="n">
        <v>1</v>
      </c>
      <c r="Q3560" s="3" t="n">
        <v>2450</v>
      </c>
      <c r="R3560" s="3" t="inlineStr">
        <is>
          <t>지정되지않음</t>
        </is>
      </c>
      <c r="S3560" s="3" t="inlineStr">
        <is>
          <t>과수원</t>
        </is>
      </c>
      <c r="T3560" s="3" t="inlineStr">
        <is>
          <t>평지</t>
        </is>
      </c>
      <c r="U3560" s="3" t="inlineStr">
        <is>
          <t>부정형</t>
        </is>
      </c>
      <c r="V3560" s="3" t="inlineStr">
        <is>
          <t>세로한면(불)</t>
        </is>
      </c>
    </row>
    <row r="3561">
      <c r="A3561" s="3" t="inlineStr">
        <is>
          <t>세종특별자치시 연서면 국촌리 53-4</t>
        </is>
      </c>
      <c r="B3561" s="3" t="inlineStr">
        <is>
          <t>농림지역</t>
        </is>
      </c>
      <c r="C3561" s="3" t="inlineStr">
        <is>
          <t>답</t>
        </is>
      </c>
      <c r="D3561" s="3" t="inlineStr">
        <is>
          <t>답</t>
        </is>
      </c>
      <c r="E3561" s="3" t="inlineStr">
        <is>
          <t>매매</t>
        </is>
      </c>
      <c r="F3561" s="4" t="n">
        <v>40000</v>
      </c>
      <c r="G3561" s="4" t="n">
        <v>1644</v>
      </c>
      <c r="H3561" s="4" t="n">
        <v>497</v>
      </c>
      <c r="I3561" s="5" t="n">
        <v>80.5</v>
      </c>
      <c r="J3561" s="4" t="n">
        <v>28.8</v>
      </c>
      <c r="K3561" s="3" t="inlineStr">
        <is>
          <t>연서면 국촌리 농림지역 토지, 국가산업단지 인근, 대토, 필지별 매매</t>
        </is>
      </c>
      <c r="L3561" s="6">
        <f>HYPERLINK("https://fin.land.naver.com/articles/2648714185", "매물Link")</f>
        <v/>
      </c>
      <c r="M3561" s="6">
        <f>HYPERLINK("https://map.naver.com/p/search/세종특별자치시 연서면 국촌리 53-4", "지도Link")</f>
        <v/>
      </c>
      <c r="N3561" s="6">
        <f>HYPERLINK("http://www.eum.go.kr/web/ar/lu/luLandDet.jsp?pnu=3611036030100530004&amp;isNoScr=script&amp;mode=search", "토지이음")</f>
        <v/>
      </c>
      <c r="O3561" s="3" t="inlineStr">
        <is>
          <t>스카이</t>
        </is>
      </c>
      <c r="P3561" s="3" t="n">
        <v>1</v>
      </c>
      <c r="Q3561" s="3" t="n">
        <v>1644</v>
      </c>
      <c r="R3561" s="3" t="inlineStr">
        <is>
          <t>지정되지않음</t>
        </is>
      </c>
      <c r="S3561" s="3" t="inlineStr">
        <is>
          <t>답</t>
        </is>
      </c>
      <c r="T3561" s="3" t="inlineStr">
        <is>
          <t>평지</t>
        </is>
      </c>
      <c r="U3561" s="3" t="inlineStr">
        <is>
          <t>사다리형</t>
        </is>
      </c>
      <c r="V3561" s="3" t="inlineStr">
        <is>
          <t>세로한면(가)</t>
        </is>
      </c>
    </row>
    <row r="3562">
      <c r="A3562" s="3" t="inlineStr">
        <is>
          <t>세종특별자치시 연서면 국촌리 53-5</t>
        </is>
      </c>
      <c r="B3562" s="3" t="inlineStr">
        <is>
          <t>농림지역</t>
        </is>
      </c>
      <c r="C3562" s="3" t="inlineStr">
        <is>
          <t>답</t>
        </is>
      </c>
      <c r="D3562" s="3" t="inlineStr">
        <is>
          <t>답</t>
        </is>
      </c>
      <c r="E3562" s="3" t="inlineStr">
        <is>
          <t>매매</t>
        </is>
      </c>
      <c r="F3562" s="4" t="n">
        <v>45000</v>
      </c>
      <c r="G3562" s="4" t="n">
        <v>1663</v>
      </c>
      <c r="H3562" s="4" t="n">
        <v>503</v>
      </c>
      <c r="I3562" s="5" t="n">
        <v>89.5</v>
      </c>
      <c r="J3562" s="4" t="n">
        <v>28.8</v>
      </c>
      <c r="K3562" s="3" t="inlineStr">
        <is>
          <t>대토,투자로 좋은 위치의 토지입니다</t>
        </is>
      </c>
      <c r="L3562" s="6">
        <f>HYPERLINK("https://fin.land.naver.com/articles/2644444570", "매물Link")</f>
        <v/>
      </c>
      <c r="M3562" s="6">
        <f>HYPERLINK("https://map.naver.com/p/search/세종특별자치시 연서면 국촌리 53-5", "지도Link")</f>
        <v/>
      </c>
      <c r="N3562" s="6">
        <f>HYPERLINK("http://www.eum.go.kr/web/ar/lu/luLandDet.jsp?pnu=3611036030100530005&amp;isNoScr=script&amp;mode=search", "토지이음")</f>
        <v/>
      </c>
      <c r="O3562" s="3" t="inlineStr">
        <is>
          <t>세종대박</t>
        </is>
      </c>
      <c r="P3562" s="3" t="n">
        <v>1</v>
      </c>
      <c r="Q3562" s="3" t="n">
        <v>1663</v>
      </c>
      <c r="R3562" s="3" t="inlineStr">
        <is>
          <t>지정되지않음</t>
        </is>
      </c>
      <c r="S3562" s="3" t="inlineStr">
        <is>
          <t>답</t>
        </is>
      </c>
      <c r="T3562" s="3" t="inlineStr">
        <is>
          <t>평지</t>
        </is>
      </c>
      <c r="U3562" s="3" t="inlineStr">
        <is>
          <t>부정형</t>
        </is>
      </c>
      <c r="V3562" s="3" t="inlineStr">
        <is>
          <t>세로한면(가)</t>
        </is>
      </c>
    </row>
    <row r="3563">
      <c r="A3563" s="3" t="inlineStr">
        <is>
          <t>세종특별자치시 연서면 국촌리 59-9</t>
        </is>
      </c>
      <c r="B3563" s="3" t="inlineStr">
        <is>
          <t>농림지역</t>
        </is>
      </c>
      <c r="C3563" s="3" t="inlineStr">
        <is>
          <t>답</t>
        </is>
      </c>
      <c r="D3563" s="3" t="inlineStr">
        <is>
          <t>답</t>
        </is>
      </c>
      <c r="E3563" s="3" t="inlineStr">
        <is>
          <t>매매</t>
        </is>
      </c>
      <c r="F3563" s="4" t="n">
        <v>62000</v>
      </c>
      <c r="G3563" s="4" t="n">
        <v>1964</v>
      </c>
      <c r="H3563" s="4" t="n">
        <v>594</v>
      </c>
      <c r="I3563" s="5" t="n">
        <v>104.4</v>
      </c>
      <c r="J3563" s="4" t="n">
        <v>30</v>
      </c>
      <c r="K3563" s="3" t="inlineStr">
        <is>
          <t>세종국가산업단지 연서면 국촌리 토지</t>
        </is>
      </c>
      <c r="L3563" s="6">
        <f>HYPERLINK("https://fin.land.naver.com/articles/2646241465", "매물Link")</f>
        <v/>
      </c>
      <c r="M3563" s="6">
        <f>HYPERLINK("https://map.naver.com/p/search/세종특별자치시 연서면 국촌리 59-9", "지도Link")</f>
        <v/>
      </c>
      <c r="N3563" s="6">
        <f>HYPERLINK("http://www.eum.go.kr/web/ar/lu/luLandDet.jsp?pnu=3611036030100590009&amp;isNoScr=script&amp;mode=search", "토지이음")</f>
        <v/>
      </c>
      <c r="O3563" s="3" t="inlineStr">
        <is>
          <t>지성</t>
        </is>
      </c>
      <c r="P3563" s="3" t="n">
        <v>3</v>
      </c>
      <c r="Q3563" s="3" t="n">
        <v>1964</v>
      </c>
      <c r="R3563" s="3" t="inlineStr">
        <is>
          <t>지정되지않음</t>
        </is>
      </c>
      <c r="S3563" s="3" t="inlineStr">
        <is>
          <t>답</t>
        </is>
      </c>
      <c r="T3563" s="3" t="inlineStr">
        <is>
          <t>평지</t>
        </is>
      </c>
      <c r="U3563" s="3" t="inlineStr">
        <is>
          <t>가로장방</t>
        </is>
      </c>
      <c r="V3563" s="3" t="inlineStr">
        <is>
          <t>세로한면(가)</t>
        </is>
      </c>
    </row>
    <row r="3564">
      <c r="A3564" s="3" t="inlineStr">
        <is>
          <t>세종특별자치시 연서면 국촌리 76-5</t>
        </is>
      </c>
      <c r="B3564" s="3" t="inlineStr">
        <is>
          <t>농림지역</t>
        </is>
      </c>
      <c r="C3564" s="3" t="inlineStr">
        <is>
          <t>전</t>
        </is>
      </c>
      <c r="D3564" s="3" t="inlineStr">
        <is>
          <t>전</t>
        </is>
      </c>
      <c r="E3564" s="3" t="inlineStr">
        <is>
          <t>매매</t>
        </is>
      </c>
      <c r="F3564" s="4" t="n">
        <v>95000</v>
      </c>
      <c r="G3564" s="4" t="n">
        <v>1573</v>
      </c>
      <c r="H3564" s="4" t="n">
        <v>476</v>
      </c>
      <c r="I3564" s="5" t="n">
        <v>199.6</v>
      </c>
      <c r="J3564" s="4" t="n">
        <v>39.5</v>
      </c>
      <c r="K3564" s="3" t="inlineStr">
        <is>
          <t>시내와 가깝고 북세종 IC 인접, 창고에서 월세 나오는 농지</t>
        </is>
      </c>
      <c r="L3564" s="6">
        <f>HYPERLINK("https://fin.land.naver.com/articles/2644334560", "매물Link")</f>
        <v/>
      </c>
      <c r="M3564" s="6">
        <f>HYPERLINK("https://map.naver.com/p/search/세종특별자치시 연서면 국촌리 76-5", "지도Link")</f>
        <v/>
      </c>
      <c r="N3564" s="6">
        <f>HYPERLINK("http://www.eum.go.kr/web/ar/lu/luLandDet.jsp?pnu=3611036030100760005&amp;isNoScr=script&amp;mode=search", "토지이음")</f>
        <v/>
      </c>
      <c r="O3564" s="3" t="inlineStr">
        <is>
          <t>신와촌</t>
        </is>
      </c>
      <c r="P3564" s="3" t="n">
        <v>1</v>
      </c>
      <c r="Q3564" s="3" t="n">
        <v>1575</v>
      </c>
      <c r="R3564" s="3" t="inlineStr">
        <is>
          <t>지정되지않음</t>
        </is>
      </c>
      <c r="S3564" s="3" t="inlineStr">
        <is>
          <t>전창고</t>
        </is>
      </c>
      <c r="T3564" s="3" t="inlineStr">
        <is>
          <t>평지</t>
        </is>
      </c>
      <c r="U3564" s="3" t="inlineStr">
        <is>
          <t>부정형</t>
        </is>
      </c>
      <c r="V3564" s="3" t="inlineStr">
        <is>
          <t>세로한면(가)</t>
        </is>
      </c>
    </row>
    <row r="3565">
      <c r="A3565" s="3" t="inlineStr">
        <is>
          <t>세종특별자치시 연서면 기룡리 137-1</t>
        </is>
      </c>
      <c r="B3565" s="3" t="inlineStr">
        <is>
          <t>계획관리지역</t>
        </is>
      </c>
      <c r="C3565" s="3" t="inlineStr">
        <is>
          <t>전</t>
        </is>
      </c>
      <c r="D3565" s="3" t="inlineStr">
        <is>
          <t>전</t>
        </is>
      </c>
      <c r="E3565" s="3" t="inlineStr">
        <is>
          <t>매매</t>
        </is>
      </c>
      <c r="F3565" s="4" t="n">
        <v>31000</v>
      </c>
      <c r="G3565" s="4" t="n">
        <v>900</v>
      </c>
      <c r="H3565" s="4" t="n">
        <v>272</v>
      </c>
      <c r="I3565" s="5" t="n">
        <v>114</v>
      </c>
      <c r="J3565" s="4" t="n">
        <v>39.5</v>
      </c>
      <c r="K3565" s="3" t="inlineStr">
        <is>
          <t>농업인 아니더라도 주말체험가능, 컨테이너,수도,전기,통신 설치됨.</t>
        </is>
      </c>
      <c r="L3565" s="6">
        <f>HYPERLINK("https://fin.land.naver.com/articles/2648906327", "매물Link")</f>
        <v/>
      </c>
      <c r="M3565" s="6">
        <f>HYPERLINK("https://map.naver.com/p/search/세종특별자치시 연서면 기룡리 137-1", "지도Link")</f>
        <v/>
      </c>
      <c r="N3565" s="6">
        <f>HYPERLINK("http://www.eum.go.kr/web/ar/lu/luLandDet.jsp?pnu=3611036028101370001&amp;isNoScr=script&amp;mode=search", "토지이음")</f>
        <v/>
      </c>
      <c r="O3565" s="3" t="inlineStr">
        <is>
          <t>세종대장</t>
        </is>
      </c>
      <c r="P3565" s="3" t="n">
        <v>1</v>
      </c>
      <c r="Q3565" s="3" t="n">
        <v>900</v>
      </c>
      <c r="R3565" s="3" t="inlineStr">
        <is>
          <t>지정되지않음</t>
        </is>
      </c>
      <c r="S3565" s="3" t="inlineStr">
        <is>
          <t>전</t>
        </is>
      </c>
      <c r="T3565" s="3" t="inlineStr">
        <is>
          <t>평지</t>
        </is>
      </c>
      <c r="U3565" s="3" t="inlineStr">
        <is>
          <t>부정형</t>
        </is>
      </c>
      <c r="V3565" s="3" t="inlineStr">
        <is>
          <t>세로한면(가)</t>
        </is>
      </c>
    </row>
    <row r="3566">
      <c r="A3566" s="3" t="inlineStr">
        <is>
          <t>세종특별자치시 연서면 기룡리 137-3</t>
        </is>
      </c>
      <c r="B3566" s="3" t="inlineStr">
        <is>
          <t>계획관리지역</t>
        </is>
      </c>
      <c r="C3566" s="3" t="inlineStr">
        <is>
          <t>전</t>
        </is>
      </c>
      <c r="D3566" s="3" t="inlineStr">
        <is>
          <t>전</t>
        </is>
      </c>
      <c r="E3566" s="3" t="inlineStr">
        <is>
          <t>매매</t>
        </is>
      </c>
      <c r="F3566" s="4" t="n">
        <v>23000</v>
      </c>
      <c r="G3566" s="4" t="n">
        <v>773</v>
      </c>
      <c r="H3566" s="4" t="n">
        <v>234</v>
      </c>
      <c r="I3566" s="5" t="n">
        <v>98.3</v>
      </c>
      <c r="J3566" s="4" t="n">
        <v>39.5</v>
      </c>
      <c r="K3566" s="3" t="inlineStr">
        <is>
          <t>국가산단 인근 토지 매매</t>
        </is>
      </c>
      <c r="L3566" s="6">
        <f>HYPERLINK("https://fin.land.naver.com/articles/2648030618", "매물Link")</f>
        <v/>
      </c>
      <c r="M3566" s="6">
        <f>HYPERLINK("https://map.naver.com/p/search/세종특별자치시 연서면 기룡리 137-3", "지도Link")</f>
        <v/>
      </c>
      <c r="N3566" s="6">
        <f>HYPERLINK("http://www.eum.go.kr/web/ar/lu/luLandDet.jsp?pnu=3611036028101370003&amp;isNoScr=script&amp;mode=search", "토지이음")</f>
        <v/>
      </c>
      <c r="O3566" s="3" t="inlineStr">
        <is>
          <t>THE행복</t>
        </is>
      </c>
      <c r="P3566" s="3" t="n">
        <v>1</v>
      </c>
      <c r="Q3566" s="3" t="n">
        <v>774</v>
      </c>
      <c r="R3566" s="3" t="inlineStr">
        <is>
          <t>지정되지않음</t>
        </is>
      </c>
      <c r="S3566" s="3" t="inlineStr">
        <is>
          <t>전</t>
        </is>
      </c>
      <c r="T3566" s="3" t="inlineStr">
        <is>
          <t>평지</t>
        </is>
      </c>
      <c r="U3566" s="3" t="inlineStr">
        <is>
          <t>부정형</t>
        </is>
      </c>
      <c r="V3566" s="3" t="inlineStr">
        <is>
          <t>세로한면(가)</t>
        </is>
      </c>
    </row>
    <row r="3567">
      <c r="A3567" s="3" t="inlineStr">
        <is>
          <t>세종특별자치시 연서면 기룡리 143</t>
        </is>
      </c>
      <c r="B3567" s="3" t="inlineStr">
        <is>
          <t>생산관리지역</t>
        </is>
      </c>
      <c r="C3567" s="3" t="inlineStr">
        <is>
          <t>전</t>
        </is>
      </c>
      <c r="D3567" s="3" t="inlineStr">
        <is>
          <t>전</t>
        </is>
      </c>
      <c r="E3567" s="3" t="inlineStr">
        <is>
          <t>매매</t>
        </is>
      </c>
      <c r="F3567" s="4" t="n">
        <v>40000</v>
      </c>
      <c r="G3567" s="4" t="n">
        <v>2023</v>
      </c>
      <c r="H3567" s="4" t="n">
        <v>612</v>
      </c>
      <c r="I3567" s="5" t="n">
        <v>65.40000000000001</v>
      </c>
      <c r="J3567" s="4" t="n">
        <v>23.4</v>
      </c>
      <c r="K3567" s="3" t="inlineStr">
        <is>
          <t>지적도상 맹지이지만 구거를 통해 통행 가능함.</t>
        </is>
      </c>
      <c r="L3567" s="6">
        <f>HYPERLINK("https://fin.land.naver.com/articles/2646205022", "매물Link")</f>
        <v/>
      </c>
      <c r="M3567" s="6">
        <f>HYPERLINK("https://map.naver.com/p/search/세종특별자치시 연서면 기룡리 143", "지도Link")</f>
        <v/>
      </c>
      <c r="N3567" s="6">
        <f>HYPERLINK("http://www.eum.go.kr/web/ar/lu/luLandDet.jsp?pnu=3611036028101430000&amp;isNoScr=script&amp;mode=search", "토지이음")</f>
        <v/>
      </c>
      <c r="O3567" s="3" t="inlineStr">
        <is>
          <t>해들일번지</t>
        </is>
      </c>
      <c r="P3567" s="3" t="n">
        <v>1</v>
      </c>
      <c r="Q3567" s="3" t="n">
        <v>2023</v>
      </c>
      <c r="R3567" s="3" t="inlineStr">
        <is>
          <t>지정되지않음</t>
        </is>
      </c>
      <c r="S3567" s="3" t="inlineStr">
        <is>
          <t>전기타</t>
        </is>
      </c>
      <c r="T3567" s="3" t="inlineStr">
        <is>
          <t>완경사</t>
        </is>
      </c>
      <c r="U3567" s="3" t="inlineStr">
        <is>
          <t>부정형</t>
        </is>
      </c>
      <c r="V3567" s="3" t="inlineStr">
        <is>
          <t>맹지</t>
        </is>
      </c>
    </row>
    <row r="3568">
      <c r="A3568" s="3" t="inlineStr">
        <is>
          <t>세종특별자치시 연서면 기룡리 145</t>
        </is>
      </c>
      <c r="B3568" s="3" t="inlineStr">
        <is>
          <t>생산관리지역</t>
        </is>
      </c>
      <c r="C3568" s="3" t="inlineStr">
        <is>
          <t>전</t>
        </is>
      </c>
      <c r="D3568" s="3" t="inlineStr">
        <is>
          <t>전</t>
        </is>
      </c>
      <c r="E3568" s="3" t="inlineStr">
        <is>
          <t>매매</t>
        </is>
      </c>
      <c r="F3568" s="4" t="n">
        <v>44200</v>
      </c>
      <c r="G3568" s="4" t="n">
        <v>2655</v>
      </c>
      <c r="H3568" s="4" t="n">
        <v>803</v>
      </c>
      <c r="I3568" s="5" t="n">
        <v>55</v>
      </c>
      <c r="J3568" s="4" t="n">
        <v>23.4</v>
      </c>
      <c r="K3568" s="3" t="inlineStr">
        <is>
          <t>국가산업단지 인근 투자성 높은 토지</t>
        </is>
      </c>
      <c r="L3568" s="6">
        <f>HYPERLINK("https://fin.land.naver.com/articles/2644495846", "매물Link")</f>
        <v/>
      </c>
      <c r="M3568" s="6">
        <f>HYPERLINK("https://map.naver.com/p/search/세종특별자치시 연서면 기룡리 145", "지도Link")</f>
        <v/>
      </c>
      <c r="N3568" s="6">
        <f>HYPERLINK("http://www.eum.go.kr/web/ar/lu/luLandDet.jsp?pnu=3611036028101450000&amp;isNoScr=script&amp;mode=search", "토지이음")</f>
        <v/>
      </c>
      <c r="O3568" s="3" t="inlineStr">
        <is>
          <t>세종시해냄</t>
        </is>
      </c>
      <c r="P3568" s="3" t="n">
        <v>1</v>
      </c>
      <c r="Q3568" s="3" t="n">
        <v>2655</v>
      </c>
      <c r="R3568" s="3" t="inlineStr">
        <is>
          <t>지정되지않음</t>
        </is>
      </c>
      <c r="S3568" s="3" t="inlineStr">
        <is>
          <t>전</t>
        </is>
      </c>
      <c r="T3568" s="3" t="inlineStr">
        <is>
          <t>완경사</t>
        </is>
      </c>
      <c r="U3568" s="3" t="inlineStr">
        <is>
          <t>부정형</t>
        </is>
      </c>
      <c r="V3568" s="3" t="inlineStr">
        <is>
          <t>맹지</t>
        </is>
      </c>
    </row>
    <row r="3569">
      <c r="A3569" s="3" t="inlineStr">
        <is>
          <t>세종특별자치시 연서면 기룡리 156-4</t>
        </is>
      </c>
      <c r="B3569" s="3" t="inlineStr">
        <is>
          <t>생산관리지역</t>
        </is>
      </c>
      <c r="C3569" s="3" t="inlineStr">
        <is>
          <t>답</t>
        </is>
      </c>
      <c r="D3569" s="3" t="inlineStr">
        <is>
          <t>답</t>
        </is>
      </c>
      <c r="E3569" s="3" t="inlineStr">
        <is>
          <t>매매</t>
        </is>
      </c>
      <c r="F3569" s="4" t="n">
        <v>17000</v>
      </c>
      <c r="G3569" s="4" t="n">
        <v>1020</v>
      </c>
      <c r="H3569" s="4" t="n">
        <v>309</v>
      </c>
      <c r="I3569" s="5" t="n">
        <v>55</v>
      </c>
      <c r="J3569" s="4" t="n">
        <v>15</v>
      </c>
      <c r="K3569" s="3" t="inlineStr">
        <is>
          <t>급매, 구거 이용하여 출입 가능함</t>
        </is>
      </c>
      <c r="L3569" s="6">
        <f>HYPERLINK("https://fin.land.naver.com/articles/2646204251", "매물Link")</f>
        <v/>
      </c>
      <c r="M3569" s="6">
        <f>HYPERLINK("https://map.naver.com/p/search/세종특별자치시 연서면 기룡리 156-4", "지도Link")</f>
        <v/>
      </c>
      <c r="N3569" s="6">
        <f>HYPERLINK("http://www.eum.go.kr/web/ar/lu/luLandDet.jsp?pnu=3611036028101560004&amp;isNoScr=script&amp;mode=search", "토지이음")</f>
        <v/>
      </c>
      <c r="O3569" s="3" t="inlineStr">
        <is>
          <t>해들일번지</t>
        </is>
      </c>
      <c r="P3569" s="3" t="n">
        <v>1</v>
      </c>
      <c r="Q3569" s="3" t="n">
        <v>1020</v>
      </c>
      <c r="R3569" s="3" t="inlineStr">
        <is>
          <t>지정되지않음</t>
        </is>
      </c>
      <c r="S3569" s="3" t="inlineStr">
        <is>
          <t>과수원</t>
        </is>
      </c>
      <c r="T3569" s="3" t="inlineStr">
        <is>
          <t>급경사</t>
        </is>
      </c>
      <c r="U3569" s="3" t="inlineStr">
        <is>
          <t>부정형</t>
        </is>
      </c>
      <c r="V3569" s="3" t="inlineStr">
        <is>
          <t>맹지</t>
        </is>
      </c>
    </row>
    <row r="3570">
      <c r="A3570" s="3" t="inlineStr">
        <is>
          <t>세종특별자치시 연서면 기룡리 17</t>
        </is>
      </c>
      <c r="B3570" s="3" t="inlineStr">
        <is>
          <t>생산관리지역</t>
        </is>
      </c>
      <c r="C3570" s="3" t="inlineStr">
        <is>
          <t>전</t>
        </is>
      </c>
      <c r="D3570" s="3" t="inlineStr">
        <is>
          <t>전</t>
        </is>
      </c>
      <c r="E3570" s="3" t="inlineStr">
        <is>
          <t>매매</t>
        </is>
      </c>
      <c r="F3570" s="4" t="n">
        <v>63000</v>
      </c>
      <c r="G3570" s="4" t="n">
        <v>2314</v>
      </c>
      <c r="H3570" s="4" t="n">
        <v>700</v>
      </c>
      <c r="I3570" s="5" t="n">
        <v>90</v>
      </c>
      <c r="J3570" s="4" t="n">
        <v>30.7</v>
      </c>
      <c r="K3570" s="3" t="inlineStr">
        <is>
          <t>연서면 기룡리 생산관리 토지, 도로접, 국가산단 인근</t>
        </is>
      </c>
      <c r="L3570" s="6">
        <f>HYPERLINK("https://fin.land.naver.com/articles/2647371400", "매물Link")</f>
        <v/>
      </c>
      <c r="M3570" s="6">
        <f>HYPERLINK("https://map.naver.com/p/search/세종특별자치시 연서면 기룡리 17", "지도Link")</f>
        <v/>
      </c>
      <c r="N3570" s="6">
        <f>HYPERLINK("http://www.eum.go.kr/web/ar/lu/luLandDet.jsp?pnu=3611036028100170000&amp;isNoScr=script&amp;mode=search", "토지이음")</f>
        <v/>
      </c>
      <c r="O3570" s="3" t="inlineStr">
        <is>
          <t>스카이</t>
        </is>
      </c>
      <c r="P3570" s="3" t="n">
        <v>1</v>
      </c>
      <c r="Q3570" s="3" t="n">
        <v>2314</v>
      </c>
      <c r="R3570" s="3" t="inlineStr">
        <is>
          <t>지정되지않음</t>
        </is>
      </c>
      <c r="S3570" s="3" t="inlineStr">
        <is>
          <t>전</t>
        </is>
      </c>
      <c r="T3570" s="3" t="inlineStr">
        <is>
          <t>평지</t>
        </is>
      </c>
      <c r="U3570" s="3" t="inlineStr">
        <is>
          <t>부정형</t>
        </is>
      </c>
      <c r="V3570" s="3" t="inlineStr">
        <is>
          <t>세로한면(가)</t>
        </is>
      </c>
    </row>
    <row r="3571">
      <c r="A3571" s="3" t="inlineStr">
        <is>
          <t>세종특별자치시 연서면 기룡리 277-1</t>
        </is>
      </c>
      <c r="B3571" s="3" t="inlineStr">
        <is>
          <t>생산관리지역</t>
        </is>
      </c>
      <c r="C3571" s="3" t="inlineStr">
        <is>
          <t>전</t>
        </is>
      </c>
      <c r="D3571" s="3" t="inlineStr">
        <is>
          <t>전</t>
        </is>
      </c>
      <c r="E3571" s="3" t="inlineStr">
        <is>
          <t>매매</t>
        </is>
      </c>
      <c r="F3571" s="4" t="n">
        <v>52000</v>
      </c>
      <c r="G3571" s="4" t="n">
        <v>2152</v>
      </c>
      <c r="H3571" s="4" t="n">
        <v>651</v>
      </c>
      <c r="I3571" s="5" t="n">
        <v>79.90000000000001</v>
      </c>
      <c r="J3571" s="4" t="n">
        <v>44</v>
      </c>
      <c r="K3571" s="3" t="inlineStr">
        <is>
          <t>기룡리토지매매 가격조정가능</t>
        </is>
      </c>
      <c r="L3571" s="6">
        <f>HYPERLINK("https://fin.land.naver.com/articles/2646711689", "매물Link")</f>
        <v/>
      </c>
      <c r="M3571" s="6">
        <f>HYPERLINK("https://map.naver.com/p/search/세종특별자치시 연서면 기룡리 277-1", "지도Link")</f>
        <v/>
      </c>
      <c r="N3571" s="6">
        <f>HYPERLINK("http://www.eum.go.kr/web/ar/lu/luLandDet.jsp?pnu=3611036028102770001&amp;isNoScr=script&amp;mode=search", "토지이음")</f>
        <v/>
      </c>
      <c r="O3571" s="3" t="inlineStr">
        <is>
          <t>고운동리치세종</t>
        </is>
      </c>
      <c r="P3571" s="3" t="n">
        <v>1</v>
      </c>
      <c r="Q3571" s="3" t="n">
        <v>2152</v>
      </c>
      <c r="R3571" s="3" t="inlineStr">
        <is>
          <t>지정되지않음</t>
        </is>
      </c>
      <c r="S3571" s="3" t="inlineStr">
        <is>
          <t>주거나지</t>
        </is>
      </c>
      <c r="T3571" s="3" t="inlineStr">
        <is>
          <t>평지</t>
        </is>
      </c>
      <c r="U3571" s="3" t="inlineStr">
        <is>
          <t>부정형</t>
        </is>
      </c>
      <c r="V3571" s="3" t="inlineStr">
        <is>
          <t>세로한면(가)</t>
        </is>
      </c>
    </row>
    <row r="3572">
      <c r="A3572" s="3" t="inlineStr">
        <is>
          <t>세종특별자치시 연서면 기룡리 332-2</t>
        </is>
      </c>
      <c r="B3572" s="3" t="inlineStr">
        <is>
          <t>계획관리지역</t>
        </is>
      </c>
      <c r="C3572" s="3" t="inlineStr">
        <is>
          <t>목장용지</t>
        </is>
      </c>
      <c r="D3572" s="3" t="inlineStr">
        <is>
          <t>목장용지</t>
        </is>
      </c>
      <c r="E3572" s="3" t="inlineStr">
        <is>
          <t>매매</t>
        </is>
      </c>
      <c r="F3572" s="4" t="n">
        <v>327000</v>
      </c>
      <c r="G3572" s="4" t="n">
        <v>9018</v>
      </c>
      <c r="H3572" s="4" t="n">
        <v>2728</v>
      </c>
      <c r="I3572" s="5" t="n">
        <v>119.9</v>
      </c>
      <c r="J3572" s="4" t="n">
        <v>46.1</v>
      </c>
      <c r="K3572" s="3" t="inlineStr">
        <is>
          <t>계획관리지역</t>
        </is>
      </c>
      <c r="L3572" s="6">
        <f>HYPERLINK("https://fin.land.naver.com/articles/2648732748", "매물Link")</f>
        <v/>
      </c>
      <c r="M3572" s="6">
        <f>HYPERLINK("https://map.naver.com/p/search/세종특별자치시 연서면 기룡리 332-2", "지도Link")</f>
        <v/>
      </c>
      <c r="N3572" s="6">
        <f>HYPERLINK("http://www.eum.go.kr/web/ar/lu/luLandDet.jsp?pnu=3611036028103320002&amp;isNoScr=script&amp;mode=search", "토지이음")</f>
        <v/>
      </c>
      <c r="O3572" s="3" t="inlineStr">
        <is>
          <t>다산</t>
        </is>
      </c>
      <c r="P3572" s="3" t="n">
        <v>1</v>
      </c>
      <c r="Q3572" s="3" t="n">
        <v>9004</v>
      </c>
      <c r="R3572" s="3" t="inlineStr">
        <is>
          <t>지정되지않음</t>
        </is>
      </c>
      <c r="S3572" s="3" t="inlineStr">
        <is>
          <t>전축사</t>
        </is>
      </c>
      <c r="T3572" s="3" t="inlineStr">
        <is>
          <t>완경사</t>
        </is>
      </c>
      <c r="U3572" s="3" t="inlineStr">
        <is>
          <t>사다리형</t>
        </is>
      </c>
      <c r="V3572" s="3" t="inlineStr">
        <is>
          <t>세로한면(가)</t>
        </is>
      </c>
    </row>
    <row r="3573">
      <c r="A3573" s="3" t="inlineStr">
        <is>
          <t>세종특별자치시 연서면 기룡리 425</t>
        </is>
      </c>
      <c r="B3573" s="3" t="inlineStr">
        <is>
          <t>생산관리지역</t>
        </is>
      </c>
      <c r="C3573" s="3" t="inlineStr">
        <is>
          <t>답</t>
        </is>
      </c>
      <c r="D3573" s="3" t="inlineStr">
        <is>
          <t>답</t>
        </is>
      </c>
      <c r="E3573" s="3" t="inlineStr">
        <is>
          <t>매매</t>
        </is>
      </c>
      <c r="F3573" s="4" t="n">
        <v>237860</v>
      </c>
      <c r="G3573" s="4" t="n">
        <v>11234</v>
      </c>
      <c r="H3573" s="4" t="n">
        <v>3398</v>
      </c>
      <c r="I3573" s="5" t="n">
        <v>70</v>
      </c>
      <c r="J3573" s="4" t="n">
        <v>30.8</v>
      </c>
      <c r="K3573" s="3" t="inlineStr">
        <is>
          <t>여러필지이며 투자및 경작용으로 매우 좋음</t>
        </is>
      </c>
      <c r="L3573" s="6">
        <f>HYPERLINK("https://fin.land.naver.com/articles/2648549270", "매물Link")</f>
        <v/>
      </c>
      <c r="M3573" s="6">
        <f>HYPERLINK("https://map.naver.com/p/search/세종특별자치시 연서면 기룡리 425", "지도Link")</f>
        <v/>
      </c>
      <c r="N3573" s="6">
        <f>HYPERLINK("http://www.eum.go.kr/web/ar/lu/luLandDet.jsp?pnu=3611036028104250000&amp;isNoScr=script&amp;mode=search", "토지이음")</f>
        <v/>
      </c>
      <c r="O3573" s="3" t="inlineStr">
        <is>
          <t>세종리츠</t>
        </is>
      </c>
      <c r="P3573" s="3" t="n">
        <v>1</v>
      </c>
      <c r="Q3573" s="3" t="n">
        <v>1699</v>
      </c>
      <c r="R3573" s="3" t="inlineStr">
        <is>
          <t>지정되지않음</t>
        </is>
      </c>
      <c r="S3573" s="3" t="inlineStr">
        <is>
          <t>답</t>
        </is>
      </c>
      <c r="T3573" s="3" t="inlineStr">
        <is>
          <t>평지</t>
        </is>
      </c>
      <c r="U3573" s="3" t="inlineStr">
        <is>
          <t>부정형</t>
        </is>
      </c>
      <c r="V3573" s="3" t="inlineStr">
        <is>
          <t>세로한면(가)</t>
        </is>
      </c>
    </row>
    <row r="3574">
      <c r="A3574" s="3" t="inlineStr">
        <is>
          <t>세종특별자치시 연서면 기룡리 426</t>
        </is>
      </c>
      <c r="B3574" s="3" t="inlineStr">
        <is>
          <t>생산관리지역</t>
        </is>
      </c>
      <c r="C3574" s="3" t="inlineStr">
        <is>
          <t>답</t>
        </is>
      </c>
      <c r="D3574" s="3" t="inlineStr">
        <is>
          <t>답</t>
        </is>
      </c>
      <c r="E3574" s="3" t="inlineStr">
        <is>
          <t>매매</t>
        </is>
      </c>
      <c r="F3574" s="4" t="n">
        <v>16000</v>
      </c>
      <c r="G3574" s="4" t="n">
        <v>654</v>
      </c>
      <c r="H3574" s="4" t="n">
        <v>198</v>
      </c>
      <c r="I3574" s="5" t="n">
        <v>80.8</v>
      </c>
      <c r="J3574" s="4" t="n">
        <v>32.9</v>
      </c>
      <c r="K3574" s="3" t="inlineStr">
        <is>
          <t>기룡리 마을인근 토지매매</t>
        </is>
      </c>
      <c r="L3574" s="6">
        <f>HYPERLINK("https://fin.land.naver.com/articles/2645513432", "매물Link")</f>
        <v/>
      </c>
      <c r="M3574" s="6">
        <f>HYPERLINK("https://map.naver.com/p/search/세종특별자치시 연서면 기룡리 426", "지도Link")</f>
        <v/>
      </c>
      <c r="N3574" s="6">
        <f>HYPERLINK("http://www.eum.go.kr/web/ar/lu/luLandDet.jsp?pnu=3611036028104260000&amp;isNoScr=script&amp;mode=search", "토지이음")</f>
        <v/>
      </c>
      <c r="O3574" s="3" t="inlineStr">
        <is>
          <t>에이스</t>
        </is>
      </c>
      <c r="P3574" s="3" t="n">
        <v>1</v>
      </c>
      <c r="Q3574" s="3" t="n">
        <v>654</v>
      </c>
      <c r="R3574" s="3" t="inlineStr">
        <is>
          <t>지정되지않음</t>
        </is>
      </c>
      <c r="S3574" s="3" t="inlineStr">
        <is>
          <t>답</t>
        </is>
      </c>
      <c r="T3574" s="3" t="inlineStr">
        <is>
          <t>평지</t>
        </is>
      </c>
      <c r="U3574" s="3" t="inlineStr">
        <is>
          <t>부정형</t>
        </is>
      </c>
      <c r="V3574" s="3" t="inlineStr">
        <is>
          <t>세로각지(가)</t>
        </is>
      </c>
    </row>
    <row r="3575">
      <c r="A3575" s="3" t="inlineStr">
        <is>
          <t>세종특별자치시 연서면 기룡리 431-1</t>
        </is>
      </c>
      <c r="B3575" s="3" t="inlineStr">
        <is>
          <t>계획관리지역</t>
        </is>
      </c>
      <c r="C3575" s="3" t="inlineStr">
        <is>
          <t>전</t>
        </is>
      </c>
      <c r="D3575" s="3" t="inlineStr">
        <is>
          <t>전</t>
        </is>
      </c>
      <c r="E3575" s="3" t="inlineStr">
        <is>
          <t>매매</t>
        </is>
      </c>
      <c r="F3575" s="4" t="n">
        <v>62500</v>
      </c>
      <c r="G3575" s="4" t="n">
        <v>2952</v>
      </c>
      <c r="H3575" s="4" t="n">
        <v>893</v>
      </c>
      <c r="I3575" s="5" t="n">
        <v>70</v>
      </c>
      <c r="J3575" s="4" t="n">
        <v>39.2</v>
      </c>
      <c r="K3575" s="3" t="inlineStr">
        <is>
          <t>기룡리 계획관리지역 지목이 전으로 총2필지 일괄로 급매.</t>
        </is>
      </c>
      <c r="L3575" s="6">
        <f>HYPERLINK("https://fin.land.naver.com/articles/2645179601", "매물Link")</f>
        <v/>
      </c>
      <c r="M3575" s="6">
        <f>HYPERLINK("https://map.naver.com/p/search/세종특별자치시 연서면 기룡리 431-1", "지도Link")</f>
        <v/>
      </c>
      <c r="N3575" s="6">
        <f>HYPERLINK("http://www.eum.go.kr/web/ar/lu/luLandDet.jsp?pnu=3611036028104310001&amp;isNoScr=script&amp;mode=search", "토지이음")</f>
        <v/>
      </c>
      <c r="O3575" s="3" t="inlineStr">
        <is>
          <t>세종대장</t>
        </is>
      </c>
      <c r="P3575" s="3" t="n">
        <v>1</v>
      </c>
      <c r="Q3575" s="3" t="n">
        <v>2483</v>
      </c>
      <c r="R3575" s="3" t="inlineStr">
        <is>
          <t>지정되지않음</t>
        </is>
      </c>
      <c r="S3575" s="3" t="inlineStr">
        <is>
          <t>전</t>
        </is>
      </c>
      <c r="T3575" s="3" t="inlineStr">
        <is>
          <t>평지</t>
        </is>
      </c>
      <c r="U3575" s="3" t="inlineStr">
        <is>
          <t>부정형</t>
        </is>
      </c>
      <c r="V3575" s="3" t="inlineStr">
        <is>
          <t>세로한면(가)</t>
        </is>
      </c>
    </row>
    <row r="3576">
      <c r="A3576" s="3" t="inlineStr">
        <is>
          <t>세종특별자치시 연서면 기룡리 444</t>
        </is>
      </c>
      <c r="B3576" s="3" t="inlineStr">
        <is>
          <t>생산관리지역</t>
        </is>
      </c>
      <c r="C3576" s="3" t="inlineStr">
        <is>
          <t>답</t>
        </is>
      </c>
      <c r="D3576" s="3" t="inlineStr">
        <is>
          <t>답</t>
        </is>
      </c>
      <c r="E3576" s="3" t="inlineStr">
        <is>
          <t>매매</t>
        </is>
      </c>
      <c r="F3576" s="4" t="n">
        <v>63000</v>
      </c>
      <c r="G3576" s="4" t="n">
        <v>2971</v>
      </c>
      <c r="H3576" s="4" t="n">
        <v>899</v>
      </c>
      <c r="I3576" s="5" t="n">
        <v>70.09999999999999</v>
      </c>
      <c r="J3576" s="4" t="n">
        <v>30.8</v>
      </c>
      <c r="K3576" s="3" t="inlineStr">
        <is>
          <t>연서면 기룡리 마을 포장도로에 접한 생산관리지역의 토지 입니다.</t>
        </is>
      </c>
      <c r="L3576" s="6">
        <f>HYPERLINK("https://fin.land.naver.com/articles/2647461023", "매물Link")</f>
        <v/>
      </c>
      <c r="M3576" s="6">
        <f>HYPERLINK("https://map.naver.com/p/search/세종특별자치시 연서면 기룡리 444", "지도Link")</f>
        <v/>
      </c>
      <c r="N3576" s="6">
        <f>HYPERLINK("http://www.eum.go.kr/web/ar/lu/luLandDet.jsp?pnu=3611036028104440000&amp;isNoScr=script&amp;mode=search", "토지이음")</f>
        <v/>
      </c>
      <c r="O3576" s="3" t="inlineStr">
        <is>
          <t>스마일세종</t>
        </is>
      </c>
      <c r="P3576" s="3" t="n">
        <v>1</v>
      </c>
      <c r="Q3576" s="3" t="n">
        <v>2971</v>
      </c>
      <c r="R3576" s="3" t="inlineStr">
        <is>
          <t>지정되지않음</t>
        </is>
      </c>
      <c r="S3576" s="3" t="inlineStr">
        <is>
          <t>답</t>
        </is>
      </c>
      <c r="T3576" s="3" t="inlineStr">
        <is>
          <t>평지</t>
        </is>
      </c>
      <c r="U3576" s="3" t="inlineStr">
        <is>
          <t>부정형</t>
        </is>
      </c>
      <c r="V3576" s="3" t="inlineStr">
        <is>
          <t>세로한면(가)</t>
        </is>
      </c>
    </row>
    <row r="3577">
      <c r="A3577" s="3" t="inlineStr">
        <is>
          <t>세종특별자치시 연서면 기룡리 484</t>
        </is>
      </c>
      <c r="B3577" s="3" t="inlineStr">
        <is>
          <t>생산관리지역</t>
        </is>
      </c>
      <c r="C3577" s="3" t="inlineStr">
        <is>
          <t>답</t>
        </is>
      </c>
      <c r="D3577" s="3" t="inlineStr">
        <is>
          <t>답</t>
        </is>
      </c>
      <c r="E3577" s="3" t="inlineStr">
        <is>
          <t>매매</t>
        </is>
      </c>
      <c r="F3577" s="4" t="n">
        <v>75000</v>
      </c>
      <c r="G3577" s="4" t="n">
        <v>2886</v>
      </c>
      <c r="H3577" s="4" t="n">
        <v>873</v>
      </c>
      <c r="I3577" s="5" t="n">
        <v>85.90000000000001</v>
      </c>
      <c r="J3577" s="4" t="n">
        <v>27.3</v>
      </c>
      <c r="K3577" s="3" t="inlineStr">
        <is>
          <t>보상이 시작된 세종국가산단과 인접하여 투자가치가 높음</t>
        </is>
      </c>
      <c r="L3577" s="6">
        <f>HYPERLINK("https://fin.land.naver.com/articles/2646696444", "매물Link")</f>
        <v/>
      </c>
      <c r="M3577" s="6">
        <f>HYPERLINK("https://map.naver.com/p/search/세종특별자치시 연서면 기룡리 484", "지도Link")</f>
        <v/>
      </c>
      <c r="N3577" s="6">
        <f>HYPERLINK("http://www.eum.go.kr/web/ar/lu/luLandDet.jsp?pnu=3611036028104840000&amp;isNoScr=script&amp;mode=search", "토지이음")</f>
        <v/>
      </c>
      <c r="O3577" s="3" t="inlineStr">
        <is>
          <t>가람</t>
        </is>
      </c>
      <c r="P3577" s="3" t="n">
        <v>1</v>
      </c>
      <c r="Q3577" s="3" t="n">
        <v>2886</v>
      </c>
      <c r="R3577" s="3" t="inlineStr">
        <is>
          <t>지정되지않음</t>
        </is>
      </c>
      <c r="S3577" s="3" t="inlineStr">
        <is>
          <t>답</t>
        </is>
      </c>
      <c r="T3577" s="3" t="inlineStr">
        <is>
          <t>완경사</t>
        </is>
      </c>
      <c r="U3577" s="3" t="inlineStr">
        <is>
          <t>부정형</t>
        </is>
      </c>
      <c r="V3577" s="3" t="inlineStr">
        <is>
          <t>세로한면(가)</t>
        </is>
      </c>
    </row>
    <row r="3578">
      <c r="A3578" s="3" t="inlineStr">
        <is>
          <t>세종특별자치시 연서면 기룡리 51-2</t>
        </is>
      </c>
      <c r="B3578" s="3" t="inlineStr">
        <is>
          <t>계획관리지역</t>
        </is>
      </c>
      <c r="C3578" s="3" t="inlineStr">
        <is>
          <t>대</t>
        </is>
      </c>
      <c r="D3578" s="3" t="inlineStr">
        <is>
          <t>대</t>
        </is>
      </c>
      <c r="E3578" s="3" t="inlineStr">
        <is>
          <t>매매</t>
        </is>
      </c>
      <c r="F3578" s="4" t="n">
        <v>21000</v>
      </c>
      <c r="G3578" s="4" t="n">
        <v>252</v>
      </c>
      <c r="H3578" s="4" t="n">
        <v>76</v>
      </c>
      <c r="I3578" s="5" t="n">
        <v>276.3</v>
      </c>
      <c r="J3578" s="4" t="n">
        <v>73.2</v>
      </c>
      <c r="K3578" s="3" t="inlineStr">
        <is>
          <t>급매 가격조정가능</t>
        </is>
      </c>
      <c r="L3578" s="6">
        <f>HYPERLINK("https://fin.land.naver.com/articles/2648261882", "매물Link")</f>
        <v/>
      </c>
      <c r="M3578" s="6">
        <f>HYPERLINK("https://map.naver.com/p/search/세종특별자치시 연서면 기룡리 51-2", "지도Link")</f>
        <v/>
      </c>
      <c r="N3578" s="6">
        <f>HYPERLINK("http://www.eum.go.kr/web/ar/lu/luLandDet.jsp?pnu=3611036028100510002&amp;isNoScr=script&amp;mode=search", "토지이음")</f>
        <v/>
      </c>
      <c r="O3578" s="3" t="inlineStr">
        <is>
          <t>그래그</t>
        </is>
      </c>
      <c r="P3578" s="3" t="n">
        <v>1</v>
      </c>
      <c r="Q3578" s="3" t="n">
        <v>252</v>
      </c>
      <c r="R3578" s="3" t="inlineStr">
        <is>
          <t>지정되지않음</t>
        </is>
      </c>
      <c r="S3578" s="3" t="inlineStr">
        <is>
          <t>단독</t>
        </is>
      </c>
      <c r="T3578" s="3" t="inlineStr">
        <is>
          <t>평지</t>
        </is>
      </c>
      <c r="U3578" s="3" t="inlineStr">
        <is>
          <t>부정형</t>
        </is>
      </c>
      <c r="V3578" s="3" t="inlineStr">
        <is>
          <t>소로한면</t>
        </is>
      </c>
    </row>
    <row r="3579">
      <c r="A3579" s="3" t="inlineStr">
        <is>
          <t>세종특별자치시 연서면 기룡리 52-12</t>
        </is>
      </c>
      <c r="B3579" s="3" t="inlineStr">
        <is>
          <t>계획관리지역</t>
        </is>
      </c>
      <c r="C3579" s="3" t="inlineStr">
        <is>
          <t>양어장</t>
        </is>
      </c>
      <c r="D3579" s="3" t="inlineStr">
        <is>
          <t>양어장</t>
        </is>
      </c>
      <c r="E3579" s="3" t="inlineStr">
        <is>
          <t>매매</t>
        </is>
      </c>
      <c r="F3579" s="4" t="n">
        <v>79000</v>
      </c>
      <c r="G3579" s="4" t="n">
        <v>965</v>
      </c>
      <c r="H3579" s="4" t="n">
        <v>292</v>
      </c>
      <c r="I3579" s="5" t="n">
        <v>270.5</v>
      </c>
      <c r="J3579" s="4" t="n">
        <v>46.6</v>
      </c>
      <c r="K3579" s="3" t="inlineStr">
        <is>
          <t>연서면 기룡리 개발된 계획관리 토지, 양어장, 국가산단 인근, 건축 추천</t>
        </is>
      </c>
      <c r="L3579" s="6">
        <f>HYPERLINK("https://fin.land.naver.com/articles/2645609544", "매물Link")</f>
        <v/>
      </c>
      <c r="M3579" s="6">
        <f>HYPERLINK("https://map.naver.com/p/search/세종특별자치시 연서면 기룡리 52-12", "지도Link")</f>
        <v/>
      </c>
      <c r="N3579" s="6">
        <f>HYPERLINK("http://www.eum.go.kr/web/ar/lu/luLandDet.jsp?pnu=3611036028100520012&amp;isNoScr=script&amp;mode=search", "토지이음")</f>
        <v/>
      </c>
      <c r="O3579" s="3" t="inlineStr">
        <is>
          <t>스카이</t>
        </is>
      </c>
      <c r="P3579" s="3" t="n">
        <v>1</v>
      </c>
      <c r="Q3579" s="3" t="n">
        <v>417</v>
      </c>
      <c r="R3579" s="3" t="inlineStr">
        <is>
          <t>지정되지않음</t>
        </is>
      </c>
      <c r="S3579" s="3" t="inlineStr">
        <is>
          <t>전기타</t>
        </is>
      </c>
      <c r="T3579" s="3" t="inlineStr">
        <is>
          <t>평지</t>
        </is>
      </c>
      <c r="U3579" s="3" t="inlineStr">
        <is>
          <t>사다리형</t>
        </is>
      </c>
      <c r="V3579" s="3" t="inlineStr">
        <is>
          <t>소로한면</t>
        </is>
      </c>
    </row>
    <row r="3580">
      <c r="A3580" s="3" t="inlineStr">
        <is>
          <t>세종특별자치시 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HYPERLINK("https://map.naver.com/p/search/세종특별자치시 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세종특별자치시 연서면 기룡리 52-14</t>
        </is>
      </c>
      <c r="B3581" s="3" t="inlineStr">
        <is>
          <t>계획관리지역</t>
        </is>
      </c>
      <c r="C3581" s="3" t="inlineStr">
        <is>
          <t>양어장</t>
        </is>
      </c>
      <c r="D3581" s="3" t="inlineStr">
        <is>
          <t>양어장</t>
        </is>
      </c>
      <c r="E3581" s="3" t="inlineStr">
        <is>
          <t>매매</t>
        </is>
      </c>
      <c r="F3581" s="4" t="n">
        <v>39000</v>
      </c>
      <c r="G3581" s="4" t="n">
        <v>503</v>
      </c>
      <c r="H3581" s="4" t="n">
        <v>152</v>
      </c>
      <c r="I3581" s="5" t="n">
        <v>256.6</v>
      </c>
      <c r="J3581" s="4" t="n">
        <v>46.6</v>
      </c>
      <c r="K3581" s="3" t="inlineStr">
        <is>
          <t>계획관리지역 양어장</t>
        </is>
      </c>
      <c r="L3581" s="6">
        <f>HYPERLINK("https://fin.land.naver.com/articles/2645416710", "매물Link")</f>
        <v/>
      </c>
      <c r="M3581" s="6">
        <f>HYPERLINK("https://map.naver.com/p/search/세종특별자치시 연서면 기룡리 52-14", "지도Link")</f>
        <v/>
      </c>
      <c r="N3581" s="6">
        <f>HYPERLINK("http://www.eum.go.kr/web/ar/lu/luLandDet.jsp?pnu=3611036028100520014&amp;isNoScr=script&amp;mode=search", "토지이음")</f>
        <v/>
      </c>
      <c r="O3581" s="3" t="inlineStr">
        <is>
          <t>그래그</t>
        </is>
      </c>
      <c r="P3581" s="3" t="n">
        <v>1</v>
      </c>
      <c r="Q3581" s="3" t="n">
        <v>503</v>
      </c>
      <c r="R3581" s="3" t="inlineStr">
        <is>
          <t>지정되지않음</t>
        </is>
      </c>
      <c r="S3581" s="3" t="inlineStr">
        <is>
          <t>전기타</t>
        </is>
      </c>
      <c r="T3581" s="3" t="inlineStr">
        <is>
          <t>평지</t>
        </is>
      </c>
      <c r="U3581" s="3" t="inlineStr">
        <is>
          <t>가로장방</t>
        </is>
      </c>
      <c r="V3581" s="3" t="inlineStr">
        <is>
          <t>소로한면</t>
        </is>
      </c>
    </row>
    <row r="3582">
      <c r="A3582" s="3" t="inlineStr">
        <is>
          <t>세종특별자치시 연서면 기룡리 52-17</t>
        </is>
      </c>
      <c r="B3582" s="3" t="inlineStr">
        <is>
          <t>계획관리지역</t>
        </is>
      </c>
      <c r="C3582" s="3" t="inlineStr">
        <is>
          <t>양어장</t>
        </is>
      </c>
      <c r="D3582" s="3" t="inlineStr">
        <is>
          <t>양어장</t>
        </is>
      </c>
      <c r="E3582" s="3" t="inlineStr">
        <is>
          <t>매매</t>
        </is>
      </c>
      <c r="F3582" s="4" t="n">
        <v>21000</v>
      </c>
      <c r="G3582" s="4" t="n">
        <v>254</v>
      </c>
      <c r="H3582" s="4" t="n">
        <v>77</v>
      </c>
      <c r="I3582" s="5" t="n">
        <v>272.7</v>
      </c>
      <c r="J3582" s="4" t="n">
        <v>44.4</v>
      </c>
      <c r="K3582" s="3" t="inlineStr">
        <is>
          <t>급매 가격조정가능</t>
        </is>
      </c>
      <c r="L3582" s="6">
        <f>HYPERLINK("https://fin.land.naver.com/articles/2648261531", "매물Link")</f>
        <v/>
      </c>
      <c r="M3582" s="6">
        <f>HYPERLINK("https://map.naver.com/p/search/세종특별자치시 연서면 기룡리 52-17", "지도Link")</f>
        <v/>
      </c>
      <c r="N3582" s="6">
        <f>HYPERLINK("http://www.eum.go.kr/web/ar/lu/luLandDet.jsp?pnu=3611036028100520017&amp;isNoScr=script&amp;mode=search", "토지이음")</f>
        <v/>
      </c>
      <c r="O3582" s="3" t="inlineStr">
        <is>
          <t>그래그</t>
        </is>
      </c>
      <c r="P3582" s="3" t="n">
        <v>1</v>
      </c>
      <c r="Q3582" s="3" t="n">
        <v>254</v>
      </c>
      <c r="R3582" s="3" t="inlineStr">
        <is>
          <t>지정되지않음</t>
        </is>
      </c>
      <c r="S3582" s="3" t="inlineStr">
        <is>
          <t>전기타</t>
        </is>
      </c>
      <c r="T3582" s="3" t="inlineStr">
        <is>
          <t>평지</t>
        </is>
      </c>
      <c r="U3582" s="3" t="inlineStr">
        <is>
          <t>부정형</t>
        </is>
      </c>
      <c r="V3582" s="3" t="inlineStr">
        <is>
          <t>소로한면</t>
        </is>
      </c>
    </row>
    <row r="3583">
      <c r="A3583" s="3" t="inlineStr">
        <is>
          <t>세종특별자치시 연서면 기룡리 526-2</t>
        </is>
      </c>
      <c r="B3583" s="3" t="inlineStr">
        <is>
          <t>생산관리지역</t>
        </is>
      </c>
      <c r="C3583" s="3" t="inlineStr">
        <is>
          <t>답</t>
        </is>
      </c>
      <c r="D3583" s="3" t="inlineStr">
        <is>
          <t>답</t>
        </is>
      </c>
      <c r="E3583" s="3" t="inlineStr">
        <is>
          <t>매매</t>
        </is>
      </c>
      <c r="F3583" s="4" t="n">
        <v>20000</v>
      </c>
      <c r="G3583" s="4" t="n">
        <v>1486</v>
      </c>
      <c r="H3583" s="4" t="n">
        <v>450</v>
      </c>
      <c r="I3583" s="5" t="n">
        <v>44.4</v>
      </c>
      <c r="J3583" s="4" t="n">
        <v>28.9</v>
      </c>
      <c r="K3583" s="3" t="inlineStr">
        <is>
          <t>관리지역 토지가격조율가능</t>
        </is>
      </c>
      <c r="L3583" s="6">
        <f>HYPERLINK("https://fin.land.naver.com/articles/2646007805", "매물Link")</f>
        <v/>
      </c>
      <c r="M3583" s="6">
        <f>HYPERLINK("https://map.naver.com/p/search/세종특별자치시 연서면 기룡리 526-2", "지도Link")</f>
        <v/>
      </c>
      <c r="N3583" s="6">
        <f>HYPERLINK("http://www.eum.go.kr/web/ar/lu/luLandDet.jsp?pnu=3611036028105260002&amp;isNoScr=script&amp;mode=search", "토지이음")</f>
        <v/>
      </c>
      <c r="O3583" s="3" t="inlineStr">
        <is>
          <t>세종대박</t>
        </is>
      </c>
      <c r="P3583" s="3" t="n">
        <v>2</v>
      </c>
      <c r="Q3583" s="3" t="n">
        <v>1486</v>
      </c>
      <c r="R3583" s="3" t="inlineStr">
        <is>
          <t>지정되지않음</t>
        </is>
      </c>
      <c r="S3583" s="3" t="inlineStr">
        <is>
          <t>전</t>
        </is>
      </c>
      <c r="T3583" s="3" t="inlineStr">
        <is>
          <t>완경사</t>
        </is>
      </c>
      <c r="U3583" s="3" t="inlineStr">
        <is>
          <t>부정형</t>
        </is>
      </c>
      <c r="V3583" s="3" t="inlineStr">
        <is>
          <t>세로한면(가)</t>
        </is>
      </c>
    </row>
    <row r="3584">
      <c r="A3584" s="3" t="inlineStr">
        <is>
          <t>세종특별자치시 연서면 기룡리 599</t>
        </is>
      </c>
      <c r="B3584" s="3" t="inlineStr">
        <is>
          <t>생산관리지역</t>
        </is>
      </c>
      <c r="C3584" s="3" t="inlineStr">
        <is>
          <t>전</t>
        </is>
      </c>
      <c r="D3584" s="3" t="inlineStr">
        <is>
          <t>전</t>
        </is>
      </c>
      <c r="E3584" s="3" t="inlineStr">
        <is>
          <t>매매</t>
        </is>
      </c>
      <c r="F3584" s="4" t="n">
        <v>30000</v>
      </c>
      <c r="G3584" s="4" t="n">
        <v>1246</v>
      </c>
      <c r="H3584" s="4" t="n">
        <v>377</v>
      </c>
      <c r="I3584" s="5" t="n">
        <v>79.59999999999999</v>
      </c>
      <c r="J3584" s="4" t="n">
        <v>31.2</v>
      </c>
      <c r="K3584" s="3" t="inlineStr">
        <is>
          <t>대전 보건전문대 부지 근거리위치 투자가치좋음</t>
        </is>
      </c>
      <c r="L3584" s="6">
        <f>HYPERLINK("https://fin.land.naver.com/articles/2646003750", "매물Link")</f>
        <v/>
      </c>
      <c r="M3584" s="6">
        <f>HYPERLINK("https://map.naver.com/p/search/세종특별자치시 연서면 기룡리 599", "지도Link")</f>
        <v/>
      </c>
      <c r="N3584" s="6">
        <f>HYPERLINK("http://www.eum.go.kr/web/ar/lu/luLandDet.jsp?pnu=3611036028105990000&amp;isNoScr=script&amp;mode=search", "토지이음")</f>
        <v/>
      </c>
      <c r="O3584" s="3" t="inlineStr">
        <is>
          <t>대박</t>
        </is>
      </c>
      <c r="P3584" s="3" t="n">
        <v>1</v>
      </c>
      <c r="Q3584" s="3" t="n">
        <v>1246</v>
      </c>
      <c r="R3584" s="3" t="inlineStr">
        <is>
          <t>지정되지않음</t>
        </is>
      </c>
      <c r="S3584" s="3" t="inlineStr">
        <is>
          <t>전</t>
        </is>
      </c>
      <c r="T3584" s="3" t="inlineStr">
        <is>
          <t>완경사</t>
        </is>
      </c>
      <c r="U3584" s="3" t="inlineStr">
        <is>
          <t>부정형</t>
        </is>
      </c>
      <c r="V3584" s="3" t="inlineStr">
        <is>
          <t>세로한면(가)</t>
        </is>
      </c>
    </row>
    <row r="3585">
      <c r="A3585" s="3" t="inlineStr">
        <is>
          <t>세종특별자치시 연서면 기룡리 609-1</t>
        </is>
      </c>
      <c r="B3585" s="3" t="inlineStr">
        <is>
          <t>생산관리지역</t>
        </is>
      </c>
      <c r="C3585" s="3" t="inlineStr">
        <is>
          <t>과수원</t>
        </is>
      </c>
      <c r="D3585" s="3" t="inlineStr">
        <is>
          <t>과수원</t>
        </is>
      </c>
      <c r="E3585" s="3" t="inlineStr">
        <is>
          <t>매매</t>
        </is>
      </c>
      <c r="F3585" s="4" t="n">
        <v>49000</v>
      </c>
      <c r="G3585" s="4" t="n">
        <v>1808</v>
      </c>
      <c r="H3585" s="4" t="n">
        <v>547</v>
      </c>
      <c r="I3585" s="5" t="n">
        <v>89.59999999999999</v>
      </c>
      <c r="J3585" s="4" t="n">
        <v>31.2</v>
      </c>
      <c r="K3585" s="3" t="inlineStr">
        <is>
          <t>기룡리 전망 좋고 공기 맑은 세컨하우스나 주말쉼터로 투자추천.</t>
        </is>
      </c>
      <c r="L3585" s="6">
        <f>HYPERLINK("https://fin.land.naver.com/articles/2649342597", "매물Link")</f>
        <v/>
      </c>
      <c r="M3585" s="6">
        <f>HYPERLINK("https://map.naver.com/p/search/세종특별자치시 연서면 기룡리 609-1", "지도Link")</f>
        <v/>
      </c>
      <c r="N3585" s="6">
        <f>HYPERLINK("http://www.eum.go.kr/web/ar/lu/luLandDet.jsp?pnu=3611036028106090001&amp;isNoScr=script&amp;mode=search", "토지이음")</f>
        <v/>
      </c>
      <c r="O3585" s="3" t="inlineStr">
        <is>
          <t>세종대장</t>
        </is>
      </c>
      <c r="P3585" s="3" t="n">
        <v>2</v>
      </c>
      <c r="Q3585" s="3" t="n">
        <v>1808</v>
      </c>
      <c r="R3585" s="3" t="inlineStr">
        <is>
          <t>지정되지않음</t>
        </is>
      </c>
      <c r="S3585" s="3" t="inlineStr">
        <is>
          <t>과수원</t>
        </is>
      </c>
      <c r="T3585" s="3" t="inlineStr">
        <is>
          <t>완경사</t>
        </is>
      </c>
      <c r="U3585" s="3" t="inlineStr">
        <is>
          <t>부정형</t>
        </is>
      </c>
      <c r="V3585" s="3" t="inlineStr">
        <is>
          <t>세로한면(가)</t>
        </is>
      </c>
    </row>
    <row r="3586">
      <c r="A3586" s="3" t="inlineStr">
        <is>
          <t>세종특별자치시 연서면 기룡리 651-5</t>
        </is>
      </c>
      <c r="B3586" s="3" t="inlineStr">
        <is>
          <t>계획관리지역</t>
        </is>
      </c>
      <c r="C3586" s="3" t="inlineStr">
        <is>
          <t>대</t>
        </is>
      </c>
      <c r="D3586" s="3" t="inlineStr">
        <is>
          <t>대</t>
        </is>
      </c>
      <c r="E3586" s="3" t="inlineStr">
        <is>
          <t>매매</t>
        </is>
      </c>
      <c r="F3586" s="4" t="n">
        <v>19500</v>
      </c>
      <c r="G3586" s="4" t="n">
        <v>482</v>
      </c>
      <c r="H3586" s="4" t="n">
        <v>146</v>
      </c>
      <c r="I3586" s="5" t="n">
        <v>133.6</v>
      </c>
      <c r="J3586" s="4" t="n">
        <v>66.7</v>
      </c>
      <c r="K3586" s="3" t="inlineStr">
        <is>
          <t>연서면 기룡리 토지 계획관리지역 전원주택등</t>
        </is>
      </c>
      <c r="L3586" s="6">
        <f>HYPERLINK("https://fin.land.naver.com/articles/2645841572", "매물Link")</f>
        <v/>
      </c>
      <c r="M3586" s="6">
        <f>HYPERLINK("https://map.naver.com/p/search/세종특별자치시 연서면 기룡리 651-5", "지도Link")</f>
        <v/>
      </c>
      <c r="N3586" s="6">
        <f>HYPERLINK("http://www.eum.go.kr/web/ar/lu/luLandDet.jsp?pnu=3611036028106510005&amp;isNoScr=script&amp;mode=search", "토지이음")</f>
        <v/>
      </c>
      <c r="O3586" s="3" t="inlineStr">
        <is>
          <t>반석원무소</t>
        </is>
      </c>
      <c r="P3586" s="3" t="n">
        <v>1</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세종특별자치시 연서면 기룡리 651-5</t>
        </is>
      </c>
      <c r="B3587" s="3" t="inlineStr">
        <is>
          <t>계획관리지역</t>
        </is>
      </c>
      <c r="C3587" s="3" t="inlineStr">
        <is>
          <t>대</t>
        </is>
      </c>
      <c r="D3587" s="3" t="inlineStr">
        <is>
          <t>대</t>
        </is>
      </c>
      <c r="E3587" s="3" t="inlineStr">
        <is>
          <t>매매</t>
        </is>
      </c>
      <c r="F3587" s="4" t="n">
        <v>19500</v>
      </c>
      <c r="G3587" s="4" t="n">
        <v>483</v>
      </c>
      <c r="H3587" s="4" t="n">
        <v>146</v>
      </c>
      <c r="I3587" s="5" t="n">
        <v>133.6</v>
      </c>
      <c r="J3587" s="4" t="n">
        <v>66.7</v>
      </c>
      <c r="K3587" s="3" t="inlineStr">
        <is>
          <t>급매매 계획관리 도로접 건축가능 세종 연서 기룡리</t>
        </is>
      </c>
      <c r="L3587" s="6">
        <f>HYPERLINK("https://fin.land.naver.com/articles/2649923225", "매물Link")</f>
        <v/>
      </c>
      <c r="M3587" s="6">
        <f>HYPERLINK("https://map.naver.com/p/search/세종특별자치시 연서면 기룡리 651-5", "지도Link")</f>
        <v/>
      </c>
      <c r="N3587" s="6">
        <f>HYPERLINK("http://www.eum.go.kr/web/ar/lu/luLandDet.jsp?pnu=3611036028106510005&amp;isNoScr=script&amp;mode=search", "토지이음")</f>
        <v/>
      </c>
      <c r="O3587" s="3" t="inlineStr">
        <is>
          <t>명장</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세종특별자치시 연서면 기룡리 651-5</t>
        </is>
      </c>
      <c r="B3588" s="3" t="inlineStr">
        <is>
          <t>계획관리지역</t>
        </is>
      </c>
      <c r="C3588" s="3" t="inlineStr">
        <is>
          <t>대</t>
        </is>
      </c>
      <c r="D3588" s="3" t="inlineStr">
        <is>
          <t>대</t>
        </is>
      </c>
      <c r="E3588" s="3" t="inlineStr">
        <is>
          <t>매매</t>
        </is>
      </c>
      <c r="F3588" s="4" t="n">
        <v>19500</v>
      </c>
      <c r="G3588" s="4" t="n">
        <v>483</v>
      </c>
      <c r="H3588" s="4" t="n">
        <v>146</v>
      </c>
      <c r="I3588" s="5" t="n">
        <v>133.6</v>
      </c>
      <c r="J3588" s="4" t="n">
        <v>66.7</v>
      </c>
      <c r="K3588" s="3" t="inlineStr">
        <is>
          <t>nan</t>
        </is>
      </c>
      <c r="L3588" s="6">
        <f>HYPERLINK("https://fin.land.naver.com/articles/2649561507", "매물Link")</f>
        <v/>
      </c>
      <c r="M3588" s="6">
        <f>HYPERLINK("https://map.naver.com/p/search/세종특별자치시 연서면 기룡리 651-5", "지도Link")</f>
        <v/>
      </c>
      <c r="N3588" s="6">
        <f>HYPERLINK("http://www.eum.go.kr/web/ar/lu/luLandDet.jsp?pnu=3611036028106510005&amp;isNoScr=script&amp;mode=search", "토지이음")</f>
        <v/>
      </c>
      <c r="O3588" s="3" t="inlineStr">
        <is>
          <t>조아</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세종특별자치시 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급매물 마을앞 코너각지 도로접한 대지와 전매매</t>
        </is>
      </c>
      <c r="L3589" s="6">
        <f>HYPERLINK("https://fin.land.naver.com/articles/2650172378", "매물Link")</f>
        <v/>
      </c>
      <c r="M3589" s="6">
        <f>HYPERLINK("https://map.naver.com/p/search/세종특별자치시 연서면 기룡리 651-5", "지도Link")</f>
        <v/>
      </c>
      <c r="N3589" s="6">
        <f>HYPERLINK("http://www.eum.go.kr/web/ar/lu/luLandDet.jsp?pnu=3611036028106510005&amp;isNoScr=script&amp;mode=search", "토지이음")</f>
        <v/>
      </c>
      <c r="O3589" s="3" t="inlineStr">
        <is>
          <t>제이파크</t>
        </is>
      </c>
      <c r="P3589" s="3" t="n">
        <v>3</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세종특별자치시 연서면 기룡리 651-5</t>
        </is>
      </c>
      <c r="B3590" s="3" t="inlineStr">
        <is>
          <t>계획관리지역</t>
        </is>
      </c>
      <c r="C3590" s="3" t="inlineStr">
        <is>
          <t>대</t>
        </is>
      </c>
      <c r="D3590" s="3" t="inlineStr">
        <is>
          <t>대</t>
        </is>
      </c>
      <c r="E3590" s="3" t="inlineStr">
        <is>
          <t>매매</t>
        </is>
      </c>
      <c r="F3590" s="4" t="n">
        <v>25000</v>
      </c>
      <c r="G3590" s="4" t="n">
        <v>483</v>
      </c>
      <c r="H3590" s="4" t="n">
        <v>146</v>
      </c>
      <c r="I3590" s="5" t="n">
        <v>171.2</v>
      </c>
      <c r="J3590" s="4" t="n">
        <v>66.7</v>
      </c>
      <c r="K3590" s="3" t="inlineStr">
        <is>
          <t>nan</t>
        </is>
      </c>
      <c r="L3590" s="6">
        <f>HYPERLINK("https://fin.land.naver.com/articles/2647144520", "매물Link")</f>
        <v/>
      </c>
      <c r="M3590" s="6">
        <f>HYPERLINK("https://map.naver.com/p/search/세종특별자치시 연서면 기룡리 651-5", "지도Link")</f>
        <v/>
      </c>
      <c r="N3590" s="6">
        <f>HYPERLINK("http://www.eum.go.kr/web/ar/lu/luLandDet.jsp?pnu=3611036028106510005&amp;isNoScr=script&amp;mode=search", "토지이음")</f>
        <v/>
      </c>
      <c r="O3590" s="3" t="inlineStr">
        <is>
          <t>문은진</t>
        </is>
      </c>
      <c r="P3590" s="3" t="n">
        <v>1</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세종특별자치시 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전망좋은 전원택지및 다용도,투자적지</t>
        </is>
      </c>
      <c r="L3591" s="6">
        <f>HYPERLINK("https://fin.land.naver.com/articles/2649946421", "매물Link")</f>
        <v/>
      </c>
      <c r="M3591" s="6">
        <f>HYPERLINK("https://map.naver.com/p/search/세종특별자치시 연서면 기룡리 651-5", "지도Link")</f>
        <v/>
      </c>
      <c r="N3591" s="6">
        <f>HYPERLINK("http://www.eum.go.kr/web/ar/lu/luLandDet.jsp?pnu=3611036028106510005&amp;isNoScr=script&amp;mode=search", "토지이음")</f>
        <v/>
      </c>
      <c r="O3591" s="3" t="inlineStr">
        <is>
          <t>행복가득한</t>
        </is>
      </c>
      <c r="P3591" s="3" t="n">
        <v>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세종특별자치시 연서면 기룡리 651-5</t>
        </is>
      </c>
      <c r="B3592" s="3" t="inlineStr">
        <is>
          <t>계획관리지역</t>
        </is>
      </c>
      <c r="C3592" s="3" t="inlineStr">
        <is>
          <t>대</t>
        </is>
      </c>
      <c r="D3592" s="3" t="inlineStr">
        <is>
          <t>대</t>
        </is>
      </c>
      <c r="E3592" s="3" t="inlineStr">
        <is>
          <t>매매</t>
        </is>
      </c>
      <c r="F3592" s="4" t="n">
        <v>19500</v>
      </c>
      <c r="G3592" s="4" t="n">
        <v>483</v>
      </c>
      <c r="H3592" s="4" t="n">
        <v>146</v>
      </c>
      <c r="I3592" s="5" t="n">
        <v>133.6</v>
      </c>
      <c r="J3592" s="4" t="n">
        <v>66.7</v>
      </c>
      <c r="K3592" s="3" t="inlineStr">
        <is>
          <t>연서면 기룡리 나대지와 작은 텃밭 토지</t>
        </is>
      </c>
      <c r="L3592" s="6">
        <f>HYPERLINK("https://fin.land.naver.com/articles/2649001106", "매물Link")</f>
        <v/>
      </c>
      <c r="M3592" s="6">
        <f>HYPERLINK("https://map.naver.com/p/search/세종특별자치시 연서면 기룡리 651-5", "지도Link")</f>
        <v/>
      </c>
      <c r="N3592" s="6">
        <f>HYPERLINK("http://www.eum.go.kr/web/ar/lu/luLandDet.jsp?pnu=3611036028106510005&amp;isNoScr=script&amp;mode=search", "토지이음")</f>
        <v/>
      </c>
      <c r="O3592" s="3" t="inlineStr">
        <is>
          <t>지성</t>
        </is>
      </c>
      <c r="P3592" s="3" t="n">
        <v>11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세종특별자치시 연서면 기룡리 651-5</t>
        </is>
      </c>
      <c r="B3593" s="3" t="inlineStr">
        <is>
          <t>계획관리지역</t>
        </is>
      </c>
      <c r="C3593" s="3" t="inlineStr">
        <is>
          <t>대</t>
        </is>
      </c>
      <c r="D3593" s="3" t="inlineStr">
        <is>
          <t>대</t>
        </is>
      </c>
      <c r="E3593" s="3" t="inlineStr">
        <is>
          <t>매매</t>
        </is>
      </c>
      <c r="F3593" s="4" t="n">
        <v>22000</v>
      </c>
      <c r="G3593" s="4" t="n">
        <v>483</v>
      </c>
      <c r="H3593" s="4" t="n">
        <v>146</v>
      </c>
      <c r="I3593" s="5" t="n">
        <v>150.7</v>
      </c>
      <c r="J3593" s="4" t="n">
        <v>66.7</v>
      </c>
      <c r="K3593" s="3" t="inlineStr">
        <is>
          <t>급매 세종스마트산단인근  지가상승지역 전원주택 세컨하우스 추천</t>
        </is>
      </c>
      <c r="L3593" s="6">
        <f>HYPERLINK("https://fin.land.naver.com/articles/2649319892", "매물Link")</f>
        <v/>
      </c>
      <c r="M3593" s="6">
        <f>HYPERLINK("https://map.naver.com/p/search/세종특별자치시 연서면 기룡리 651-5", "지도Link")</f>
        <v/>
      </c>
      <c r="N3593" s="6">
        <f>HYPERLINK("http://www.eum.go.kr/web/ar/lu/luLandDet.jsp?pnu=3611036028106510005&amp;isNoScr=script&amp;mode=search", "토지이음")</f>
        <v/>
      </c>
      <c r="O3593" s="3" t="inlineStr">
        <is>
          <t>더원</t>
        </is>
      </c>
      <c r="P3593" s="3" t="n">
        <v>4</v>
      </c>
      <c r="Q3593" s="3" t="n">
        <v>364</v>
      </c>
      <c r="R3593" s="3" t="inlineStr">
        <is>
          <t>지정되지않음</t>
        </is>
      </c>
      <c r="S3593" s="3" t="inlineStr">
        <is>
          <t>단독</t>
        </is>
      </c>
      <c r="T3593" s="3" t="inlineStr">
        <is>
          <t>평지</t>
        </is>
      </c>
      <c r="U3593" s="3" t="inlineStr">
        <is>
          <t>부정형</t>
        </is>
      </c>
      <c r="V3593" s="3" t="inlineStr">
        <is>
          <t>세로한면(가)</t>
        </is>
      </c>
    </row>
    <row r="3594">
      <c r="A3594" s="3" t="inlineStr">
        <is>
          <t>세종특별자치시 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작은 텃밭 건축가능한 대지</t>
        </is>
      </c>
      <c r="L3594" s="6">
        <f>HYPERLINK("https://fin.land.naver.com/articles/2644342318", "매물Link")</f>
        <v/>
      </c>
      <c r="M3594" s="6">
        <f>HYPERLINK("https://map.naver.com/p/search/세종특별자치시 연서면 기룡리 662-1", "지도Link")</f>
        <v/>
      </c>
      <c r="N3594" s="6">
        <f>HYPERLINK("http://www.eum.go.kr/web/ar/lu/luLandDet.jsp?pnu=3611036028106620001&amp;isNoScr=script&amp;mode=search", "토지이음")</f>
        <v/>
      </c>
      <c r="O3594" s="3" t="inlineStr">
        <is>
          <t>지성</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세종특별자치시 연서면 기룡리 662-1</t>
        </is>
      </c>
      <c r="B3595" s="3" t="inlineStr">
        <is>
          <t>계획관리지역</t>
        </is>
      </c>
      <c r="C3595" s="3" t="inlineStr">
        <is>
          <t>대</t>
        </is>
      </c>
      <c r="D3595" s="3" t="inlineStr">
        <is>
          <t>대</t>
        </is>
      </c>
      <c r="E3595" s="3" t="inlineStr">
        <is>
          <t>매매</t>
        </is>
      </c>
      <c r="F3595" s="4" t="n">
        <v>29000</v>
      </c>
      <c r="G3595" s="4" t="n">
        <v>631</v>
      </c>
      <c r="H3595" s="4" t="n">
        <v>191</v>
      </c>
      <c r="I3595" s="5" t="n">
        <v>151.8</v>
      </c>
      <c r="J3595" s="4" t="n">
        <v>66.7</v>
      </c>
      <c r="K3595" s="3" t="inlineStr">
        <is>
          <t>급매,투자추천,나대지</t>
        </is>
      </c>
      <c r="L3595" s="6">
        <f>HYPERLINK("https://fin.land.naver.com/articles/2648731146", "매물Link")</f>
        <v/>
      </c>
      <c r="M3595" s="6">
        <f>HYPERLINK("https://map.naver.com/p/search/세종특별자치시 연서면 기룡리 662-1", "지도Link")</f>
        <v/>
      </c>
      <c r="N3595" s="6">
        <f>HYPERLINK("http://www.eum.go.kr/web/ar/lu/luLandDet.jsp?pnu=3611036028106620001&amp;isNoScr=script&amp;mode=search", "토지이음")</f>
        <v/>
      </c>
      <c r="O3595" s="3" t="inlineStr">
        <is>
          <t>다산</t>
        </is>
      </c>
      <c r="P3595" s="3" t="n">
        <v>1</v>
      </c>
      <c r="Q3595" s="3" t="n">
        <v>631</v>
      </c>
      <c r="R3595" s="3" t="inlineStr">
        <is>
          <t>지정되지않음</t>
        </is>
      </c>
      <c r="S3595" s="3" t="inlineStr">
        <is>
          <t>단독</t>
        </is>
      </c>
      <c r="T3595" s="3" t="inlineStr">
        <is>
          <t>평지</t>
        </is>
      </c>
      <c r="U3595" s="3" t="inlineStr">
        <is>
          <t>부정형</t>
        </is>
      </c>
      <c r="V3595" s="3" t="inlineStr">
        <is>
          <t>세로한면(가)</t>
        </is>
      </c>
    </row>
    <row r="3596">
      <c r="A3596" s="3" t="inlineStr">
        <is>
          <t>세종특별자치시 연서면 기룡리 692-1</t>
        </is>
      </c>
      <c r="B3596" s="3" t="inlineStr">
        <is>
          <t>생산관리지역</t>
        </is>
      </c>
      <c r="C3596" s="3" t="inlineStr">
        <is>
          <t>전</t>
        </is>
      </c>
      <c r="D3596" s="3" t="inlineStr">
        <is>
          <t>전</t>
        </is>
      </c>
      <c r="E3596" s="3" t="inlineStr">
        <is>
          <t>매매</t>
        </is>
      </c>
      <c r="F3596" s="4" t="n">
        <v>13000</v>
      </c>
      <c r="G3596" s="4" t="n">
        <v>506</v>
      </c>
      <c r="H3596" s="4" t="n">
        <v>153</v>
      </c>
      <c r="I3596" s="5" t="n">
        <v>85</v>
      </c>
      <c r="J3596" s="4" t="n">
        <v>32.1</v>
      </c>
      <c r="K3596" s="3" t="inlineStr">
        <is>
          <t>급매, 협의,절충, 도로접, 성장관리계획구역 지목이전으로 입지,인프라 굿</t>
        </is>
      </c>
      <c r="L3596" s="6">
        <f>HYPERLINK("https://fin.land.naver.com/articles/2649747414", "매물Link")</f>
        <v/>
      </c>
      <c r="M3596" s="6">
        <f>HYPERLINK("https://map.naver.com/p/search/세종특별자치시 연서면 기룡리 692-1", "지도Link")</f>
        <v/>
      </c>
      <c r="N3596" s="6">
        <f>HYPERLINK("http://www.eum.go.kr/web/ar/lu/luLandDet.jsp?pnu=3611036028106920001&amp;isNoScr=script&amp;mode=search", "토지이음")</f>
        <v/>
      </c>
      <c r="O3596" s="3" t="inlineStr">
        <is>
          <t>세종한울</t>
        </is>
      </c>
      <c r="P3596" s="3" t="n">
        <v>1</v>
      </c>
      <c r="Q3596" s="3" t="n">
        <v>506</v>
      </c>
      <c r="R3596" s="3" t="inlineStr">
        <is>
          <t>지정되지않음</t>
        </is>
      </c>
      <c r="S3596" s="3" t="inlineStr">
        <is>
          <t>전</t>
        </is>
      </c>
      <c r="T3596" s="3" t="inlineStr">
        <is>
          <t>완경사</t>
        </is>
      </c>
      <c r="U3596" s="3" t="inlineStr">
        <is>
          <t>부정형</t>
        </is>
      </c>
      <c r="V3596" s="3" t="inlineStr">
        <is>
          <t>세로한면(가)</t>
        </is>
      </c>
    </row>
    <row r="3597">
      <c r="A3597" s="3" t="inlineStr">
        <is>
          <t>세종특별자치시 연서면 기룡리 693-5</t>
        </is>
      </c>
      <c r="B3597" s="3" t="inlineStr">
        <is>
          <t>농림지역</t>
        </is>
      </c>
      <c r="C3597" s="3" t="inlineStr">
        <is>
          <t>전</t>
        </is>
      </c>
      <c r="D3597" s="3" t="inlineStr">
        <is>
          <t>전</t>
        </is>
      </c>
      <c r="E3597" s="3" t="inlineStr">
        <is>
          <t>매매</t>
        </is>
      </c>
      <c r="F3597" s="4" t="n">
        <v>30000</v>
      </c>
      <c r="G3597" s="4" t="n">
        <v>1253</v>
      </c>
      <c r="H3597" s="4" t="n">
        <v>379</v>
      </c>
      <c r="I3597" s="5" t="n">
        <v>79.2</v>
      </c>
      <c r="J3597" s="4" t="n">
        <v>15.6</v>
      </c>
      <c r="K3597" s="3" t="inlineStr">
        <is>
          <t>급매, 협의,절충, 도로접, 전, 농림지역으로 입지, 인프라 굿</t>
        </is>
      </c>
      <c r="L3597" s="6">
        <f>HYPERLINK("https://fin.land.naver.com/articles/2649748210", "매물Link")</f>
        <v/>
      </c>
      <c r="M3597" s="6">
        <f>HYPERLINK("https://map.naver.com/p/search/세종특별자치시 연서면 기룡리 693-5", "지도Link")</f>
        <v/>
      </c>
      <c r="N3597" s="6">
        <f>HYPERLINK("http://www.eum.go.kr/web/ar/lu/luLandDet.jsp?pnu=3611036028106930005&amp;isNoScr=script&amp;mode=search", "토지이음")</f>
        <v/>
      </c>
      <c r="O3597" s="3" t="inlineStr">
        <is>
          <t>세종한울</t>
        </is>
      </c>
      <c r="P3597" s="3" t="n">
        <v>1</v>
      </c>
      <c r="Q3597" s="3" t="n">
        <v>1253</v>
      </c>
      <c r="R3597" s="3" t="inlineStr">
        <is>
          <t>지정되지않음</t>
        </is>
      </c>
      <c r="S3597" s="3" t="inlineStr">
        <is>
          <t>전</t>
        </is>
      </c>
      <c r="T3597" s="3" t="inlineStr">
        <is>
          <t>완경사</t>
        </is>
      </c>
      <c r="U3597" s="3" t="inlineStr">
        <is>
          <t>부정형</t>
        </is>
      </c>
      <c r="V3597" s="3" t="inlineStr">
        <is>
          <t>세로한면(불)</t>
        </is>
      </c>
    </row>
    <row r="3598">
      <c r="A3598" s="3" t="inlineStr">
        <is>
          <t>세종특별자치시 연서면 기룡리 91-2</t>
        </is>
      </c>
      <c r="B3598" s="3" t="inlineStr">
        <is>
          <t>생산관리지역</t>
        </is>
      </c>
      <c r="C3598" s="3" t="inlineStr">
        <is>
          <t>전</t>
        </is>
      </c>
      <c r="D3598" s="3" t="inlineStr">
        <is>
          <t>전</t>
        </is>
      </c>
      <c r="E3598" s="3" t="inlineStr">
        <is>
          <t>매매</t>
        </is>
      </c>
      <c r="F3598" s="4" t="n">
        <v>62000</v>
      </c>
      <c r="G3598" s="4" t="n">
        <v>2621</v>
      </c>
      <c r="H3598" s="4" t="n">
        <v>793</v>
      </c>
      <c r="I3598" s="5" t="n">
        <v>78.2</v>
      </c>
      <c r="J3598" s="4" t="n">
        <v>32.1</v>
      </c>
      <c r="K3598" s="3" t="inlineStr">
        <is>
          <t>3.3m2당 82만원입니다.</t>
        </is>
      </c>
      <c r="L3598" s="6">
        <f>HYPERLINK("https://fin.land.naver.com/articles/2648760077", "매물Link")</f>
        <v/>
      </c>
      <c r="M3598" s="6">
        <f>HYPERLINK("https://map.naver.com/p/search/세종특별자치시 연서면 기룡리 91-2", "지도Link")</f>
        <v/>
      </c>
      <c r="N3598" s="6">
        <f>HYPERLINK("http://www.eum.go.kr/web/ar/lu/luLandDet.jsp?pnu=3611036028100910002&amp;isNoScr=script&amp;mode=search", "토지이음")</f>
        <v/>
      </c>
      <c r="O3598" s="3" t="inlineStr">
        <is>
          <t>하늘</t>
        </is>
      </c>
      <c r="P3598" s="3" t="n">
        <v>1</v>
      </c>
      <c r="Q3598" s="3" t="n">
        <v>2621</v>
      </c>
      <c r="R3598" s="3" t="inlineStr">
        <is>
          <t>지정되지않음</t>
        </is>
      </c>
      <c r="S3598" s="3" t="inlineStr">
        <is>
          <t>과수원</t>
        </is>
      </c>
      <c r="T3598" s="3" t="inlineStr">
        <is>
          <t>평지</t>
        </is>
      </c>
      <c r="U3598" s="3" t="inlineStr">
        <is>
          <t>부정형</t>
        </is>
      </c>
      <c r="V3598" s="3" t="inlineStr">
        <is>
          <t>세로한면(불)</t>
        </is>
      </c>
    </row>
    <row r="3599">
      <c r="A3599" s="3" t="inlineStr">
        <is>
          <t>세종특별자치시 연서면 기룡리 산126</t>
        </is>
      </c>
      <c r="B3599" s="3" t="inlineStr">
        <is>
          <t>농림지역</t>
        </is>
      </c>
      <c r="C3599" s="3" t="inlineStr">
        <is>
          <t>임야</t>
        </is>
      </c>
      <c r="D3599" s="3" t="inlineStr">
        <is>
          <t>임야</t>
        </is>
      </c>
      <c r="E3599" s="3" t="inlineStr">
        <is>
          <t>매매</t>
        </is>
      </c>
      <c r="F3599" s="4" t="n">
        <v>674000</v>
      </c>
      <c r="G3599" s="4" t="n">
        <v>302777</v>
      </c>
      <c r="H3599" s="4" t="n">
        <v>91590</v>
      </c>
      <c r="I3599" s="5" t="n">
        <v>7.4</v>
      </c>
      <c r="J3599" s="4" t="n">
        <v>1.7</v>
      </c>
      <c r="K3599" s="3" t="inlineStr">
        <is>
          <t>연서면 기룡리 농림지역 대형 임야 매매, 국가산업단지, 용암JC 인근</t>
        </is>
      </c>
      <c r="L3599" s="6">
        <f>HYPERLINK("https://fin.land.naver.com/articles/2647363239", "매물Link")</f>
        <v/>
      </c>
      <c r="M3599" s="6">
        <f>HYPERLINK("https://map.naver.com/p/search/세종특별자치시 연서면 기룡리 산126", "지도Link")</f>
        <v/>
      </c>
      <c r="N3599" s="6">
        <f>HYPERLINK("http://www.eum.go.kr/web/ar/lu/luLandDet.jsp?pnu=3611036028201260000&amp;isNoScr=script&amp;mode=search", "토지이음")</f>
        <v/>
      </c>
      <c r="O3599" s="3" t="inlineStr">
        <is>
          <t>스카이</t>
        </is>
      </c>
      <c r="P3599" s="3" t="n">
        <v>2</v>
      </c>
      <c r="Q3599" s="3" t="n">
        <v>302777</v>
      </c>
      <c r="R3599" s="3" t="inlineStr">
        <is>
          <t>보전관리지역</t>
        </is>
      </c>
      <c r="S3599" s="3" t="inlineStr">
        <is>
          <t>자연림</t>
        </is>
      </c>
      <c r="T3599" s="3" t="inlineStr">
        <is>
          <t>급경사</t>
        </is>
      </c>
      <c r="U3599" s="3" t="inlineStr">
        <is>
          <t>부정형</t>
        </is>
      </c>
      <c r="V3599" s="3" t="inlineStr">
        <is>
          <t>세로한면(불)</t>
        </is>
      </c>
    </row>
    <row r="3600">
      <c r="A3600" s="3" t="inlineStr">
        <is>
          <t>세종특별자치시 연서면 기룡리 산154-1</t>
        </is>
      </c>
      <c r="B3600" s="3" t="inlineStr">
        <is>
          <t>농림지역</t>
        </is>
      </c>
      <c r="C3600" s="3" t="inlineStr">
        <is>
          <t>임야</t>
        </is>
      </c>
      <c r="D3600" s="3" t="inlineStr">
        <is>
          <t>임야</t>
        </is>
      </c>
      <c r="E3600" s="3" t="inlineStr">
        <is>
          <t>매매</t>
        </is>
      </c>
      <c r="F3600" s="4" t="n">
        <v>340000</v>
      </c>
      <c r="G3600" s="4" t="n">
        <v>72545</v>
      </c>
      <c r="H3600" s="4" t="n">
        <v>21945</v>
      </c>
      <c r="I3600" s="5" t="n">
        <v>15.5</v>
      </c>
      <c r="J3600" s="4" t="n">
        <v>1.8</v>
      </c>
      <c r="K3600" s="3" t="inlineStr">
        <is>
          <t>nan</t>
        </is>
      </c>
      <c r="L3600" s="6">
        <f>HYPERLINK("https://fin.land.naver.com/articles/2647129054", "매물Link")</f>
        <v/>
      </c>
      <c r="M3600" s="6">
        <f>HYPERLINK("https://map.naver.com/p/search/세종특별자치시 연서면 기룡리 산154-1", "지도Link")</f>
        <v/>
      </c>
      <c r="N3600" s="6">
        <f>HYPERLINK("http://www.eum.go.kr/web/ar/lu/luLandDet.jsp?pnu=3611036028201540001&amp;isNoScr=script&amp;mode=search", "토지이음")</f>
        <v/>
      </c>
      <c r="O3600" s="3" t="inlineStr">
        <is>
          <t>다온</t>
        </is>
      </c>
      <c r="P3600" s="3" t="n">
        <v>1</v>
      </c>
      <c r="Q3600" s="3" t="n">
        <v>27296</v>
      </c>
      <c r="R3600" s="3" t="inlineStr">
        <is>
          <t>보전관리지역</t>
        </is>
      </c>
      <c r="S3600" s="3" t="inlineStr">
        <is>
          <t>자연림</t>
        </is>
      </c>
      <c r="T3600" s="3" t="inlineStr">
        <is>
          <t>급경사</t>
        </is>
      </c>
      <c r="U3600" s="3" t="inlineStr">
        <is>
          <t>부정형</t>
        </is>
      </c>
      <c r="V3600" s="3" t="inlineStr">
        <is>
          <t>맹지</t>
        </is>
      </c>
    </row>
    <row r="3601">
      <c r="A3601" s="3" t="inlineStr">
        <is>
          <t>세종특별자치시 연서면 봉암리 102-8</t>
        </is>
      </c>
      <c r="B3601" s="3" t="inlineStr">
        <is>
          <t>농림지역</t>
        </is>
      </c>
      <c r="C3601" s="3" t="inlineStr">
        <is>
          <t>답</t>
        </is>
      </c>
      <c r="D3601" s="3" t="inlineStr">
        <is>
          <t>답</t>
        </is>
      </c>
      <c r="E3601" s="3" t="inlineStr">
        <is>
          <t>매매</t>
        </is>
      </c>
      <c r="F3601" s="4" t="n">
        <v>70000</v>
      </c>
      <c r="G3601" s="4" t="n">
        <v>17833</v>
      </c>
      <c r="H3601" s="4" t="n">
        <v>5394</v>
      </c>
      <c r="I3601" s="5" t="n">
        <v>13</v>
      </c>
      <c r="J3601" s="4" t="n">
        <v>30.9</v>
      </c>
      <c r="K3601" s="3" t="inlineStr">
        <is>
          <t>인근북세종IC. 창고,공장 건축</t>
        </is>
      </c>
      <c r="L3601" s="6">
        <f>HYPERLINK("https://fin.land.naver.com/articles/2648813362", "매물Link")</f>
        <v/>
      </c>
      <c r="M3601" s="6">
        <f>HYPERLINK("https://map.naver.com/p/search/세종특별자치시 연서면 봉암리 102-8", "지도Link")</f>
        <v/>
      </c>
      <c r="N3601" s="6">
        <f>HYPERLINK("http://www.eum.go.kr/web/ar/lu/luLandDet.jsp?pnu=3611036033101020008&amp;isNoScr=script&amp;mode=search", "토지이음")</f>
        <v/>
      </c>
      <c r="O3601" s="3" t="inlineStr">
        <is>
          <t>세종대박</t>
        </is>
      </c>
      <c r="P3601" s="3" t="n">
        <v>2</v>
      </c>
      <c r="Q3601" s="3" t="n">
        <v>1783</v>
      </c>
      <c r="R3601" s="3" t="inlineStr">
        <is>
          <t>지정되지않음</t>
        </is>
      </c>
      <c r="S3601" s="3" t="inlineStr">
        <is>
          <t>답</t>
        </is>
      </c>
      <c r="T3601" s="3" t="inlineStr">
        <is>
          <t>평지</t>
        </is>
      </c>
      <c r="U3601" s="3" t="inlineStr">
        <is>
          <t>사다리형</t>
        </is>
      </c>
      <c r="V3601" s="3" t="inlineStr">
        <is>
          <t>세로한면(가)</t>
        </is>
      </c>
    </row>
    <row r="3602">
      <c r="A3602" s="3" t="inlineStr">
        <is>
          <t>세종특별자치시 연서면 봉암리 1082</t>
        </is>
      </c>
      <c r="B3602" s="3" t="inlineStr">
        <is>
          <t>농림지역</t>
        </is>
      </c>
      <c r="C3602" s="3" t="inlineStr">
        <is>
          <t>전</t>
        </is>
      </c>
      <c r="D3602" s="3" t="inlineStr">
        <is>
          <t>전</t>
        </is>
      </c>
      <c r="E3602" s="3" t="inlineStr">
        <is>
          <t>매매</t>
        </is>
      </c>
      <c r="F3602" s="4" t="n">
        <v>36500</v>
      </c>
      <c r="G3602" s="4" t="n">
        <v>916</v>
      </c>
      <c r="H3602" s="4" t="n">
        <v>277</v>
      </c>
      <c r="I3602" s="5" t="n">
        <v>131.8</v>
      </c>
      <c r="J3602" s="4" t="n">
        <v>23.9</v>
      </c>
      <c r="K3602" s="3" t="inlineStr">
        <is>
          <t>추천. 세종 스마트국가산업단지 인근 농지</t>
        </is>
      </c>
      <c r="L3602" s="6">
        <f>HYPERLINK("https://fin.land.naver.com/articles/2645465949", "매물Link")</f>
        <v/>
      </c>
      <c r="M3602" s="6">
        <f>HYPERLINK("https://map.naver.com/p/search/세종특별자치시 연서면 봉암리 1082", "지도Link")</f>
        <v/>
      </c>
      <c r="N3602" s="6">
        <f>HYPERLINK("http://www.eum.go.kr/web/ar/lu/luLandDet.jsp?pnu=3611036033110820000&amp;isNoScr=script&amp;mode=search", "토지이음")</f>
        <v/>
      </c>
      <c r="O3602" s="3" t="inlineStr">
        <is>
          <t>강아지풀</t>
        </is>
      </c>
      <c r="P3602" s="3" t="n">
        <v>1</v>
      </c>
      <c r="Q3602" s="3" t="n">
        <v>916</v>
      </c>
      <c r="R3602" s="3" t="inlineStr">
        <is>
          <t>지정되지않음</t>
        </is>
      </c>
      <c r="S3602" s="3" t="inlineStr">
        <is>
          <t>전</t>
        </is>
      </c>
      <c r="T3602" s="3" t="inlineStr">
        <is>
          <t>평지</t>
        </is>
      </c>
      <c r="U3602" s="3" t="inlineStr">
        <is>
          <t>부정형</t>
        </is>
      </c>
      <c r="V3602" s="3" t="inlineStr">
        <is>
          <t>맹지</t>
        </is>
      </c>
    </row>
    <row r="3603">
      <c r="A3603" s="3" t="inlineStr">
        <is>
          <t>세종특별자치시 연서면 봉암리 214-13</t>
        </is>
      </c>
      <c r="B3603" s="3" t="inlineStr">
        <is>
          <t>계획관리지역</t>
        </is>
      </c>
      <c r="C3603" s="3" t="inlineStr">
        <is>
          <t>대</t>
        </is>
      </c>
      <c r="D3603" s="3" t="inlineStr">
        <is>
          <t>대</t>
        </is>
      </c>
      <c r="E3603" s="3" t="inlineStr">
        <is>
          <t>매매</t>
        </is>
      </c>
      <c r="F3603" s="4" t="n">
        <v>38000</v>
      </c>
      <c r="G3603" s="4" t="n">
        <v>125</v>
      </c>
      <c r="H3603" s="4" t="n">
        <v>38</v>
      </c>
      <c r="I3603" s="5" t="n">
        <v>1000</v>
      </c>
      <c r="J3603" s="4" t="n">
        <v>341.8</v>
      </c>
      <c r="K3603" s="3" t="inlineStr">
        <is>
          <t>봉암리 상가 밀집지역 핵심   대지 매매</t>
        </is>
      </c>
      <c r="L3603" s="6">
        <f>HYPERLINK("https://fin.land.naver.com/articles/2650096965", "매물Link")</f>
        <v/>
      </c>
      <c r="M3603" s="6">
        <f>HYPERLINK("https://map.naver.com/p/search/세종특별자치시 연서면 봉암리 214-13", "지도Link")</f>
        <v/>
      </c>
      <c r="N3603" s="6">
        <f>HYPERLINK("http://www.eum.go.kr/web/ar/lu/luLandDet.jsp?pnu=3611036033102140013&amp;isNoScr=script&amp;mode=search", "토지이음")</f>
        <v/>
      </c>
      <c r="O3603" s="3" t="inlineStr">
        <is>
          <t>해들삼성</t>
        </is>
      </c>
      <c r="P3603" s="3" t="n">
        <v>2</v>
      </c>
      <c r="Q3603" s="3" t="n">
        <v>125</v>
      </c>
      <c r="R3603" s="3" t="inlineStr">
        <is>
          <t>지정되지않음</t>
        </is>
      </c>
      <c r="S3603" s="3" t="inlineStr">
        <is>
          <t>상업용</t>
        </is>
      </c>
      <c r="T3603" s="3" t="inlineStr">
        <is>
          <t>평지</t>
        </is>
      </c>
      <c r="U3603" s="3" t="inlineStr">
        <is>
          <t>사다리형</t>
        </is>
      </c>
      <c r="V3603" s="3" t="inlineStr">
        <is>
          <t>소로한면</t>
        </is>
      </c>
    </row>
    <row r="3604">
      <c r="A3604" s="3" t="inlineStr">
        <is>
          <t>세종특별자치시 연서면 봉암리 229-21</t>
        </is>
      </c>
      <c r="B3604" s="3" t="inlineStr">
        <is>
          <t>계획관리지역</t>
        </is>
      </c>
      <c r="C3604" s="3" t="inlineStr">
        <is>
          <t>임야</t>
        </is>
      </c>
      <c r="D3604" s="3" t="inlineStr">
        <is>
          <t>임야</t>
        </is>
      </c>
      <c r="E3604" s="3" t="inlineStr">
        <is>
          <t>매매</t>
        </is>
      </c>
      <c r="F3604" s="4" t="n">
        <v>130000</v>
      </c>
      <c r="G3604" s="4" t="n">
        <v>1361</v>
      </c>
      <c r="H3604" s="4" t="n">
        <v>412</v>
      </c>
      <c r="I3604" s="5" t="n">
        <v>315.5</v>
      </c>
      <c r="J3604" s="4" t="n">
        <v>81.2</v>
      </c>
      <c r="K3604" s="3" t="inlineStr">
        <is>
          <t>추천. 연서면 봉암리 계획관리</t>
        </is>
      </c>
      <c r="L3604" s="6">
        <f>HYPERLINK("https://fin.land.naver.com/articles/2645465916", "매물Link")</f>
        <v/>
      </c>
      <c r="M3604" s="6">
        <f>HYPERLINK("https://map.naver.com/p/search/세종특별자치시 연서면 봉암리 229-21", "지도Link")</f>
        <v/>
      </c>
      <c r="N3604" s="6">
        <f>HYPERLINK("http://www.eum.go.kr/web/ar/lu/luLandDet.jsp?pnu=3611036033102290021&amp;isNoScr=script&amp;mode=search", "토지이음")</f>
        <v/>
      </c>
      <c r="O3604" s="3" t="inlineStr">
        <is>
          <t>강아지풀</t>
        </is>
      </c>
      <c r="P3604" s="3" t="n">
        <v>1</v>
      </c>
      <c r="Q3604" s="3" t="n">
        <v>368</v>
      </c>
      <c r="R3604" s="3" t="inlineStr">
        <is>
          <t>지정되지않음</t>
        </is>
      </c>
      <c r="S3604" s="3" t="inlineStr">
        <is>
          <t>전</t>
        </is>
      </c>
      <c r="T3604" s="3" t="inlineStr">
        <is>
          <t>완경사</t>
        </is>
      </c>
      <c r="U3604" s="3" t="inlineStr">
        <is>
          <t>사다리형</t>
        </is>
      </c>
      <c r="V3604" s="3" t="inlineStr">
        <is>
          <t>맹지</t>
        </is>
      </c>
    </row>
    <row r="3605">
      <c r="A3605" s="3" t="inlineStr">
        <is>
          <t>세종특별자치시 연서면 봉암리 230-60</t>
        </is>
      </c>
      <c r="B3605" s="3" t="inlineStr">
        <is>
          <t>계획관리지역</t>
        </is>
      </c>
      <c r="C3605" s="3" t="inlineStr">
        <is>
          <t>전</t>
        </is>
      </c>
      <c r="D3605" s="3" t="inlineStr">
        <is>
          <t>전</t>
        </is>
      </c>
      <c r="E3605" s="3" t="inlineStr">
        <is>
          <t>매매</t>
        </is>
      </c>
      <c r="F3605" s="4" t="n">
        <v>120000</v>
      </c>
      <c r="G3605" s="4" t="n">
        <v>796</v>
      </c>
      <c r="H3605" s="4" t="n">
        <v>241</v>
      </c>
      <c r="I3605" s="5" t="n">
        <v>497.9</v>
      </c>
      <c r="J3605" s="4" t="n">
        <v>88.8</v>
      </c>
      <c r="K3605" s="3" t="inlineStr">
        <is>
          <t>8차선 BRT 도로 근접, 와촌리 국가산단 근교, 세종시의 가장 중심지.</t>
        </is>
      </c>
      <c r="L3605" s="6">
        <f>HYPERLINK("https://fin.land.naver.com/articles/2647588359", "매물Link")</f>
        <v/>
      </c>
      <c r="M3605" s="6">
        <f>HYPERLINK("https://map.naver.com/p/search/세종특별자치시 연서면 봉암리 230-60", "지도Link")</f>
        <v/>
      </c>
      <c r="N3605" s="6">
        <f>HYPERLINK("http://www.eum.go.kr/web/ar/lu/luLandDet.jsp?pnu=3611036033102300060&amp;isNoScr=script&amp;mode=search", "토지이음")</f>
        <v/>
      </c>
      <c r="O3605" s="3" t="inlineStr">
        <is>
          <t>꿈드림</t>
        </is>
      </c>
      <c r="P3605" s="3" t="n">
        <v>1</v>
      </c>
      <c r="Q3605" s="3" t="n">
        <v>661</v>
      </c>
      <c r="R3605" s="3" t="inlineStr">
        <is>
          <t>지정되지않음</t>
        </is>
      </c>
      <c r="S3605" s="3" t="inlineStr">
        <is>
          <t>전</t>
        </is>
      </c>
      <c r="T3605" s="3" t="inlineStr">
        <is>
          <t>평지</t>
        </is>
      </c>
      <c r="U3605" s="3" t="inlineStr">
        <is>
          <t>부정형</t>
        </is>
      </c>
      <c r="V3605" s="3" t="inlineStr">
        <is>
          <t>세로한면(불)</t>
        </is>
      </c>
    </row>
    <row r="3606">
      <c r="A3606" s="3" t="inlineStr">
        <is>
          <t>세종특별자치시 연서면 봉암리 232</t>
        </is>
      </c>
      <c r="B3606" s="3" t="inlineStr">
        <is>
          <t>계획관리지역</t>
        </is>
      </c>
      <c r="C3606" s="3" t="inlineStr">
        <is>
          <t>대</t>
        </is>
      </c>
      <c r="D3606" s="3" t="inlineStr">
        <is>
          <t>대</t>
        </is>
      </c>
      <c r="E3606" s="3" t="inlineStr">
        <is>
          <t>매매</t>
        </is>
      </c>
      <c r="F3606" s="4" t="n">
        <v>220000</v>
      </c>
      <c r="G3606" s="4" t="n">
        <v>661</v>
      </c>
      <c r="H3606" s="4" t="n">
        <v>200</v>
      </c>
      <c r="I3606" s="5" t="n">
        <v>1100</v>
      </c>
      <c r="J3606" s="4" t="n">
        <v>228.2</v>
      </c>
      <c r="K3606" s="3" t="inlineStr">
        <is>
          <t>급매</t>
        </is>
      </c>
      <c r="L3606" s="6">
        <f>HYPERLINK("https://fin.land.naver.com/articles/2648100817", "매물Link")</f>
        <v/>
      </c>
      <c r="M3606" s="6">
        <f>HYPERLINK("https://map.naver.com/p/search/세종특별자치시 연서면 봉암리 232", "지도Link")</f>
        <v/>
      </c>
      <c r="N3606" s="6">
        <f>HYPERLINK("http://www.eum.go.kr/web/ar/lu/luLandDet.jsp?pnu=3611036033102320000&amp;isNoScr=script&amp;mode=search", "토지이음")</f>
        <v/>
      </c>
      <c r="O3606" s="3" t="inlineStr">
        <is>
          <t>세종공주제일</t>
        </is>
      </c>
      <c r="P3606" s="3" t="n">
        <v>2</v>
      </c>
      <c r="Q3606" s="3" t="n">
        <v>369</v>
      </c>
      <c r="R3606" s="3" t="inlineStr">
        <is>
          <t>지정되지않음</t>
        </is>
      </c>
      <c r="S3606" s="3" t="inlineStr">
        <is>
          <t>업무용</t>
        </is>
      </c>
      <c r="T3606" s="3" t="inlineStr">
        <is>
          <t>평지</t>
        </is>
      </c>
      <c r="U3606" s="3" t="inlineStr">
        <is>
          <t>부정형</t>
        </is>
      </c>
      <c r="V3606" s="3" t="inlineStr">
        <is>
          <t>중로한면</t>
        </is>
      </c>
    </row>
    <row r="3607">
      <c r="A3607" s="3" t="inlineStr">
        <is>
          <t>세종특별자치시 연서면 봉암리 234-32</t>
        </is>
      </c>
      <c r="B3607" s="3" t="inlineStr">
        <is>
          <t>계획관리지역</t>
        </is>
      </c>
      <c r="C3607" s="3" t="inlineStr">
        <is>
          <t>과수원</t>
        </is>
      </c>
      <c r="D3607" s="3" t="inlineStr">
        <is>
          <t>과수원</t>
        </is>
      </c>
      <c r="E3607" s="3" t="inlineStr">
        <is>
          <t>매매</t>
        </is>
      </c>
      <c r="F3607" s="4" t="n">
        <v>109000</v>
      </c>
      <c r="G3607" s="4" t="n">
        <v>361</v>
      </c>
      <c r="H3607" s="4" t="n">
        <v>109</v>
      </c>
      <c r="I3607" s="5" t="n">
        <v>1000</v>
      </c>
      <c r="J3607" s="4" t="n">
        <v>123.9</v>
      </c>
      <c r="K3607" s="3" t="inlineStr">
        <is>
          <t>대로변 코너각지 계획관리 추천</t>
        </is>
      </c>
      <c r="L3607" s="6">
        <f>HYPERLINK("https://fin.land.naver.com/articles/2645016107", "매물Link")</f>
        <v/>
      </c>
      <c r="M3607" s="6">
        <f>HYPERLINK("https://map.naver.com/p/search/세종특별자치시 연서면 봉암리 234-32", "지도Link")</f>
        <v/>
      </c>
      <c r="N3607" s="6">
        <f>HYPERLINK("http://www.eum.go.kr/web/ar/lu/luLandDet.jsp?pnu=3611036033102340032&amp;isNoScr=script&amp;mode=search", "토지이음")</f>
        <v/>
      </c>
      <c r="O3607" s="3" t="inlineStr">
        <is>
          <t>엄지척</t>
        </is>
      </c>
      <c r="P3607" s="3" t="n">
        <v>1</v>
      </c>
      <c r="Q3607" s="3" t="n">
        <v>361</v>
      </c>
      <c r="R3607" s="3" t="inlineStr">
        <is>
          <t>지정되지않음</t>
        </is>
      </c>
      <c r="S3607" s="3" t="inlineStr">
        <is>
          <t>전기타</t>
        </is>
      </c>
      <c r="T3607" s="3" t="inlineStr">
        <is>
          <t>평지</t>
        </is>
      </c>
      <c r="U3607" s="3" t="inlineStr">
        <is>
          <t>사다리형</t>
        </is>
      </c>
      <c r="V3607" s="3" t="inlineStr">
        <is>
          <t>세로한면(가)</t>
        </is>
      </c>
    </row>
    <row r="3608">
      <c r="A3608" s="3" t="inlineStr">
        <is>
          <t>세종특별자치시 연서면 봉암리 234-43</t>
        </is>
      </c>
      <c r="B3608" s="3" t="inlineStr">
        <is>
          <t>계획관리지역</t>
        </is>
      </c>
      <c r="C3608" s="3" t="inlineStr">
        <is>
          <t>과수원</t>
        </is>
      </c>
      <c r="D3608" s="3" t="inlineStr">
        <is>
          <t>과수원</t>
        </is>
      </c>
      <c r="E3608" s="3" t="inlineStr">
        <is>
          <t>매매</t>
        </is>
      </c>
      <c r="F3608" s="4" t="n">
        <v>210000</v>
      </c>
      <c r="G3608" s="4" t="n">
        <v>671</v>
      </c>
      <c r="H3608" s="4" t="n">
        <v>203</v>
      </c>
      <c r="I3608" s="5" t="n">
        <v>1034.5</v>
      </c>
      <c r="J3608" s="4" t="n">
        <v>145.8</v>
      </c>
      <c r="K3608" s="3" t="inlineStr">
        <is>
          <t>광고효과최상, 투자효가높은지역 추천</t>
        </is>
      </c>
      <c r="L3608" s="6">
        <f>HYPERLINK("https://fin.land.naver.com/articles/2646690318", "매물Link")</f>
        <v/>
      </c>
      <c r="M3608" s="6">
        <f>HYPERLINK("https://map.naver.com/p/search/세종특별자치시 연서면 봉암리 234-43", "지도Link")</f>
        <v/>
      </c>
      <c r="N3608" s="6">
        <f>HYPERLINK("http://www.eum.go.kr/web/ar/lu/luLandDet.jsp?pnu=3611036033102340043&amp;isNoScr=script&amp;mode=search", "토지이음")</f>
        <v/>
      </c>
      <c r="O3608" s="3" t="inlineStr">
        <is>
          <t>대박</t>
        </is>
      </c>
      <c r="P3608" s="3" t="n">
        <v>1</v>
      </c>
      <c r="Q3608" s="3" t="n">
        <v>186</v>
      </c>
      <c r="R3608" s="3" t="inlineStr">
        <is>
          <t>지정되지않음</t>
        </is>
      </c>
      <c r="S3608" s="3" t="inlineStr">
        <is>
          <t>주거나지</t>
        </is>
      </c>
      <c r="T3608" s="3" t="inlineStr">
        <is>
          <t>완경사</t>
        </is>
      </c>
      <c r="U3608" s="3" t="inlineStr">
        <is>
          <t>사다리형</t>
        </is>
      </c>
      <c r="V3608" s="3" t="inlineStr">
        <is>
          <t>세로한면(가)</t>
        </is>
      </c>
    </row>
    <row r="3609">
      <c r="A3609" s="3" t="inlineStr">
        <is>
          <t>세종특별자치시 연서면 봉암리 245-5</t>
        </is>
      </c>
      <c r="B3609" s="3" t="inlineStr">
        <is>
          <t>계획관리지역</t>
        </is>
      </c>
      <c r="C3609" s="3" t="inlineStr">
        <is>
          <t>대</t>
        </is>
      </c>
      <c r="D3609" s="3" t="inlineStr">
        <is>
          <t>대</t>
        </is>
      </c>
      <c r="E3609" s="3" t="inlineStr">
        <is>
          <t>매매</t>
        </is>
      </c>
      <c r="F3609" s="4" t="n">
        <v>32000</v>
      </c>
      <c r="G3609" s="4" t="n">
        <v>305</v>
      </c>
      <c r="H3609" s="4" t="n">
        <v>92</v>
      </c>
      <c r="I3609" s="5" t="n">
        <v>347.8</v>
      </c>
      <c r="J3609" s="4" t="n">
        <v>125.7</v>
      </c>
      <c r="K3609" s="3" t="inlineStr">
        <is>
          <t>현재 주거나지 상태이며 주택부지로 적합</t>
        </is>
      </c>
      <c r="L3609" s="6">
        <f>HYPERLINK("https://fin.land.naver.com/articles/2644983094", "매물Link")</f>
        <v/>
      </c>
      <c r="M3609" s="6">
        <f>HYPERLINK("https://map.naver.com/p/search/세종특별자치시 연서면 봉암리 245-5", "지도Link")</f>
        <v/>
      </c>
      <c r="N3609" s="6">
        <f>HYPERLINK("http://www.eum.go.kr/web/ar/lu/luLandDet.jsp?pnu=3611036033102450005&amp;isNoScr=script&amp;mode=search", "토지이음")</f>
        <v/>
      </c>
      <c r="O3609" s="3" t="inlineStr">
        <is>
          <t>엘지에스케이</t>
        </is>
      </c>
      <c r="P3609" s="3" t="n">
        <v>1</v>
      </c>
      <c r="Q3609" s="3" t="n">
        <v>305</v>
      </c>
      <c r="R3609" s="3" t="inlineStr">
        <is>
          <t>지정되지않음</t>
        </is>
      </c>
      <c r="S3609" s="3" t="inlineStr">
        <is>
          <t>단독</t>
        </is>
      </c>
      <c r="T3609" s="3" t="inlineStr">
        <is>
          <t>평지</t>
        </is>
      </c>
      <c r="U3609" s="3" t="inlineStr">
        <is>
          <t>자루형</t>
        </is>
      </c>
      <c r="V3609" s="3" t="inlineStr">
        <is>
          <t>세로한면(가)</t>
        </is>
      </c>
    </row>
    <row r="3610">
      <c r="A3610" s="3" t="inlineStr">
        <is>
          <t>세종특별자치시 연서면 봉암리 348</t>
        </is>
      </c>
      <c r="B3610" s="3" t="inlineStr">
        <is>
          <t>농림지역</t>
        </is>
      </c>
      <c r="C3610" s="3" t="inlineStr">
        <is>
          <t>답</t>
        </is>
      </c>
      <c r="D3610" s="3" t="inlineStr">
        <is>
          <t>답</t>
        </is>
      </c>
      <c r="E3610" s="3" t="inlineStr">
        <is>
          <t>매매</t>
        </is>
      </c>
      <c r="F3610" s="4" t="n">
        <v>168000</v>
      </c>
      <c r="G3610" s="4" t="n">
        <v>4830</v>
      </c>
      <c r="H3610" s="4" t="n">
        <v>1461</v>
      </c>
      <c r="I3610" s="5" t="n">
        <v>115</v>
      </c>
      <c r="J3610" s="4" t="n">
        <v>29.8</v>
      </c>
      <c r="K3610" s="3" t="inlineStr">
        <is>
          <t>추천. 세종국가산단 인근 토지</t>
        </is>
      </c>
      <c r="L3610" s="6">
        <f>HYPERLINK("https://fin.land.naver.com/articles/2645464688", "매물Link")</f>
        <v/>
      </c>
      <c r="M3610" s="6">
        <f>HYPERLINK("https://map.naver.com/p/search/세종특별자치시 연서면 봉암리 348", "지도Link")</f>
        <v/>
      </c>
      <c r="N3610" s="6">
        <f>HYPERLINK("http://www.eum.go.kr/web/ar/lu/luLandDet.jsp?pnu=3611036033103480000&amp;isNoScr=script&amp;mode=search", "토지이음")</f>
        <v/>
      </c>
      <c r="O3610" s="3" t="inlineStr">
        <is>
          <t>강아지풀</t>
        </is>
      </c>
      <c r="P3610" s="3" t="n">
        <v>1</v>
      </c>
      <c r="Q3610" s="3" t="n">
        <v>4830</v>
      </c>
      <c r="R3610" s="3" t="inlineStr">
        <is>
          <t>지정되지않음</t>
        </is>
      </c>
      <c r="S3610" s="3" t="inlineStr">
        <is>
          <t>전</t>
        </is>
      </c>
      <c r="T3610" s="3" t="inlineStr">
        <is>
          <t>평지</t>
        </is>
      </c>
      <c r="U3610" s="3" t="inlineStr">
        <is>
          <t>세로장방</t>
        </is>
      </c>
      <c r="V3610" s="3" t="inlineStr">
        <is>
          <t>세로한면(가)</t>
        </is>
      </c>
    </row>
    <row r="3611">
      <c r="A3611" s="3" t="inlineStr">
        <is>
          <t>세종특별자치시 연서면 봉암리 427-12</t>
        </is>
      </c>
      <c r="B3611" s="3" t="inlineStr">
        <is>
          <t>계획관리지역</t>
        </is>
      </c>
      <c r="C3611" s="3" t="inlineStr">
        <is>
          <t>대</t>
        </is>
      </c>
      <c r="D3611" s="3" t="inlineStr">
        <is>
          <t>대</t>
        </is>
      </c>
      <c r="E3611" s="3" t="inlineStr">
        <is>
          <t>매매</t>
        </is>
      </c>
      <c r="F3611" s="4" t="n">
        <v>78000</v>
      </c>
      <c r="G3611" s="4" t="n">
        <v>569</v>
      </c>
      <c r="H3611" s="4" t="n">
        <v>172</v>
      </c>
      <c r="I3611" s="5" t="n">
        <v>453.5</v>
      </c>
      <c r="J3611" s="4" t="n">
        <v>134</v>
      </c>
      <c r="K3611" s="3" t="inlineStr">
        <is>
          <t>계획관리지역 ,주택있는 대지</t>
        </is>
      </c>
      <c r="L3611" s="6">
        <f>HYPERLINK("https://fin.land.naver.com/articles/2648106375", "매물Link")</f>
        <v/>
      </c>
      <c r="M3611" s="6">
        <f>HYPERLINK("https://map.naver.com/p/search/세종특별자치시 연서면 봉암리 427-12", "지도Link")</f>
        <v/>
      </c>
      <c r="N3611" s="6">
        <f>HYPERLINK("http://www.eum.go.kr/web/ar/lu/luLandDet.jsp?pnu=3611036033104270012&amp;isNoScr=script&amp;mode=search", "토지이음")</f>
        <v/>
      </c>
      <c r="O3611" s="3" t="inlineStr">
        <is>
          <t>마메종</t>
        </is>
      </c>
      <c r="P3611" s="3" t="n">
        <v>1</v>
      </c>
      <c r="Q3611" s="3" t="n">
        <v>569.8</v>
      </c>
      <c r="R3611" s="3" t="inlineStr">
        <is>
          <t>지정되지않음</t>
        </is>
      </c>
      <c r="S3611" s="3" t="inlineStr">
        <is>
          <t>단독</t>
        </is>
      </c>
      <c r="T3611" s="3" t="inlineStr">
        <is>
          <t>평지</t>
        </is>
      </c>
      <c r="U3611" s="3" t="inlineStr">
        <is>
          <t>사다리형</t>
        </is>
      </c>
      <c r="V3611" s="3" t="inlineStr">
        <is>
          <t>세로한면(가)</t>
        </is>
      </c>
    </row>
    <row r="3612">
      <c r="A3612" s="3" t="inlineStr">
        <is>
          <t>세종특별자치시 연서면 봉암리 448</t>
        </is>
      </c>
      <c r="B3612" s="3" t="inlineStr">
        <is>
          <t>계획관리지역</t>
        </is>
      </c>
      <c r="C3612" s="3" t="inlineStr">
        <is>
          <t>전</t>
        </is>
      </c>
      <c r="D3612" s="3" t="inlineStr">
        <is>
          <t>전</t>
        </is>
      </c>
      <c r="E3612" s="3" t="inlineStr">
        <is>
          <t>매매</t>
        </is>
      </c>
      <c r="F3612" s="4" t="n">
        <v>13200</v>
      </c>
      <c r="G3612" s="4" t="n">
        <v>132</v>
      </c>
      <c r="H3612" s="4" t="n">
        <v>40</v>
      </c>
      <c r="I3612" s="5" t="n">
        <v>330</v>
      </c>
      <c r="J3612" s="4" t="n">
        <v>122.3</v>
      </c>
      <c r="K3612" s="3" t="inlineStr">
        <is>
          <t>계획관리 2차선도로 인근 작은 텃밭 토지</t>
        </is>
      </c>
      <c r="L3612" s="6">
        <f>HYPERLINK("https://fin.land.naver.com/articles/2649966247", "매물Link")</f>
        <v/>
      </c>
      <c r="M3612" s="6">
        <f>HYPERLINK("https://map.naver.com/p/search/세종특별자치시 연서면 봉암리 448", "지도Link")</f>
        <v/>
      </c>
      <c r="N3612" s="6">
        <f>HYPERLINK("http://www.eum.go.kr/web/ar/lu/luLandDet.jsp?pnu=3611036033104480000&amp;isNoScr=script&amp;mode=search", "토지이음")</f>
        <v/>
      </c>
      <c r="O3612" s="3" t="inlineStr">
        <is>
          <t>지성</t>
        </is>
      </c>
      <c r="P3612" s="3" t="n">
        <v>1</v>
      </c>
      <c r="Q3612" s="3" t="n">
        <v>132.5</v>
      </c>
      <c r="R3612" s="3" t="inlineStr">
        <is>
          <t>지정되지않음</t>
        </is>
      </c>
      <c r="S3612" s="3" t="inlineStr">
        <is>
          <t>주거나지</t>
        </is>
      </c>
      <c r="T3612" s="3" t="inlineStr">
        <is>
          <t>평지</t>
        </is>
      </c>
      <c r="U3612" s="3" t="inlineStr">
        <is>
          <t>부정형</t>
        </is>
      </c>
      <c r="V3612" s="3" t="inlineStr">
        <is>
          <t>세로한면(가)</t>
        </is>
      </c>
    </row>
    <row r="3613">
      <c r="A3613" s="3" t="inlineStr">
        <is>
          <t>세종특별자치시 연서면 봉암리 45</t>
        </is>
      </c>
      <c r="B3613" s="3" t="inlineStr">
        <is>
          <t>보전관리지역</t>
        </is>
      </c>
      <c r="C3613" s="3" t="inlineStr">
        <is>
          <t>임야</t>
        </is>
      </c>
      <c r="D3613" s="3" t="inlineStr">
        <is>
          <t>임야</t>
        </is>
      </c>
      <c r="E3613" s="3" t="inlineStr">
        <is>
          <t>매매</t>
        </is>
      </c>
      <c r="F3613" s="4" t="n">
        <v>670000</v>
      </c>
      <c r="G3613" s="4" t="n">
        <v>8848</v>
      </c>
      <c r="H3613" s="4" t="n">
        <v>2677</v>
      </c>
      <c r="I3613" s="5" t="n">
        <v>250.3</v>
      </c>
      <c r="J3613" s="4" t="n">
        <v>22.7</v>
      </c>
      <c r="K3613" s="3" t="inlineStr">
        <is>
          <t>1번국도 바로옆 임야  고도제한없어요,</t>
        </is>
      </c>
      <c r="L3613" s="6">
        <f>HYPERLINK("https://fin.land.naver.com/articles/2646790913", "매물Link")</f>
        <v/>
      </c>
      <c r="M3613" s="6">
        <f>HYPERLINK("https://map.naver.com/p/search/세종특별자치시 연서면 봉암리 45", "지도Link")</f>
        <v/>
      </c>
      <c r="N3613" s="6">
        <f>HYPERLINK("http://www.eum.go.kr/web/ar/lu/luLandDet.jsp?pnu=3611036033100450000&amp;isNoScr=script&amp;mode=search", "토지이음")</f>
        <v/>
      </c>
      <c r="O3613" s="3" t="inlineStr">
        <is>
          <t>담뜰</t>
        </is>
      </c>
      <c r="P3613" s="3" t="n">
        <v>2</v>
      </c>
      <c r="Q3613" s="3" t="n">
        <v>8848</v>
      </c>
      <c r="R3613" s="3" t="inlineStr">
        <is>
          <t>지정되지않음</t>
        </is>
      </c>
      <c r="S3613" s="3" t="inlineStr">
        <is>
          <t>자연림</t>
        </is>
      </c>
      <c r="T3613" s="3" t="inlineStr">
        <is>
          <t>완경사</t>
        </is>
      </c>
      <c r="U3613" s="3" t="inlineStr">
        <is>
          <t>부정형</t>
        </is>
      </c>
      <c r="V3613" s="3" t="inlineStr">
        <is>
          <t>중로한면</t>
        </is>
      </c>
    </row>
    <row r="3614">
      <c r="A3614" s="3" t="inlineStr">
        <is>
          <t>세종특별자치시 연서면 봉암리 532-2</t>
        </is>
      </c>
      <c r="B3614" s="3" t="inlineStr">
        <is>
          <t>계획관리지역</t>
        </is>
      </c>
      <c r="C3614" s="3" t="inlineStr">
        <is>
          <t>답</t>
        </is>
      </c>
      <c r="D3614" s="3" t="inlineStr">
        <is>
          <t>답</t>
        </is>
      </c>
      <c r="E3614" s="3" t="inlineStr">
        <is>
          <t>매매</t>
        </is>
      </c>
      <c r="F3614" s="4" t="n">
        <v>197000</v>
      </c>
      <c r="G3614" s="4" t="n">
        <v>1183</v>
      </c>
      <c r="H3614" s="4" t="n">
        <v>358</v>
      </c>
      <c r="I3614" s="5" t="n">
        <v>550.3</v>
      </c>
      <c r="J3614" s="4" t="n">
        <v>99.8</v>
      </c>
      <c r="K3614" s="3" t="inlineStr">
        <is>
          <t>연기사거리 인근 건축 가능한 계획관리지역 투자목적 토지 급매매</t>
        </is>
      </c>
      <c r="L3614" s="6">
        <f>HYPERLINK("https://fin.land.naver.com/articles/2644225467", "매물Link")</f>
        <v/>
      </c>
      <c r="M3614" s="6">
        <f>HYPERLINK("https://map.naver.com/p/search/세종특별자치시 연서면 봉암리 532-2", "지도Link")</f>
        <v/>
      </c>
      <c r="N3614" s="6">
        <f>HYPERLINK("http://www.eum.go.kr/web/ar/lu/luLandDet.jsp?pnu=3611036033105320002&amp;isNoScr=script&amp;mode=search", "토지이음")</f>
        <v/>
      </c>
      <c r="O3614" s="3" t="inlineStr">
        <is>
          <t>(주)해뜰터</t>
        </is>
      </c>
      <c r="P3614" s="3" t="n">
        <v>1</v>
      </c>
      <c r="Q3614" s="3" t="n">
        <v>1183</v>
      </c>
      <c r="R3614" s="3" t="inlineStr">
        <is>
          <t>지정되지않음</t>
        </is>
      </c>
      <c r="S3614" s="3" t="inlineStr">
        <is>
          <t>답</t>
        </is>
      </c>
      <c r="T3614" s="3" t="inlineStr">
        <is>
          <t>평지</t>
        </is>
      </c>
      <c r="U3614" s="3" t="inlineStr">
        <is>
          <t>세로장방</t>
        </is>
      </c>
      <c r="V3614" s="3" t="inlineStr">
        <is>
          <t>세로한면(불)</t>
        </is>
      </c>
    </row>
    <row r="3615">
      <c r="A3615" s="3" t="inlineStr">
        <is>
          <t>세종특별자치시 연서면 봉암리 579-1</t>
        </is>
      </c>
      <c r="B3615" s="3" t="inlineStr">
        <is>
          <t>계획관리지역</t>
        </is>
      </c>
      <c r="C3615" s="3" t="inlineStr">
        <is>
          <t>대</t>
        </is>
      </c>
      <c r="D3615" s="3" t="inlineStr">
        <is>
          <t>대</t>
        </is>
      </c>
      <c r="E3615" s="3" t="inlineStr">
        <is>
          <t>매매</t>
        </is>
      </c>
      <c r="F3615" s="4" t="n">
        <v>48000</v>
      </c>
      <c r="G3615" s="4" t="n">
        <v>387</v>
      </c>
      <c r="H3615" s="4" t="n">
        <v>117</v>
      </c>
      <c r="I3615" s="5" t="n">
        <v>410.3</v>
      </c>
      <c r="J3615" s="4" t="n">
        <v>107.9</v>
      </c>
      <c r="K3615" s="3" t="inlineStr">
        <is>
          <t>행복도시 인근 나대지 이며 시세대비 저렴한매물</t>
        </is>
      </c>
      <c r="L3615" s="6">
        <f>HYPERLINK("https://fin.land.naver.com/articles/2647763887", "매물Link")</f>
        <v/>
      </c>
      <c r="M3615" s="6">
        <f>HYPERLINK("https://map.naver.com/p/search/세종특별자치시 연서면 봉암리 579-1", "지도Link")</f>
        <v/>
      </c>
      <c r="N3615" s="6">
        <f>HYPERLINK("http://www.eum.go.kr/web/ar/lu/luLandDet.jsp?pnu=3611036033105790001&amp;isNoScr=script&amp;mode=search", "토지이음")</f>
        <v/>
      </c>
      <c r="O3615" s="3" t="inlineStr">
        <is>
          <t>지호주식회사</t>
        </is>
      </c>
      <c r="P3615" s="3" t="n">
        <v>1</v>
      </c>
      <c r="Q3615" s="3" t="n">
        <v>387</v>
      </c>
      <c r="R3615" s="3" t="inlineStr">
        <is>
          <t>지정되지않음</t>
        </is>
      </c>
      <c r="S3615" s="3" t="inlineStr">
        <is>
          <t>단독</t>
        </is>
      </c>
      <c r="T3615" s="3" t="inlineStr">
        <is>
          <t>완경사</t>
        </is>
      </c>
      <c r="U3615" s="3" t="inlineStr">
        <is>
          <t>세로장방</t>
        </is>
      </c>
      <c r="V3615" s="3" t="inlineStr">
        <is>
          <t>세로한면(가)</t>
        </is>
      </c>
    </row>
    <row r="3616">
      <c r="A3616" s="3" t="inlineStr">
        <is>
          <t>세종특별자치시 연서면 봉암리 604-3</t>
        </is>
      </c>
      <c r="B3616" s="3" t="inlineStr">
        <is>
          <t>계획관리지역</t>
        </is>
      </c>
      <c r="C3616" s="3" t="inlineStr">
        <is>
          <t>전</t>
        </is>
      </c>
      <c r="D3616" s="3" t="inlineStr">
        <is>
          <t>전</t>
        </is>
      </c>
      <c r="E3616" s="3" t="inlineStr">
        <is>
          <t>매매</t>
        </is>
      </c>
      <c r="F3616" s="4" t="n">
        <v>84000</v>
      </c>
      <c r="G3616" s="4" t="n">
        <v>1061</v>
      </c>
      <c r="H3616" s="4" t="n">
        <v>321</v>
      </c>
      <c r="I3616" s="5" t="n">
        <v>261.7</v>
      </c>
      <c r="J3616" s="4" t="n">
        <v>149.2</v>
      </c>
      <c r="K3616" s="3" t="inlineStr">
        <is>
          <t>주거개발진흥지구, 성장관리계획구역,자연취락지구 정방형 급매</t>
        </is>
      </c>
      <c r="L3616" s="6">
        <f>HYPERLINK("https://fin.land.naver.com/articles/2648051486", "매물Link")</f>
        <v/>
      </c>
      <c r="M3616" s="6">
        <f>HYPERLINK("https://map.naver.com/p/search/세종특별자치시 연서면 봉암리 604-3", "지도Link")</f>
        <v/>
      </c>
      <c r="N3616" s="6">
        <f>HYPERLINK("http://www.eum.go.kr/web/ar/lu/luLandDet.jsp?pnu=3611036033106040003&amp;isNoScr=script&amp;mode=search", "토지이음")</f>
        <v/>
      </c>
      <c r="O3616" s="3" t="inlineStr">
        <is>
          <t>도안재벌</t>
        </is>
      </c>
      <c r="P3616" s="3" t="n">
        <v>1</v>
      </c>
      <c r="Q3616" s="3" t="n">
        <v>1061</v>
      </c>
      <c r="R3616" s="3" t="inlineStr">
        <is>
          <t>지정되지않음</t>
        </is>
      </c>
      <c r="S3616" s="3" t="inlineStr">
        <is>
          <t>전</t>
        </is>
      </c>
      <c r="T3616" s="3" t="inlineStr">
        <is>
          <t>평지</t>
        </is>
      </c>
      <c r="U3616" s="3" t="inlineStr">
        <is>
          <t>정방형</t>
        </is>
      </c>
      <c r="V3616" s="3" t="inlineStr">
        <is>
          <t>세로한면(가)</t>
        </is>
      </c>
    </row>
    <row r="3617">
      <c r="A3617" s="3" t="inlineStr">
        <is>
          <t>세종특별자치시 연서면 봉암리 620-22</t>
        </is>
      </c>
      <c r="B3617" s="3" t="inlineStr">
        <is>
          <t>계획관리지역</t>
        </is>
      </c>
      <c r="C3617" s="3" t="inlineStr">
        <is>
          <t>대</t>
        </is>
      </c>
      <c r="D3617" s="3" t="inlineStr">
        <is>
          <t>대</t>
        </is>
      </c>
      <c r="E3617" s="3" t="inlineStr">
        <is>
          <t>매매</t>
        </is>
      </c>
      <c r="F3617" s="4" t="n">
        <v>80000</v>
      </c>
      <c r="G3617" s="4" t="n">
        <v>524</v>
      </c>
      <c r="H3617" s="4" t="n">
        <v>159</v>
      </c>
      <c r="I3617" s="5" t="n">
        <v>503.1</v>
      </c>
      <c r="J3617" s="4" t="n">
        <v>112.7</v>
      </c>
      <c r="K3617" s="3" t="inlineStr">
        <is>
          <t>8차선으로 확장된 BRT 도로와 2차선변.와촌리국가 산단 중심 근교임.</t>
        </is>
      </c>
      <c r="L3617" s="6">
        <f>HYPERLINK("https://fin.land.naver.com/articles/2647892832", "매물Link")</f>
        <v/>
      </c>
      <c r="M3617" s="6">
        <f>HYPERLINK("https://map.naver.com/p/search/세종특별자치시 연서면 봉암리 620-22", "지도Link")</f>
        <v/>
      </c>
      <c r="N3617" s="6">
        <f>HYPERLINK("http://www.eum.go.kr/web/ar/lu/luLandDet.jsp?pnu=3611036033106200022&amp;isNoScr=script&amp;mode=search", "토지이음")</f>
        <v/>
      </c>
      <c r="O3617" s="3" t="inlineStr">
        <is>
          <t>꿈드림</t>
        </is>
      </c>
      <c r="P3617" s="3" t="n">
        <v>1</v>
      </c>
      <c r="Q3617" s="3" t="n">
        <v>428</v>
      </c>
      <c r="R3617" s="3" t="inlineStr">
        <is>
          <t>지정되지않음</t>
        </is>
      </c>
      <c r="S3617" s="3" t="inlineStr">
        <is>
          <t>주거나지</t>
        </is>
      </c>
      <c r="T3617" s="3" t="inlineStr">
        <is>
          <t>평지</t>
        </is>
      </c>
      <c r="U3617" s="3" t="inlineStr">
        <is>
          <t>부정형</t>
        </is>
      </c>
      <c r="V3617" s="3" t="inlineStr">
        <is>
          <t>맹지</t>
        </is>
      </c>
    </row>
    <row r="3618">
      <c r="A3618" s="3" t="inlineStr">
        <is>
          <t>세종특별자치시 연서면 봉암리 657-13</t>
        </is>
      </c>
      <c r="B3618" s="3" t="inlineStr">
        <is>
          <t>농림지역</t>
        </is>
      </c>
      <c r="C3618" s="3" t="inlineStr">
        <is>
          <t>답</t>
        </is>
      </c>
      <c r="D3618" s="3" t="inlineStr">
        <is>
          <t>답</t>
        </is>
      </c>
      <c r="E3618" s="3" t="inlineStr">
        <is>
          <t>매매</t>
        </is>
      </c>
      <c r="F3618" s="4" t="n">
        <v>80000</v>
      </c>
      <c r="G3618" s="4" t="n">
        <v>1322</v>
      </c>
      <c r="H3618" s="4" t="n">
        <v>400</v>
      </c>
      <c r="I3618" s="5" t="n">
        <v>200</v>
      </c>
      <c r="J3618" s="4" t="n">
        <v>38</v>
      </c>
      <c r="K3618" s="3" t="inlineStr">
        <is>
          <t>봉암리 세종스마트산단 초입 2차선인접  위치 좋습니다</t>
        </is>
      </c>
      <c r="L3618" s="6">
        <f>HYPERLINK("https://fin.land.naver.com/articles/2648077629", "매물Link")</f>
        <v/>
      </c>
      <c r="M3618" s="6">
        <f>HYPERLINK("https://map.naver.com/p/search/세종특별자치시 연서면 봉암리 657-13", "지도Link")</f>
        <v/>
      </c>
      <c r="N3618" s="6">
        <f>HYPERLINK("http://www.eum.go.kr/web/ar/lu/luLandDet.jsp?pnu=3611036033106570013&amp;isNoScr=script&amp;mode=search", "토지이음")</f>
        <v/>
      </c>
      <c r="O3618" s="3" t="inlineStr">
        <is>
          <t>OK수</t>
        </is>
      </c>
      <c r="P3618" s="3" t="n">
        <v>1</v>
      </c>
      <c r="Q3618" s="3" t="n">
        <v>1322</v>
      </c>
      <c r="R3618" s="3" t="inlineStr">
        <is>
          <t>지정되지않음</t>
        </is>
      </c>
      <c r="S3618" s="3" t="inlineStr">
        <is>
          <t>답</t>
        </is>
      </c>
      <c r="T3618" s="3" t="inlineStr">
        <is>
          <t>평지</t>
        </is>
      </c>
      <c r="U3618" s="3" t="inlineStr">
        <is>
          <t>사다리형</t>
        </is>
      </c>
      <c r="V3618" s="3" t="inlineStr">
        <is>
          <t>세로한면(가)</t>
        </is>
      </c>
    </row>
    <row r="3619">
      <c r="A3619" s="3" t="inlineStr">
        <is>
          <t>세종특별자치시 연서면 봉암리 676-10</t>
        </is>
      </c>
      <c r="B3619" s="3" t="inlineStr">
        <is>
          <t>계획관리지역</t>
        </is>
      </c>
      <c r="C3619" s="3" t="inlineStr">
        <is>
          <t>전</t>
        </is>
      </c>
      <c r="D3619" s="3" t="inlineStr">
        <is>
          <t>전</t>
        </is>
      </c>
      <c r="E3619" s="3" t="inlineStr">
        <is>
          <t>매매</t>
        </is>
      </c>
      <c r="F3619" s="4" t="n">
        <v>50000</v>
      </c>
      <c r="G3619" s="4" t="n">
        <v>330</v>
      </c>
      <c r="H3619" s="4" t="n">
        <v>100</v>
      </c>
      <c r="I3619" s="5" t="n">
        <v>500</v>
      </c>
      <c r="J3619" s="4" t="n">
        <v>75</v>
      </c>
      <c r="K3619" s="3" t="inlineStr">
        <is>
          <t>세종스마트국가산업단지 근접, 작은 근생용지나창고부지로 적합</t>
        </is>
      </c>
      <c r="L3619" s="6">
        <f>HYPERLINK("https://fin.land.naver.com/articles/2646790177", "매물Link")</f>
        <v/>
      </c>
      <c r="M3619" s="6">
        <f>HYPERLINK("https://map.naver.com/p/search/세종특별자치시 연서면 봉암리 676-10", "지도Link")</f>
        <v/>
      </c>
      <c r="N3619" s="6">
        <f>HYPERLINK("http://www.eum.go.kr/web/ar/lu/luLandDet.jsp?pnu=3611036033106760010&amp;isNoScr=script&amp;mode=search", "토지이음")</f>
        <v/>
      </c>
      <c r="O3619" s="3" t="inlineStr">
        <is>
          <t>담뜰</t>
        </is>
      </c>
      <c r="P3619" s="3" t="n">
        <v>1</v>
      </c>
      <c r="Q3619" s="3" t="n">
        <v>331</v>
      </c>
      <c r="R3619" s="3" t="inlineStr">
        <is>
          <t>지정되지않음</t>
        </is>
      </c>
      <c r="S3619" s="3" t="inlineStr">
        <is>
          <t>전창고</t>
        </is>
      </c>
      <c r="T3619" s="3" t="inlineStr">
        <is>
          <t>평지</t>
        </is>
      </c>
      <c r="U3619" s="3" t="inlineStr">
        <is>
          <t>사다리형</t>
        </is>
      </c>
      <c r="V3619" s="3" t="inlineStr">
        <is>
          <t>세로한면(가)</t>
        </is>
      </c>
    </row>
    <row r="3620">
      <c r="A3620" s="3" t="inlineStr">
        <is>
          <t>세종특별자치시 연서면 봉암리 677-2</t>
        </is>
      </c>
      <c r="B3620" s="3" t="inlineStr">
        <is>
          <t>계획관리지역</t>
        </is>
      </c>
      <c r="C3620" s="3" t="inlineStr">
        <is>
          <t>대</t>
        </is>
      </c>
      <c r="D3620" s="3" t="inlineStr">
        <is>
          <t>대</t>
        </is>
      </c>
      <c r="E3620" s="3" t="inlineStr">
        <is>
          <t>매매</t>
        </is>
      </c>
      <c r="F3620" s="4" t="n">
        <v>400000</v>
      </c>
      <c r="G3620" s="4" t="n">
        <v>2202</v>
      </c>
      <c r="H3620" s="4" t="n">
        <v>666</v>
      </c>
      <c r="I3620" s="5" t="n">
        <v>600.6</v>
      </c>
      <c r="J3620" s="4" t="n">
        <v>116.6</v>
      </c>
      <c r="K3620" s="3" t="inlineStr">
        <is>
          <t>세종스마트국가산업단지 근접 도로접근 용이</t>
        </is>
      </c>
      <c r="L3620" s="6">
        <f>HYPERLINK("https://fin.land.naver.com/articles/2646904487", "매물Link")</f>
        <v/>
      </c>
      <c r="M3620" s="6">
        <f>HYPERLINK("https://map.naver.com/p/search/세종특별자치시 연서면 봉암리 677-2", "지도Link")</f>
        <v/>
      </c>
      <c r="N3620" s="6">
        <f>HYPERLINK("http://www.eum.go.kr/web/ar/lu/luLandDet.jsp?pnu=3611036033106770002&amp;isNoScr=script&amp;mode=search", "토지이음")</f>
        <v/>
      </c>
      <c r="O3620" s="3" t="inlineStr">
        <is>
          <t>오송파라곤리치</t>
        </is>
      </c>
      <c r="P3620" s="3" t="n">
        <v>1</v>
      </c>
      <c r="Q3620" s="3" t="n">
        <v>655</v>
      </c>
      <c r="R3620" s="3" t="inlineStr">
        <is>
          <t>지정되지않음</t>
        </is>
      </c>
      <c r="S3620" s="3" t="inlineStr">
        <is>
          <t>주거기타</t>
        </is>
      </c>
      <c r="T3620" s="3" t="inlineStr">
        <is>
          <t>평지</t>
        </is>
      </c>
      <c r="U3620" s="3" t="inlineStr">
        <is>
          <t>사다리형</t>
        </is>
      </c>
      <c r="V3620" s="3" t="inlineStr">
        <is>
          <t>세로한면(가)</t>
        </is>
      </c>
    </row>
    <row r="3621">
      <c r="A3621" s="3" t="inlineStr">
        <is>
          <t>세종특별자치시 연서면 봉암리 705-2</t>
        </is>
      </c>
      <c r="B3621" s="3" t="inlineStr">
        <is>
          <t>계획관리지역</t>
        </is>
      </c>
      <c r="C3621" s="3" t="inlineStr">
        <is>
          <t>답</t>
        </is>
      </c>
      <c r="D3621" s="3" t="inlineStr">
        <is>
          <t>답</t>
        </is>
      </c>
      <c r="E3621" s="3" t="inlineStr">
        <is>
          <t>매매</t>
        </is>
      </c>
      <c r="F3621" s="4" t="n">
        <v>680000</v>
      </c>
      <c r="G3621" s="4" t="n">
        <v>4515</v>
      </c>
      <c r="H3621" s="4" t="n">
        <v>1366</v>
      </c>
      <c r="I3621" s="5" t="n">
        <v>497.8</v>
      </c>
      <c r="J3621" s="4" t="n">
        <v>101.8</v>
      </c>
      <c r="K3621" s="3" t="inlineStr">
        <is>
          <t>세종시  제일 핫한 명당지역 시세보다 저렴</t>
        </is>
      </c>
      <c r="L3621" s="6">
        <f>HYPERLINK("https://fin.land.naver.com/articles/2648233463", "매물Link")</f>
        <v/>
      </c>
      <c r="M3621" s="6">
        <f>HYPERLINK("https://map.naver.com/p/search/세종특별자치시 연서면 봉암리 705-2", "지도Link")</f>
        <v/>
      </c>
      <c r="N3621" s="6">
        <f>HYPERLINK("http://www.eum.go.kr/web/ar/lu/luLandDet.jsp?pnu=3611036033107050002&amp;isNoScr=script&amp;mode=search", "토지이음")</f>
        <v/>
      </c>
      <c r="O3621" s="3" t="inlineStr">
        <is>
          <t>엔터수진</t>
        </is>
      </c>
      <c r="P3621" s="3" t="n">
        <v>1</v>
      </c>
      <c r="Q3621" s="3" t="n">
        <v>665</v>
      </c>
      <c r="R3621" s="3" t="inlineStr">
        <is>
          <t>지정되지않음</t>
        </is>
      </c>
      <c r="S3621" s="3" t="inlineStr">
        <is>
          <t>답</t>
        </is>
      </c>
      <c r="T3621" s="3" t="inlineStr">
        <is>
          <t>평지</t>
        </is>
      </c>
      <c r="U3621" s="3" t="inlineStr">
        <is>
          <t>세로장방</t>
        </is>
      </c>
      <c r="V3621" s="3" t="inlineStr">
        <is>
          <t>세로한면(불)</t>
        </is>
      </c>
    </row>
    <row r="3622">
      <c r="A3622" s="3" t="inlineStr">
        <is>
          <t>세종특별자치시 연서면 봉암리 828</t>
        </is>
      </c>
      <c r="B3622" s="3" t="inlineStr">
        <is>
          <t>농림지역</t>
        </is>
      </c>
      <c r="C3622" s="3" t="inlineStr">
        <is>
          <t>전</t>
        </is>
      </c>
      <c r="D3622" s="3" t="inlineStr">
        <is>
          <t>전</t>
        </is>
      </c>
      <c r="E3622" s="3" t="inlineStr">
        <is>
          <t>매매</t>
        </is>
      </c>
      <c r="F3622" s="4" t="n">
        <v>74000</v>
      </c>
      <c r="G3622" s="4" t="n">
        <v>2023</v>
      </c>
      <c r="H3622" s="4" t="n">
        <v>612</v>
      </c>
      <c r="I3622" s="5" t="n">
        <v>120.9</v>
      </c>
      <c r="J3622" s="4" t="n">
        <v>28.7</v>
      </c>
      <c r="K3622" s="3" t="inlineStr">
        <is>
          <t>추천. 세종국가산단 인근 하우스</t>
        </is>
      </c>
      <c r="L3622" s="6">
        <f>HYPERLINK("https://fin.land.naver.com/articles/2645465632", "매물Link")</f>
        <v/>
      </c>
      <c r="M3622" s="6">
        <f>HYPERLINK("https://map.naver.com/p/search/세종특별자치시 연서면 봉암리 828", "지도Link")</f>
        <v/>
      </c>
      <c r="N3622" s="6">
        <f>HYPERLINK("http://www.eum.go.kr/web/ar/lu/luLandDet.jsp?pnu=3611036033108280000&amp;isNoScr=script&amp;mode=search", "토지이음")</f>
        <v/>
      </c>
      <c r="O3622" s="3" t="inlineStr">
        <is>
          <t>강아지풀</t>
        </is>
      </c>
      <c r="P3622" s="3" t="n">
        <v>1</v>
      </c>
      <c r="Q3622" s="3" t="n">
        <v>2023</v>
      </c>
      <c r="R3622" s="3" t="inlineStr">
        <is>
          <t>지정되지않음</t>
        </is>
      </c>
      <c r="S3622" s="3" t="inlineStr">
        <is>
          <t>전</t>
        </is>
      </c>
      <c r="T3622" s="3" t="inlineStr">
        <is>
          <t>평지</t>
        </is>
      </c>
      <c r="U3622" s="3" t="inlineStr">
        <is>
          <t>사다리형</t>
        </is>
      </c>
      <c r="V3622" s="3" t="inlineStr">
        <is>
          <t>세로한면(가)</t>
        </is>
      </c>
    </row>
    <row r="3623">
      <c r="A3623" s="3" t="inlineStr">
        <is>
          <t>세종특별자치시 연서면 봉암리 947</t>
        </is>
      </c>
      <c r="B3623" s="3" t="inlineStr">
        <is>
          <t>농림지역</t>
        </is>
      </c>
      <c r="C3623" s="3" t="inlineStr">
        <is>
          <t>전</t>
        </is>
      </c>
      <c r="D3623" s="3" t="inlineStr">
        <is>
          <t>답</t>
        </is>
      </c>
      <c r="E3623" s="3" t="inlineStr">
        <is>
          <t>매매</t>
        </is>
      </c>
      <c r="F3623" s="4" t="n">
        <v>36400</v>
      </c>
      <c r="G3623" s="4" t="n">
        <v>1094</v>
      </c>
      <c r="H3623" s="4" t="n">
        <v>331</v>
      </c>
      <c r="I3623" s="5" t="n">
        <v>110</v>
      </c>
      <c r="J3623" s="4" t="n">
        <v>27.6</v>
      </c>
      <c r="K3623" s="3" t="inlineStr">
        <is>
          <t>북세종톨게이트 수혜지 봉암리 토지</t>
        </is>
      </c>
      <c r="L3623" s="6">
        <f>HYPERLINK("https://fin.land.naver.com/articles/2649964850", "매물Link")</f>
        <v/>
      </c>
      <c r="M3623" s="6">
        <f>HYPERLINK("https://map.naver.com/p/search/세종특별자치시 연서면 봉암리 947", "지도Link")</f>
        <v/>
      </c>
      <c r="N3623" s="6">
        <f>HYPERLINK("http://www.eum.go.kr/web/ar/lu/luLandDet.jsp?pnu=3611036033109470000&amp;isNoScr=script&amp;mode=search", "토지이음")</f>
        <v/>
      </c>
      <c r="O3623" s="3" t="inlineStr">
        <is>
          <t>지성</t>
        </is>
      </c>
      <c r="P3623" s="3" t="n">
        <v>2</v>
      </c>
      <c r="Q3623" s="3" t="n">
        <v>1094</v>
      </c>
      <c r="R3623" s="3" t="inlineStr">
        <is>
          <t>지정되지않음</t>
        </is>
      </c>
      <c r="S3623" s="3" t="inlineStr">
        <is>
          <t>전</t>
        </is>
      </c>
      <c r="T3623" s="3" t="inlineStr">
        <is>
          <t>평지</t>
        </is>
      </c>
      <c r="U3623" s="3" t="inlineStr">
        <is>
          <t>부정형</t>
        </is>
      </c>
      <c r="V3623" s="3" t="inlineStr">
        <is>
          <t>세로한면(가)</t>
        </is>
      </c>
    </row>
    <row r="3624">
      <c r="A3624" s="3" t="inlineStr">
        <is>
          <t>세종특별자치시 연서면 봉암리 996</t>
        </is>
      </c>
      <c r="B3624" s="3" t="inlineStr">
        <is>
          <t>농림지역</t>
        </is>
      </c>
      <c r="C3624" s="3" t="inlineStr">
        <is>
          <t>전</t>
        </is>
      </c>
      <c r="D3624" s="3" t="inlineStr">
        <is>
          <t>전</t>
        </is>
      </c>
      <c r="E3624" s="3" t="inlineStr">
        <is>
          <t>매매</t>
        </is>
      </c>
      <c r="F3624" s="4" t="n">
        <v>97200</v>
      </c>
      <c r="G3624" s="4" t="n">
        <v>3214</v>
      </c>
      <c r="H3624" s="4" t="n">
        <v>972</v>
      </c>
      <c r="I3624" s="5" t="n">
        <v>100</v>
      </c>
      <c r="J3624" s="4" t="n">
        <v>25.6</v>
      </c>
      <c r="K3624" s="3" t="inlineStr">
        <is>
          <t>세종 연서면 투자용 토지</t>
        </is>
      </c>
      <c r="L3624" s="6">
        <f>HYPERLINK("https://fin.land.naver.com/articles/2646298669", "매물Link")</f>
        <v/>
      </c>
      <c r="M3624" s="6">
        <f>HYPERLINK("https://map.naver.com/p/search/세종특별자치시 연서면 봉암리 996", "지도Link")</f>
        <v/>
      </c>
      <c r="N3624" s="6">
        <f>HYPERLINK("http://www.eum.go.kr/web/ar/lu/luLandDet.jsp?pnu=3611036033109960000&amp;isNoScr=script&amp;mode=search", "토지이음")</f>
        <v/>
      </c>
      <c r="O3624" s="3" t="inlineStr">
        <is>
          <t>(주)경진컨설팅</t>
        </is>
      </c>
      <c r="P3624" s="3" t="n">
        <v>1</v>
      </c>
      <c r="Q3624" s="3" t="n">
        <v>3214.4</v>
      </c>
      <c r="R3624" s="3" t="inlineStr">
        <is>
          <t>지정되지않음</t>
        </is>
      </c>
      <c r="S3624" s="3" t="inlineStr">
        <is>
          <t>답</t>
        </is>
      </c>
      <c r="T3624" s="3" t="inlineStr">
        <is>
          <t>평지</t>
        </is>
      </c>
      <c r="U3624" s="3" t="inlineStr">
        <is>
          <t>사다리형</t>
        </is>
      </c>
      <c r="V3624" s="3" t="inlineStr">
        <is>
          <t>세로한면(불)</t>
        </is>
      </c>
    </row>
    <row r="3625">
      <c r="A3625" s="3" t="inlineStr">
        <is>
          <t>세종특별자치시 연서면 부동리 108-1</t>
        </is>
      </c>
      <c r="B3625" s="3" t="inlineStr">
        <is>
          <t>계획관리지역</t>
        </is>
      </c>
      <c r="C3625" s="3" t="inlineStr">
        <is>
          <t>전</t>
        </is>
      </c>
      <c r="D3625" s="3" t="inlineStr">
        <is>
          <t>전</t>
        </is>
      </c>
      <c r="E3625" s="3" t="inlineStr">
        <is>
          <t>매매</t>
        </is>
      </c>
      <c r="F3625" s="4" t="n">
        <v>200000</v>
      </c>
      <c r="G3625" s="4" t="n">
        <v>3098</v>
      </c>
      <c r="H3625" s="4" t="n">
        <v>937</v>
      </c>
      <c r="I3625" s="5" t="n">
        <v>213.4</v>
      </c>
      <c r="J3625" s="4" t="n">
        <v>68.5</v>
      </c>
      <c r="K3625" s="3" t="inlineStr">
        <is>
          <t>국가산단에 근접한토지로 현재전이며 모양이 좋고 2면각지도로에 접함.</t>
        </is>
      </c>
      <c r="L3625" s="6">
        <f>HYPERLINK("https://fin.land.naver.com/articles/2650181594", "매물Link")</f>
        <v/>
      </c>
      <c r="M3625" s="6">
        <f>HYPERLINK("https://map.naver.com/p/search/세종특별자치시 연서면 부동리 108-1", "지도Link")</f>
        <v/>
      </c>
      <c r="N3625" s="6">
        <f>HYPERLINK("http://www.eum.go.kr/web/ar/lu/luLandDet.jsp?pnu=3611036032101080001&amp;isNoScr=script&amp;mode=search", "토지이음")</f>
        <v/>
      </c>
      <c r="O3625" s="3" t="inlineStr">
        <is>
          <t>세종리츠</t>
        </is>
      </c>
      <c r="P3625" s="3" t="n">
        <v>1</v>
      </c>
      <c r="Q3625" s="3" t="n">
        <v>2943</v>
      </c>
      <c r="R3625" s="3" t="inlineStr">
        <is>
          <t>지정되지않음</t>
        </is>
      </c>
      <c r="S3625" s="3" t="inlineStr">
        <is>
          <t>전</t>
        </is>
      </c>
      <c r="T3625" s="3" t="inlineStr">
        <is>
          <t>평지</t>
        </is>
      </c>
      <c r="U3625" s="3" t="inlineStr">
        <is>
          <t>부정형</t>
        </is>
      </c>
      <c r="V3625" s="3" t="inlineStr">
        <is>
          <t>세로한면(가)</t>
        </is>
      </c>
    </row>
    <row r="3626">
      <c r="A3626" s="3" t="inlineStr">
        <is>
          <t>세종특별자치시 연서면 부동리 108-2</t>
        </is>
      </c>
      <c r="B3626" s="3" t="inlineStr">
        <is>
          <t>계획관리지역</t>
        </is>
      </c>
      <c r="C3626" s="3" t="inlineStr">
        <is>
          <t>도로</t>
        </is>
      </c>
      <c r="D3626" s="3" t="inlineStr">
        <is>
          <t>전</t>
        </is>
      </c>
      <c r="E3626" s="3" t="inlineStr">
        <is>
          <t>매매</t>
        </is>
      </c>
      <c r="F3626" s="4" t="n">
        <v>220000</v>
      </c>
      <c r="G3626" s="4" t="n">
        <v>2943</v>
      </c>
      <c r="H3626" s="4" t="n">
        <v>890</v>
      </c>
      <c r="I3626" s="5" t="n">
        <v>247.2</v>
      </c>
      <c r="J3626" s="4" t="n">
        <v>15.3</v>
      </c>
      <c r="K3626" s="3" t="inlineStr">
        <is>
          <t>세종스마트산단 초인접 계획관리</t>
        </is>
      </c>
      <c r="L3626" s="6">
        <f>HYPERLINK("https://fin.land.naver.com/articles/2645464056", "매물Link")</f>
        <v/>
      </c>
      <c r="M3626" s="6">
        <f>HYPERLINK("https://map.naver.com/p/search/세종특별자치시 연서면 부동리 108-2", "지도Link")</f>
        <v/>
      </c>
      <c r="N3626" s="6">
        <f>HYPERLINK("http://www.eum.go.kr/web/ar/lu/luLandDet.jsp?pnu=3611036032101080002&amp;isNoScr=script&amp;mode=search", "토지이음")</f>
        <v/>
      </c>
      <c r="O3626" s="3" t="inlineStr">
        <is>
          <t>강아지풀</t>
        </is>
      </c>
      <c r="P3626" s="3" t="n">
        <v>1</v>
      </c>
      <c r="Q3626" s="3" t="n">
        <v>155</v>
      </c>
      <c r="R3626" s="3" t="inlineStr">
        <is>
          <t>지정되지않음</t>
        </is>
      </c>
      <c r="S3626" s="3" t="inlineStr">
        <is>
          <t>도로등</t>
        </is>
      </c>
      <c r="T3626" s="3" t="inlineStr">
        <is>
          <t>평지</t>
        </is>
      </c>
      <c r="U3626" s="3" t="inlineStr">
        <is>
          <t>부정형</t>
        </is>
      </c>
      <c r="V3626" s="3" t="inlineStr">
        <is>
          <t>지정되지않음</t>
        </is>
      </c>
    </row>
    <row r="3627">
      <c r="A3627" s="3" t="inlineStr">
        <is>
          <t>세종특별자치시 연서면 부동리 255-1</t>
        </is>
      </c>
      <c r="B3627" s="3" t="inlineStr">
        <is>
          <t>계획관리지역</t>
        </is>
      </c>
      <c r="C3627" s="3" t="inlineStr">
        <is>
          <t>임야</t>
        </is>
      </c>
      <c r="D3627" s="3" t="inlineStr">
        <is>
          <t>임야</t>
        </is>
      </c>
      <c r="E3627" s="3" t="inlineStr">
        <is>
          <t>매매</t>
        </is>
      </c>
      <c r="F3627" s="4" t="n">
        <v>280000</v>
      </c>
      <c r="G3627" s="4" t="n">
        <v>2645</v>
      </c>
      <c r="H3627" s="4" t="n">
        <v>800</v>
      </c>
      <c r="I3627" s="5" t="n">
        <v>350</v>
      </c>
      <c r="J3627" s="4" t="n">
        <v>82.59999999999999</v>
      </c>
      <c r="K3627" s="3" t="inlineStr">
        <is>
          <t>도로접한 근생용지,세종국가산업단지와 조치원일반산업단지 근접</t>
        </is>
      </c>
      <c r="L3627" s="6">
        <f>HYPERLINK("https://fin.land.naver.com/articles/2644482290", "매물Link")</f>
        <v/>
      </c>
      <c r="M3627" s="6">
        <f>HYPERLINK("https://map.naver.com/p/search/세종특별자치시 연서면 부동리 255-1", "지도Link")</f>
        <v/>
      </c>
      <c r="N3627" s="6">
        <f>HYPERLINK("http://www.eum.go.kr/web/ar/lu/luLandDet.jsp?pnu=3611036032102550001&amp;isNoScr=script&amp;mode=search", "토지이음")</f>
        <v/>
      </c>
      <c r="O3627" s="3" t="inlineStr">
        <is>
          <t>세종나라</t>
        </is>
      </c>
      <c r="P3627" s="3" t="n">
        <v>1</v>
      </c>
      <c r="Q3627" s="3" t="n">
        <v>2448</v>
      </c>
      <c r="R3627" s="3" t="inlineStr">
        <is>
          <t>보전관리지역</t>
        </is>
      </c>
      <c r="S3627" s="3" t="inlineStr">
        <is>
          <t>전기타</t>
        </is>
      </c>
      <c r="T3627" s="3" t="inlineStr">
        <is>
          <t>평지</t>
        </is>
      </c>
      <c r="U3627" s="3" t="inlineStr">
        <is>
          <t>사다리형</t>
        </is>
      </c>
      <c r="V3627" s="3" t="inlineStr">
        <is>
          <t>소로각지</t>
        </is>
      </c>
    </row>
    <row r="3628">
      <c r="A3628" s="3" t="inlineStr">
        <is>
          <t>세종특별자치시 연서면 부동리 65</t>
        </is>
      </c>
      <c r="B3628" s="3" t="inlineStr">
        <is>
          <t>계획관리지역</t>
        </is>
      </c>
      <c r="C3628" s="3" t="inlineStr">
        <is>
          <t>전</t>
        </is>
      </c>
      <c r="D3628" s="3" t="inlineStr">
        <is>
          <t>전</t>
        </is>
      </c>
      <c r="E3628" s="3" t="inlineStr">
        <is>
          <t>매매</t>
        </is>
      </c>
      <c r="F3628" s="4" t="n">
        <v>138000</v>
      </c>
      <c r="G3628" s="4" t="n">
        <v>1143</v>
      </c>
      <c r="H3628" s="4" t="n">
        <v>346</v>
      </c>
      <c r="I3628" s="5" t="n">
        <v>398.8</v>
      </c>
      <c r="J3628" s="4" t="n">
        <v>55.8</v>
      </c>
      <c r="K3628" s="3" t="inlineStr">
        <is>
          <t>조율가능 국가산단인근 귀한 계획관리 매물</t>
        </is>
      </c>
      <c r="L3628" s="6">
        <f>HYPERLINK("https://fin.land.naver.com/articles/2648979075", "매물Link")</f>
        <v/>
      </c>
      <c r="M3628" s="6">
        <f>HYPERLINK("https://map.naver.com/p/search/세종특별자치시 연서면 부동리 65", "지도Link")</f>
        <v/>
      </c>
      <c r="N3628" s="6">
        <f>HYPERLINK("http://www.eum.go.kr/web/ar/lu/luLandDet.jsp?pnu=3611036032100650000&amp;isNoScr=script&amp;mode=search", "토지이음")</f>
        <v/>
      </c>
      <c r="O3628" s="3" t="inlineStr">
        <is>
          <t>세종스타</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세종특별자치시 연서면 부동리 65</t>
        </is>
      </c>
      <c r="B3629" s="3" t="inlineStr">
        <is>
          <t>계획관리지역</t>
        </is>
      </c>
      <c r="C3629" s="3" t="inlineStr">
        <is>
          <t>전</t>
        </is>
      </c>
      <c r="D3629" s="3" t="inlineStr">
        <is>
          <t>전</t>
        </is>
      </c>
      <c r="E3629" s="3" t="inlineStr">
        <is>
          <t>매매</t>
        </is>
      </c>
      <c r="F3629" s="4" t="n">
        <v>138000</v>
      </c>
      <c r="G3629" s="4" t="n">
        <v>1022</v>
      </c>
      <c r="H3629" s="4" t="n">
        <v>309</v>
      </c>
      <c r="I3629" s="5" t="n">
        <v>446.6</v>
      </c>
      <c r="J3629" s="4" t="n">
        <v>55.8</v>
      </c>
      <c r="K3629" s="3" t="inlineStr">
        <is>
          <t>계획관리 전</t>
        </is>
      </c>
      <c r="L3629" s="6">
        <f>HYPERLINK("https://fin.land.naver.com/articles/2649731129", "매물Link")</f>
        <v/>
      </c>
      <c r="M3629" s="6">
        <f>HYPERLINK("https://map.naver.com/p/search/세종특별자치시 연서면 부동리 65", "지도Link")</f>
        <v/>
      </c>
      <c r="N3629" s="6">
        <f>HYPERLINK("http://www.eum.go.kr/web/ar/lu/luLandDet.jsp?pnu=3611036032100650000&amp;isNoScr=script&amp;mode=search", "토지이음")</f>
        <v/>
      </c>
      <c r="O3629" s="3" t="inlineStr">
        <is>
          <t>세종몽땅</t>
        </is>
      </c>
      <c r="P3629" s="3" t="n">
        <v>1</v>
      </c>
      <c r="Q3629" s="3" t="n">
        <v>1022</v>
      </c>
      <c r="R3629" s="3" t="inlineStr">
        <is>
          <t>지정되지않음</t>
        </is>
      </c>
      <c r="S3629" s="3" t="inlineStr">
        <is>
          <t>전</t>
        </is>
      </c>
      <c r="T3629" s="3" t="inlineStr">
        <is>
          <t>평지</t>
        </is>
      </c>
      <c r="U3629" s="3" t="inlineStr">
        <is>
          <t>사다리형</t>
        </is>
      </c>
      <c r="V3629" s="3" t="inlineStr">
        <is>
          <t>세로한면(가)</t>
        </is>
      </c>
    </row>
    <row r="3630">
      <c r="A3630" s="3" t="inlineStr">
        <is>
          <t>세종특별자치시 연서면 부동리 80-2</t>
        </is>
      </c>
      <c r="B3630" s="3" t="inlineStr">
        <is>
          <t>계획관리지역</t>
        </is>
      </c>
      <c r="C3630" s="3" t="inlineStr">
        <is>
          <t>대</t>
        </is>
      </c>
      <c r="D3630" s="3" t="inlineStr">
        <is>
          <t>대</t>
        </is>
      </c>
      <c r="E3630" s="3" t="inlineStr">
        <is>
          <t>매매</t>
        </is>
      </c>
      <c r="F3630" s="4" t="n">
        <v>39000</v>
      </c>
      <c r="G3630" s="4" t="n">
        <v>507</v>
      </c>
      <c r="H3630" s="4" t="n">
        <v>153</v>
      </c>
      <c r="I3630" s="5" t="n">
        <v>254.9</v>
      </c>
      <c r="J3630" s="4" t="n">
        <v>86.40000000000001</v>
      </c>
      <c r="K3630" s="3" t="inlineStr">
        <is>
          <t>국가산단인근,조치원산단인근,세종6생활권인근</t>
        </is>
      </c>
      <c r="L3630" s="6">
        <f>HYPERLINK("https://fin.land.naver.com/articles/2647073219", "매물Link")</f>
        <v/>
      </c>
      <c r="M3630" s="6">
        <f>HYPERLINK("https://map.naver.com/p/search/세종특별자치시 연서면 부동리 80-2", "지도Link")</f>
        <v/>
      </c>
      <c r="N3630" s="6">
        <f>HYPERLINK("http://www.eum.go.kr/web/ar/lu/luLandDet.jsp?pnu=3611036032100800002&amp;isNoScr=script&amp;mode=search", "토지이음")</f>
        <v/>
      </c>
      <c r="O3630" s="3" t="inlineStr">
        <is>
          <t>세종강남</t>
        </is>
      </c>
      <c r="P3630" s="3" t="n">
        <v>1</v>
      </c>
      <c r="Q3630" s="3" t="n">
        <v>507</v>
      </c>
      <c r="R3630" s="3" t="inlineStr">
        <is>
          <t>지정되지않음</t>
        </is>
      </c>
      <c r="S3630" s="3" t="inlineStr">
        <is>
          <t>단독</t>
        </is>
      </c>
      <c r="T3630" s="3" t="inlineStr">
        <is>
          <t>평지</t>
        </is>
      </c>
      <c r="U3630" s="3" t="inlineStr">
        <is>
          <t>사다리형</t>
        </is>
      </c>
      <c r="V3630" s="3" t="inlineStr">
        <is>
          <t>세로한면(불)</t>
        </is>
      </c>
    </row>
    <row r="3631">
      <c r="A3631" s="3" t="inlineStr">
        <is>
          <t>세종특별자치시 연서면 성제리 100-1</t>
        </is>
      </c>
      <c r="B3631" s="3" t="inlineStr">
        <is>
          <t>농림지역</t>
        </is>
      </c>
      <c r="C3631" s="3" t="inlineStr">
        <is>
          <t>답</t>
        </is>
      </c>
      <c r="D3631" s="3" t="inlineStr">
        <is>
          <t>답</t>
        </is>
      </c>
      <c r="E3631" s="3" t="inlineStr">
        <is>
          <t>매매</t>
        </is>
      </c>
      <c r="F3631" s="4" t="n">
        <v>76500</v>
      </c>
      <c r="G3631" s="4" t="n">
        <v>2970</v>
      </c>
      <c r="H3631" s="4" t="n">
        <v>898</v>
      </c>
      <c r="I3631" s="5" t="n">
        <v>85.2</v>
      </c>
      <c r="J3631" s="4" t="n">
        <v>26.6</v>
      </c>
      <c r="K3631" s="3" t="inlineStr">
        <is>
          <t>스마트팜 및 대토, 농업경영체 등록 최적지 추천</t>
        </is>
      </c>
      <c r="L3631" s="6">
        <f>HYPERLINK("https://fin.land.naver.com/articles/2644698864", "매물Link")</f>
        <v/>
      </c>
      <c r="M3631" s="6">
        <f>HYPERLINK("https://map.naver.com/p/search/세종특별자치시 연서면 성제리 100-1", "지도Link")</f>
        <v/>
      </c>
      <c r="N3631" s="6">
        <f>HYPERLINK("http://www.eum.go.kr/web/ar/lu/luLandDet.jsp?pnu=3611036023101000001&amp;isNoScr=script&amp;mode=search", "토지이음")</f>
        <v/>
      </c>
      <c r="O3631" s="3" t="inlineStr">
        <is>
          <t>지성</t>
        </is>
      </c>
      <c r="P3631" s="3" t="n">
        <v>1</v>
      </c>
      <c r="Q3631" s="3" t="n">
        <v>2970</v>
      </c>
      <c r="R3631" s="3" t="inlineStr">
        <is>
          <t>지정되지않음</t>
        </is>
      </c>
      <c r="S3631" s="3" t="inlineStr">
        <is>
          <t>답</t>
        </is>
      </c>
      <c r="T3631" s="3" t="inlineStr">
        <is>
          <t>평지</t>
        </is>
      </c>
      <c r="U3631" s="3" t="inlineStr">
        <is>
          <t>세로장방</t>
        </is>
      </c>
      <c r="V3631" s="3" t="inlineStr">
        <is>
          <t>세로각지(가)</t>
        </is>
      </c>
    </row>
    <row r="3632">
      <c r="A3632" s="3" t="inlineStr">
        <is>
          <t>세종특별자치시 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도로접한 과수원 매매</t>
        </is>
      </c>
      <c r="L3632" s="6">
        <f>HYPERLINK("https://fin.land.naver.com/articles/2647111799", "매물Link")</f>
        <v/>
      </c>
      <c r="M3632" s="6">
        <f>HYPERLINK("https://map.naver.com/p/search/세종특별자치시 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세종특별자치시 연서면 성제리 145-14</t>
        </is>
      </c>
      <c r="B3633" s="3" t="inlineStr">
        <is>
          <t>자연녹지지역</t>
        </is>
      </c>
      <c r="C3633" s="3" t="inlineStr">
        <is>
          <t>과수원</t>
        </is>
      </c>
      <c r="D3633" s="3" t="inlineStr">
        <is>
          <t>과수원</t>
        </is>
      </c>
      <c r="E3633" s="3" t="inlineStr">
        <is>
          <t>매매</t>
        </is>
      </c>
      <c r="F3633" s="4" t="n">
        <v>205000</v>
      </c>
      <c r="G3633" s="4" t="n">
        <v>2806</v>
      </c>
      <c r="H3633" s="4" t="n">
        <v>849</v>
      </c>
      <c r="I3633" s="5" t="n">
        <v>241.5</v>
      </c>
      <c r="J3633" s="4" t="n">
        <v>56</v>
      </c>
      <c r="K3633" s="3" t="inlineStr">
        <is>
          <t>국가산단인근 도로변 성장관리구역 과수원</t>
        </is>
      </c>
      <c r="L3633" s="6">
        <f>HYPERLINK("https://fin.land.naver.com/articles/2644279426", "매물Link")</f>
        <v/>
      </c>
      <c r="M3633" s="6">
        <f>HYPERLINK("https://map.naver.com/p/search/세종특별자치시 연서면 성제리 145-14", "지도Link")</f>
        <v/>
      </c>
      <c r="N3633" s="6">
        <f>HYPERLINK("http://www.eum.go.kr/web/ar/lu/luLandDet.jsp?pnu=3611036023101450014&amp;isNoScr=script&amp;mode=search", "토지이음")</f>
        <v/>
      </c>
      <c r="O3633" s="3" t="inlineStr">
        <is>
          <t>THE행복</t>
        </is>
      </c>
      <c r="P3633" s="3" t="n">
        <v>1</v>
      </c>
      <c r="Q3633" s="3" t="n">
        <v>57</v>
      </c>
      <c r="R3633" s="3" t="inlineStr">
        <is>
          <t>지정되지않음</t>
        </is>
      </c>
      <c r="S3633" s="3" t="inlineStr">
        <is>
          <t>과수원</t>
        </is>
      </c>
      <c r="T3633" s="3" t="inlineStr">
        <is>
          <t>평지</t>
        </is>
      </c>
      <c r="U3633" s="3" t="inlineStr">
        <is>
          <t>세로장방</t>
        </is>
      </c>
      <c r="V3633" s="3" t="inlineStr">
        <is>
          <t>세로한면(가)</t>
        </is>
      </c>
    </row>
    <row r="3634">
      <c r="A3634" s="3" t="inlineStr">
        <is>
          <t>세종특별자치시 연서면 성제리 158-6</t>
        </is>
      </c>
      <c r="B3634" s="3" t="inlineStr">
        <is>
          <t>자연녹지지역</t>
        </is>
      </c>
      <c r="C3634" s="3" t="inlineStr">
        <is>
          <t>창고용지</t>
        </is>
      </c>
      <c r="D3634" s="3" t="inlineStr">
        <is>
          <t>창고용지</t>
        </is>
      </c>
      <c r="E3634" s="3" t="inlineStr">
        <is>
          <t>매매</t>
        </is>
      </c>
      <c r="F3634" s="4" t="n">
        <v>55000</v>
      </c>
      <c r="G3634" s="4" t="n">
        <v>850</v>
      </c>
      <c r="H3634" s="4" t="n">
        <v>257</v>
      </c>
      <c r="I3634" s="5" t="n">
        <v>214</v>
      </c>
      <c r="J3634" s="4" t="n">
        <v>63.8</v>
      </c>
      <c r="K3634" s="3" t="inlineStr">
        <is>
          <t>포장도로에 접해있는 도시지역 자연녹지지역의 농업용창고 66㎡와 전850㎡</t>
        </is>
      </c>
      <c r="L3634" s="6">
        <f>HYPERLINK("https://fin.land.naver.com/articles/2645384692", "매물Link")</f>
        <v/>
      </c>
      <c r="M3634" s="6">
        <f>HYPERLINK("https://map.naver.com/p/search/세종특별자치시 연서면 성제리 158-6", "지도Link")</f>
        <v/>
      </c>
      <c r="N3634" s="6">
        <f>HYPERLINK("http://www.eum.go.kr/web/ar/lu/luLandDet.jsp?pnu=3611036023101580006&amp;isNoScr=script&amp;mode=search", "토지이음")</f>
        <v/>
      </c>
      <c r="O3634" s="3" t="inlineStr">
        <is>
          <t>스마일세종</t>
        </is>
      </c>
      <c r="P3634" s="3" t="n">
        <v>1</v>
      </c>
      <c r="Q3634" s="3" t="n">
        <v>440</v>
      </c>
      <c r="R3634" s="3" t="inlineStr">
        <is>
          <t>지정되지않음</t>
        </is>
      </c>
      <c r="S3634" s="3" t="inlineStr">
        <is>
          <t>전창고</t>
        </is>
      </c>
      <c r="T3634" s="3" t="inlineStr">
        <is>
          <t>평지</t>
        </is>
      </c>
      <c r="U3634" s="3" t="inlineStr">
        <is>
          <t>세로장방</t>
        </is>
      </c>
      <c r="V3634" s="3" t="inlineStr">
        <is>
          <t>세로한면(가)</t>
        </is>
      </c>
    </row>
    <row r="3635">
      <c r="A3635" s="3" t="inlineStr">
        <is>
          <t>세종특별자치시 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HYPERLINK("https://map.naver.com/p/search/세종특별자치시 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세종특별자치시 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HYPERLINK("https://map.naver.com/p/search/세종특별자치시 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세종특별자치시 연서면 성제리 186-5</t>
        </is>
      </c>
      <c r="B3637" s="3" t="inlineStr">
        <is>
          <t>농림지역</t>
        </is>
      </c>
      <c r="C3637" s="3" t="inlineStr">
        <is>
          <t>답</t>
        </is>
      </c>
      <c r="D3637" s="3" t="inlineStr">
        <is>
          <t>답</t>
        </is>
      </c>
      <c r="E3637" s="3" t="inlineStr">
        <is>
          <t>매매</t>
        </is>
      </c>
      <c r="F3637" s="4" t="n">
        <v>80500</v>
      </c>
      <c r="G3637" s="4" t="n">
        <v>2045</v>
      </c>
      <c r="H3637" s="4" t="n">
        <v>619</v>
      </c>
      <c r="I3637" s="5" t="n">
        <v>130</v>
      </c>
      <c r="J3637" s="4" t="n">
        <v>27.3</v>
      </c>
      <c r="K3637" s="3" t="inlineStr">
        <is>
          <t>세종시근접 2차선도로접 토지,향후 개발가능성높은 토지입니다.</t>
        </is>
      </c>
      <c r="L3637" s="6">
        <f>HYPERLINK("https://fin.land.naver.com/articles/2648033562", "매물Link")</f>
        <v/>
      </c>
      <c r="M3637" s="6">
        <f>HYPERLINK("https://map.naver.com/p/search/세종특별자치시 연서면 성제리 186-5", "지도Link")</f>
        <v/>
      </c>
      <c r="N3637" s="6">
        <f>HYPERLINK("http://www.eum.go.kr/web/ar/lu/luLandDet.jsp?pnu=3611036023101860005&amp;isNoScr=script&amp;mode=search", "토지이음")</f>
        <v/>
      </c>
      <c r="O3637" s="3" t="inlineStr">
        <is>
          <t>담뜰</t>
        </is>
      </c>
      <c r="P3637" s="3" t="n">
        <v>3</v>
      </c>
      <c r="Q3637" s="3" t="n">
        <v>2045</v>
      </c>
      <c r="R3637" s="3" t="inlineStr">
        <is>
          <t>지정되지않음</t>
        </is>
      </c>
      <c r="S3637" s="3" t="inlineStr">
        <is>
          <t>답</t>
        </is>
      </c>
      <c r="T3637" s="3" t="inlineStr">
        <is>
          <t>평지</t>
        </is>
      </c>
      <c r="U3637" s="3" t="inlineStr">
        <is>
          <t>가로장방</t>
        </is>
      </c>
      <c r="V3637" s="3" t="inlineStr">
        <is>
          <t>세로한면(가)</t>
        </is>
      </c>
    </row>
    <row r="3638">
      <c r="A3638" s="3" t="inlineStr">
        <is>
          <t>세종특별자치시 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HYPERLINK("https://map.naver.com/p/search/세종특별자치시 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세종특별자치시 연서면 성제리 186-6</t>
        </is>
      </c>
      <c r="B3639" s="3" t="inlineStr">
        <is>
          <t>농림지역</t>
        </is>
      </c>
      <c r="C3639" s="3" t="inlineStr">
        <is>
          <t>답</t>
        </is>
      </c>
      <c r="D3639" s="3" t="inlineStr">
        <is>
          <t>답</t>
        </is>
      </c>
      <c r="E3639" s="3" t="inlineStr">
        <is>
          <t>매매</t>
        </is>
      </c>
      <c r="F3639" s="4" t="n">
        <v>119700</v>
      </c>
      <c r="G3639" s="4" t="n">
        <v>3045</v>
      </c>
      <c r="H3639" s="4" t="n">
        <v>921</v>
      </c>
      <c r="I3639" s="5" t="n">
        <v>130</v>
      </c>
      <c r="J3639" s="4" t="n">
        <v>27.3</v>
      </c>
      <c r="K3639" s="3" t="inlineStr">
        <is>
          <t>세종시근접 2차선도로접 토지,향후 개발가능성높은 토지입니다.</t>
        </is>
      </c>
      <c r="L3639" s="6">
        <f>HYPERLINK("https://fin.land.naver.com/articles/2648921014", "매물Link")</f>
        <v/>
      </c>
      <c r="M3639" s="6">
        <f>HYPERLINK("https://map.naver.com/p/search/세종특별자치시 연서면 성제리 186-6", "지도Link")</f>
        <v/>
      </c>
      <c r="N3639" s="6">
        <f>HYPERLINK("http://www.eum.go.kr/web/ar/lu/luLandDet.jsp?pnu=3611036023101860006&amp;isNoScr=script&amp;mode=search", "토지이음")</f>
        <v/>
      </c>
      <c r="O3639" s="3" t="inlineStr">
        <is>
          <t>담뜰</t>
        </is>
      </c>
      <c r="P3639" s="3" t="n">
        <v>3</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세종특별자치시 연서면 성제리 186-6</t>
        </is>
      </c>
      <c r="B3640" s="3" t="inlineStr">
        <is>
          <t>농림지역</t>
        </is>
      </c>
      <c r="C3640" s="3" t="inlineStr">
        <is>
          <t>답</t>
        </is>
      </c>
      <c r="D3640" s="3" t="inlineStr">
        <is>
          <t>답</t>
        </is>
      </c>
      <c r="E3640" s="3" t="inlineStr">
        <is>
          <t>매매</t>
        </is>
      </c>
      <c r="F3640" s="4" t="n">
        <v>93000</v>
      </c>
      <c r="G3640" s="4" t="n">
        <v>2045</v>
      </c>
      <c r="H3640" s="4" t="n">
        <v>619</v>
      </c>
      <c r="I3640" s="5" t="n">
        <v>150.2</v>
      </c>
      <c r="J3640" s="4" t="n">
        <v>27.3</v>
      </c>
      <c r="K3640" s="3" t="inlineStr">
        <is>
          <t>2차선 도로변 토지 매매</t>
        </is>
      </c>
      <c r="L3640" s="6">
        <f>HYPERLINK("https://fin.land.naver.com/articles/2647481662", "매물Link")</f>
        <v/>
      </c>
      <c r="M3640" s="6">
        <f>HYPERLINK("https://map.naver.com/p/search/세종특별자치시 연서면 성제리 186-6", "지도Link")</f>
        <v/>
      </c>
      <c r="N3640" s="6">
        <f>HYPERLINK("http://www.eum.go.kr/web/ar/lu/luLandDet.jsp?pnu=3611036023101860006&amp;isNoScr=script&amp;mode=search", "토지이음")</f>
        <v/>
      </c>
      <c r="O3640" s="3" t="inlineStr">
        <is>
          <t>주식회사넥서스</t>
        </is>
      </c>
      <c r="P3640" s="3" t="n">
        <v>1</v>
      </c>
      <c r="Q3640" s="3" t="n">
        <v>3045</v>
      </c>
      <c r="R3640" s="3" t="inlineStr">
        <is>
          <t>지정되지않음</t>
        </is>
      </c>
      <c r="S3640" s="3" t="inlineStr">
        <is>
          <t>답</t>
        </is>
      </c>
      <c r="T3640" s="3" t="inlineStr">
        <is>
          <t>평지</t>
        </is>
      </c>
      <c r="U3640" s="3" t="inlineStr">
        <is>
          <t>가로장방</t>
        </is>
      </c>
      <c r="V3640" s="3" t="inlineStr">
        <is>
          <t>세로한면(가)</t>
        </is>
      </c>
    </row>
    <row r="3641">
      <c r="A3641" s="3" t="inlineStr">
        <is>
          <t>세종특별자치시 연서면 성제리 188-3</t>
        </is>
      </c>
      <c r="B3641" s="3" t="inlineStr">
        <is>
          <t>농림지역</t>
        </is>
      </c>
      <c r="C3641" s="3" t="inlineStr">
        <is>
          <t>과수원</t>
        </is>
      </c>
      <c r="D3641" s="3" t="inlineStr">
        <is>
          <t>과수원</t>
        </is>
      </c>
      <c r="E3641" s="3" t="inlineStr">
        <is>
          <t>매매</t>
        </is>
      </c>
      <c r="F3641" s="4" t="n">
        <v>69000</v>
      </c>
      <c r="G3641" s="4" t="n">
        <v>1535</v>
      </c>
      <c r="H3641" s="4" t="n">
        <v>464</v>
      </c>
      <c r="I3641" s="5" t="n">
        <v>148.7</v>
      </c>
      <c r="J3641" s="4" t="n">
        <v>26.8</v>
      </c>
      <c r="K3641" s="3" t="inlineStr">
        <is>
          <t>연서면 성제리 지목이 과수원으로 마을 포장도로에 접해 있어 이용가치 높은</t>
        </is>
      </c>
      <c r="L3641" s="6">
        <f>HYPERLINK("https://fin.land.naver.com/articles/2645998585", "매물Link")</f>
        <v/>
      </c>
      <c r="M3641" s="6">
        <f>HYPERLINK("https://map.naver.com/p/search/세종특별자치시 연서면 성제리 188-3", "지도Link")</f>
        <v/>
      </c>
      <c r="N3641" s="6">
        <f>HYPERLINK("http://www.eum.go.kr/web/ar/lu/luLandDet.jsp?pnu=3611036023101880003&amp;isNoScr=script&amp;mode=search", "토지이음")</f>
        <v/>
      </c>
      <c r="O3641" s="3" t="inlineStr">
        <is>
          <t>스마일세종</t>
        </is>
      </c>
      <c r="P3641" s="3" t="n">
        <v>1</v>
      </c>
      <c r="Q3641" s="3" t="n">
        <v>1535</v>
      </c>
      <c r="R3641" s="3" t="inlineStr">
        <is>
          <t>지정되지않음</t>
        </is>
      </c>
      <c r="S3641" s="3" t="inlineStr">
        <is>
          <t>과수원</t>
        </is>
      </c>
      <c r="T3641" s="3" t="inlineStr">
        <is>
          <t>평지</t>
        </is>
      </c>
      <c r="U3641" s="3" t="inlineStr">
        <is>
          <t>가로장방</t>
        </is>
      </c>
      <c r="V3641" s="3" t="inlineStr">
        <is>
          <t>세로한면(가)</t>
        </is>
      </c>
    </row>
    <row r="3642">
      <c r="A3642" s="3" t="inlineStr">
        <is>
          <t>세종특별자치시 연서면 성제리 190-7</t>
        </is>
      </c>
      <c r="B3642" s="3" t="inlineStr">
        <is>
          <t>농림지역</t>
        </is>
      </c>
      <c r="C3642" s="3" t="inlineStr">
        <is>
          <t>답</t>
        </is>
      </c>
      <c r="D3642" s="3" t="inlineStr">
        <is>
          <t>답</t>
        </is>
      </c>
      <c r="E3642" s="3" t="inlineStr">
        <is>
          <t>매매</t>
        </is>
      </c>
      <c r="F3642" s="4" t="n">
        <v>71900</v>
      </c>
      <c r="G3642" s="4" t="n">
        <v>1980</v>
      </c>
      <c r="H3642" s="4" t="n">
        <v>599</v>
      </c>
      <c r="I3642" s="5" t="n">
        <v>120</v>
      </c>
      <c r="J3642" s="4" t="n">
        <v>26.8</v>
      </c>
      <c r="K3642" s="3" t="inlineStr">
        <is>
          <t>포장농로 접한 연서면 평탄 농업용 토지</t>
        </is>
      </c>
      <c r="L3642" s="6">
        <f>HYPERLINK("https://fin.land.naver.com/articles/2647424202", "매물Link")</f>
        <v/>
      </c>
      <c r="M3642" s="6">
        <f>HYPERLINK("https://map.naver.com/p/search/세종특별자치시 연서면 성제리 190-7", "지도Link")</f>
        <v/>
      </c>
      <c r="N3642" s="6">
        <f>HYPERLINK("http://www.eum.go.kr/web/ar/lu/luLandDet.jsp?pnu=3611036023101900007&amp;isNoScr=script&amp;mode=search", "토지이음")</f>
        <v/>
      </c>
      <c r="O3642" s="3" t="inlineStr">
        <is>
          <t>세종소담황금</t>
        </is>
      </c>
      <c r="P3642" s="3" t="n">
        <v>1</v>
      </c>
      <c r="Q3642" s="3" t="n">
        <v>1980</v>
      </c>
      <c r="R3642" s="3" t="inlineStr">
        <is>
          <t>지정되지않음</t>
        </is>
      </c>
      <c r="S3642" s="3" t="inlineStr">
        <is>
          <t>답</t>
        </is>
      </c>
      <c r="T3642" s="3" t="inlineStr">
        <is>
          <t>평지</t>
        </is>
      </c>
      <c r="U3642" s="3" t="inlineStr">
        <is>
          <t>가로장방</t>
        </is>
      </c>
      <c r="V3642" s="3" t="inlineStr">
        <is>
          <t>세로한면(가)</t>
        </is>
      </c>
    </row>
    <row r="3643">
      <c r="A3643" s="3" t="inlineStr">
        <is>
          <t>세종특별자치시 연서면 성제리 202-3</t>
        </is>
      </c>
      <c r="B3643" s="3" t="inlineStr">
        <is>
          <t>농림지역</t>
        </is>
      </c>
      <c r="C3643" s="3" t="inlineStr">
        <is>
          <t>답</t>
        </is>
      </c>
      <c r="D3643" s="3" t="inlineStr">
        <is>
          <t>답</t>
        </is>
      </c>
      <c r="E3643" s="3" t="inlineStr">
        <is>
          <t>매매</t>
        </is>
      </c>
      <c r="F3643" s="4" t="n">
        <v>54000</v>
      </c>
      <c r="G3643" s="4" t="n">
        <v>1790</v>
      </c>
      <c r="H3643" s="4" t="n">
        <v>541</v>
      </c>
      <c r="I3643" s="5" t="n">
        <v>99.8</v>
      </c>
      <c r="J3643" s="4" t="n">
        <v>25</v>
      </c>
      <c r="K3643" s="3" t="inlineStr">
        <is>
          <t>세종스마트 국가산업단지 인근에 있는 주변시세보다 저렴한 대토용 농지 급매</t>
        </is>
      </c>
      <c r="L3643" s="6">
        <f>HYPERLINK("https://fin.land.naver.com/articles/2649145962", "매물Link")</f>
        <v/>
      </c>
      <c r="M3643" s="6">
        <f>HYPERLINK("https://map.naver.com/p/search/세종특별자치시 연서면 성제리 202-3", "지도Link")</f>
        <v/>
      </c>
      <c r="N3643" s="6">
        <f>HYPERLINK("http://www.eum.go.kr/web/ar/lu/luLandDet.jsp?pnu=3611036023102020003&amp;isNoScr=script&amp;mode=search", "토지이음")</f>
        <v/>
      </c>
      <c r="O3643" s="3" t="inlineStr">
        <is>
          <t>스마일세종</t>
        </is>
      </c>
      <c r="P3643" s="3" t="n">
        <v>1</v>
      </c>
      <c r="Q3643" s="3" t="n">
        <v>1790</v>
      </c>
      <c r="R3643" s="3" t="inlineStr">
        <is>
          <t>지정되지않음</t>
        </is>
      </c>
      <c r="S3643" s="3" t="inlineStr">
        <is>
          <t>답</t>
        </is>
      </c>
      <c r="T3643" s="3" t="inlineStr">
        <is>
          <t>평지</t>
        </is>
      </c>
      <c r="U3643" s="3" t="inlineStr">
        <is>
          <t>가로장방</t>
        </is>
      </c>
      <c r="V3643" s="3" t="inlineStr">
        <is>
          <t>세로한면(가)</t>
        </is>
      </c>
    </row>
    <row r="3644">
      <c r="A3644" s="3" t="inlineStr">
        <is>
          <t>세종특별자치시 연서면 성제리 217-1</t>
        </is>
      </c>
      <c r="B3644" s="3" t="inlineStr">
        <is>
          <t>농림지역</t>
        </is>
      </c>
      <c r="C3644" s="3" t="inlineStr">
        <is>
          <t>답</t>
        </is>
      </c>
      <c r="D3644" s="3" t="inlineStr">
        <is>
          <t>답</t>
        </is>
      </c>
      <c r="E3644" s="3" t="inlineStr">
        <is>
          <t>매매</t>
        </is>
      </c>
      <c r="F3644" s="4" t="n">
        <v>35000</v>
      </c>
      <c r="G3644" s="4" t="n">
        <v>1430</v>
      </c>
      <c r="H3644" s="4" t="n">
        <v>433</v>
      </c>
      <c r="I3644" s="5" t="n">
        <v>80.8</v>
      </c>
      <c r="J3644" s="4" t="n">
        <v>25.2</v>
      </c>
      <c r="K3644" s="3" t="inlineStr">
        <is>
          <t>도로접한 농지</t>
        </is>
      </c>
      <c r="L3644" s="6">
        <f>HYPERLINK("https://fin.land.naver.com/articles/2644890063", "매물Link")</f>
        <v/>
      </c>
      <c r="M3644" s="6">
        <f>HYPERLINK("https://map.naver.com/p/search/세종특별자치시 연서면 성제리 217-1", "지도Link")</f>
        <v/>
      </c>
      <c r="N3644" s="6">
        <f>HYPERLINK("http://www.eum.go.kr/web/ar/lu/luLandDet.jsp?pnu=3611036023102170001&amp;isNoScr=script&amp;mode=search", "토지이음")</f>
        <v/>
      </c>
      <c r="O3644" s="3" t="inlineStr">
        <is>
          <t>세종대박</t>
        </is>
      </c>
      <c r="P3644" s="3" t="n">
        <v>1</v>
      </c>
      <c r="Q3644" s="3" t="n">
        <v>1430</v>
      </c>
      <c r="R3644" s="3" t="inlineStr">
        <is>
          <t>지정되지않음</t>
        </is>
      </c>
      <c r="S3644" s="3" t="inlineStr">
        <is>
          <t>답</t>
        </is>
      </c>
      <c r="T3644" s="3" t="inlineStr">
        <is>
          <t>평지</t>
        </is>
      </c>
      <c r="U3644" s="3" t="inlineStr">
        <is>
          <t>부정형</t>
        </is>
      </c>
      <c r="V3644" s="3" t="inlineStr">
        <is>
          <t>세로한면(가)</t>
        </is>
      </c>
    </row>
    <row r="3645">
      <c r="A3645" s="3" t="inlineStr">
        <is>
          <t>세종특별자치시 연서면 성제리 273-5</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투자가치 높은 도시지역내 과수원</t>
        </is>
      </c>
      <c r="L3645" s="6">
        <f>HYPERLINK("https://fin.land.naver.com/articles/2646007792", "매물Link")</f>
        <v/>
      </c>
      <c r="M3645" s="6">
        <f>HYPERLINK("https://map.naver.com/p/search/세종특별자치시 연서면 성제리 273-5", "지도Link")</f>
        <v/>
      </c>
      <c r="N3645" s="6">
        <f>HYPERLINK("http://www.eum.go.kr/web/ar/lu/luLandDet.jsp?pnu=3611036023102730005&amp;isNoScr=script&amp;mode=search", "토지이음")</f>
        <v/>
      </c>
      <c r="O3645" s="3" t="inlineStr">
        <is>
          <t>세종대박</t>
        </is>
      </c>
      <c r="P3645" s="3" t="n">
        <v>2</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세종특별자치시 연서면 성제리 273-6</t>
        </is>
      </c>
      <c r="B3646" s="3" t="inlineStr">
        <is>
          <t>자연녹지지역</t>
        </is>
      </c>
      <c r="C3646" s="3" t="inlineStr">
        <is>
          <t>과수원</t>
        </is>
      </c>
      <c r="D3646" s="3" t="inlineStr">
        <is>
          <t>과수원</t>
        </is>
      </c>
      <c r="E3646" s="3" t="inlineStr">
        <is>
          <t>매매</t>
        </is>
      </c>
      <c r="F3646" s="4" t="n">
        <v>180000</v>
      </c>
      <c r="G3646" s="4" t="n">
        <v>1984</v>
      </c>
      <c r="H3646" s="4" t="n">
        <v>600</v>
      </c>
      <c r="I3646" s="5" t="n">
        <v>300</v>
      </c>
      <c r="J3646" s="4" t="n">
        <v>55.9</v>
      </c>
      <c r="K3646" s="3" t="inlineStr">
        <is>
          <t>미래가치 높은 관리 잘된 투자형 과수원</t>
        </is>
      </c>
      <c r="L3646" s="6">
        <f>HYPERLINK("https://fin.land.naver.com/articles/2649629027", "매물Link")</f>
        <v/>
      </c>
      <c r="M3646" s="6">
        <f>HYPERLINK("https://map.naver.com/p/search/세종특별자치시 연서면 성제리 273-6", "지도Link")</f>
        <v/>
      </c>
      <c r="N3646" s="6">
        <f>HYPERLINK("http://www.eum.go.kr/web/ar/lu/luLandDet.jsp?pnu=3611036023102730006&amp;isNoScr=script&amp;mode=search", "토지이음")</f>
        <v/>
      </c>
      <c r="O3646" s="3" t="inlineStr">
        <is>
          <t>가치잇는</t>
        </is>
      </c>
      <c r="P3646" s="3" t="n">
        <v>1</v>
      </c>
      <c r="Q3646" s="3" t="n">
        <v>1984</v>
      </c>
      <c r="R3646" s="3" t="inlineStr">
        <is>
          <t>지정되지않음</t>
        </is>
      </c>
      <c r="S3646" s="3" t="inlineStr">
        <is>
          <t>과수원</t>
        </is>
      </c>
      <c r="T3646" s="3" t="inlineStr">
        <is>
          <t>완경사</t>
        </is>
      </c>
      <c r="U3646" s="3" t="inlineStr">
        <is>
          <t>사다리형</t>
        </is>
      </c>
      <c r="V3646" s="3" t="inlineStr">
        <is>
          <t>세로한면(가)</t>
        </is>
      </c>
    </row>
    <row r="3647">
      <c r="A3647" s="3" t="inlineStr">
        <is>
          <t>세종특별자치시 연서면 성제리 273-9</t>
        </is>
      </c>
      <c r="B3647" s="3" t="inlineStr">
        <is>
          <t>자연녹지지역</t>
        </is>
      </c>
      <c r="C3647" s="3" t="inlineStr">
        <is>
          <t>과수원</t>
        </is>
      </c>
      <c r="D3647" s="3" t="inlineStr">
        <is>
          <t>과수원</t>
        </is>
      </c>
      <c r="E3647" s="3" t="inlineStr">
        <is>
          <t>매매</t>
        </is>
      </c>
      <c r="F3647" s="4" t="n">
        <v>10000</v>
      </c>
      <c r="G3647" s="4" t="n">
        <v>330</v>
      </c>
      <c r="H3647" s="4" t="n">
        <v>100</v>
      </c>
      <c r="I3647" s="5" t="n">
        <v>100</v>
      </c>
      <c r="J3647" s="4" t="n">
        <v>39.5</v>
      </c>
      <c r="K3647" s="3" t="inlineStr">
        <is>
          <t>nan</t>
        </is>
      </c>
      <c r="L3647" s="6">
        <f>HYPERLINK("https://fin.land.naver.com/articles/2644345316", "매물Link")</f>
        <v/>
      </c>
      <c r="M3647" s="6">
        <f>HYPERLINK("https://map.naver.com/p/search/세종특별자치시 연서면 성제리 273-9", "지도Link")</f>
        <v/>
      </c>
      <c r="N3647" s="6">
        <f>HYPERLINK("http://www.eum.go.kr/web/ar/lu/luLandDet.jsp?pnu=3611036023102730009&amp;isNoScr=script&amp;mode=search", "토지이음")</f>
        <v/>
      </c>
      <c r="O3647" s="3" t="inlineStr">
        <is>
          <t>미스터홈즈강남지사</t>
        </is>
      </c>
      <c r="P3647" s="3" t="n">
        <v>1</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세종특별자치시 연서면 성제리 273-9</t>
        </is>
      </c>
      <c r="B3648" s="3" t="inlineStr">
        <is>
          <t>자연녹지지역</t>
        </is>
      </c>
      <c r="C3648" s="3" t="inlineStr">
        <is>
          <t>과수원</t>
        </is>
      </c>
      <c r="D3648" s="3" t="inlineStr">
        <is>
          <t>과수원</t>
        </is>
      </c>
      <c r="E3648" s="3" t="inlineStr">
        <is>
          <t>매매</t>
        </is>
      </c>
      <c r="F3648" s="4" t="n">
        <v>210000</v>
      </c>
      <c r="G3648" s="4" t="n">
        <v>3485</v>
      </c>
      <c r="H3648" s="4" t="n">
        <v>1054</v>
      </c>
      <c r="I3648" s="5" t="n">
        <v>199.2</v>
      </c>
      <c r="J3648" s="4" t="n">
        <v>39.5</v>
      </c>
      <c r="K3648" s="3" t="inlineStr">
        <is>
          <t>분할가능,실수요와 투자를 동시에.미래가치 충분</t>
        </is>
      </c>
      <c r="L3648" s="6">
        <f>HYPERLINK("https://fin.land.naver.com/articles/2646800317", "매물Link")</f>
        <v/>
      </c>
      <c r="M3648" s="6">
        <f>HYPERLINK("https://map.naver.com/p/search/세종특별자치시 연서면 성제리 273-9", "지도Link")</f>
        <v/>
      </c>
      <c r="N3648" s="6">
        <f>HYPERLINK("http://www.eum.go.kr/web/ar/lu/luLandDet.jsp?pnu=3611036023102730009&amp;isNoScr=script&amp;mode=search", "토지이음")</f>
        <v/>
      </c>
      <c r="O3648" s="3" t="inlineStr">
        <is>
          <t>가치잇는</t>
        </is>
      </c>
      <c r="P3648" s="3" t="n">
        <v>2</v>
      </c>
      <c r="Q3648" s="3" t="n">
        <v>3485</v>
      </c>
      <c r="R3648" s="3" t="inlineStr">
        <is>
          <t>지정되지않음</t>
        </is>
      </c>
      <c r="S3648" s="3" t="inlineStr">
        <is>
          <t>과수원</t>
        </is>
      </c>
      <c r="T3648" s="3" t="inlineStr">
        <is>
          <t>급경사</t>
        </is>
      </c>
      <c r="U3648" s="3" t="inlineStr">
        <is>
          <t>부정형</t>
        </is>
      </c>
      <c r="V3648" s="3" t="inlineStr">
        <is>
          <t>세로한면(가)</t>
        </is>
      </c>
    </row>
    <row r="3649">
      <c r="A3649" s="3" t="inlineStr">
        <is>
          <t>세종특별자치시 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HYPERLINK("https://map.naver.com/p/search/세종특별자치시 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세종특별자치시 연서면 성제리 280-9</t>
        </is>
      </c>
      <c r="B3650" s="3" t="inlineStr">
        <is>
          <t>자연녹지지역</t>
        </is>
      </c>
      <c r="C3650" s="3" t="inlineStr">
        <is>
          <t>전</t>
        </is>
      </c>
      <c r="D3650" s="3" t="inlineStr">
        <is>
          <t>전</t>
        </is>
      </c>
      <c r="E3650" s="3" t="inlineStr">
        <is>
          <t>매매</t>
        </is>
      </c>
      <c r="F3650" s="4" t="n">
        <v>96000</v>
      </c>
      <c r="G3650" s="4" t="n">
        <v>3193</v>
      </c>
      <c r="H3650" s="4" t="n">
        <v>966</v>
      </c>
      <c r="I3650" s="5" t="n">
        <v>99.40000000000001</v>
      </c>
      <c r="J3650" s="4" t="n">
        <v>74.8</v>
      </c>
      <c r="K3650" s="3" t="inlineStr">
        <is>
          <t>연서면행정복지센타 인근토지</t>
        </is>
      </c>
      <c r="L3650" s="6">
        <f>HYPERLINK("https://fin.land.naver.com/articles/2648029985", "매물Link")</f>
        <v/>
      </c>
      <c r="M3650" s="6">
        <f>HYPERLINK("https://map.naver.com/p/search/세종특별자치시 연서면 성제리 280-9", "지도Link")</f>
        <v/>
      </c>
      <c r="N3650" s="6">
        <f>HYPERLINK("http://www.eum.go.kr/web/ar/lu/luLandDet.jsp?pnu=3611036023102800009&amp;isNoScr=script&amp;mode=search", "토지이음")</f>
        <v/>
      </c>
      <c r="O3650" s="3" t="inlineStr">
        <is>
          <t>THE행복</t>
        </is>
      </c>
      <c r="P3650" s="3" t="n">
        <v>1</v>
      </c>
      <c r="Q3650" s="3" t="n">
        <v>2361</v>
      </c>
      <c r="R3650" s="3" t="inlineStr">
        <is>
          <t>지정되지않음</t>
        </is>
      </c>
      <c r="S3650" s="3" t="inlineStr">
        <is>
          <t>전</t>
        </is>
      </c>
      <c r="T3650" s="3" t="inlineStr">
        <is>
          <t>평지</t>
        </is>
      </c>
      <c r="U3650" s="3" t="inlineStr">
        <is>
          <t>사다리형</t>
        </is>
      </c>
      <c r="V3650" s="3" t="inlineStr">
        <is>
          <t>세로한면(가)</t>
        </is>
      </c>
    </row>
    <row r="3651">
      <c r="A3651" s="3" t="inlineStr">
        <is>
          <t>세종특별자치시 연서면 성제리 429</t>
        </is>
      </c>
      <c r="B3651" s="3" t="inlineStr">
        <is>
          <t>자연녹지지역</t>
        </is>
      </c>
      <c r="C3651" s="3" t="inlineStr">
        <is>
          <t>전</t>
        </is>
      </c>
      <c r="D3651" s="3" t="inlineStr">
        <is>
          <t>전</t>
        </is>
      </c>
      <c r="E3651" s="3" t="inlineStr">
        <is>
          <t>매매</t>
        </is>
      </c>
      <c r="F3651" s="4" t="n">
        <v>73000</v>
      </c>
      <c r="G3651" s="4" t="n">
        <v>959</v>
      </c>
      <c r="H3651" s="4" t="n">
        <v>290</v>
      </c>
      <c r="I3651" s="5" t="n">
        <v>251.7</v>
      </c>
      <c r="J3651" s="4" t="n">
        <v>62.5</v>
      </c>
      <c r="K3651" s="3" t="inlineStr">
        <is>
          <t>2차선 도로 인접 ,용도 변경 가능 미래 투자가치 좋은 금싸라기 땅</t>
        </is>
      </c>
      <c r="L3651" s="6">
        <f>HYPERLINK("https://fin.land.naver.com/articles/2645523085", "매물Link")</f>
        <v/>
      </c>
      <c r="M3651" s="6">
        <f>HYPERLINK("https://map.naver.com/p/search/세종특별자치시 연서면 성제리 429", "지도Link")</f>
        <v/>
      </c>
      <c r="N3651" s="6">
        <f>HYPERLINK("http://www.eum.go.kr/web/ar/lu/luLandDet.jsp?pnu=3611036023104290000&amp;isNoScr=script&amp;mode=search", "토지이음")</f>
        <v/>
      </c>
      <c r="O3651" s="3" t="inlineStr">
        <is>
          <t>강남뜰</t>
        </is>
      </c>
      <c r="P3651" s="3" t="n">
        <v>1</v>
      </c>
      <c r="Q3651" s="3" t="n">
        <v>959</v>
      </c>
      <c r="R3651" s="3" t="inlineStr">
        <is>
          <t>계획관리지역</t>
        </is>
      </c>
      <c r="S3651" s="3" t="inlineStr">
        <is>
          <t>과수원</t>
        </is>
      </c>
      <c r="T3651" s="3" t="inlineStr">
        <is>
          <t>평지</t>
        </is>
      </c>
      <c r="U3651" s="3" t="inlineStr">
        <is>
          <t>가로장방</t>
        </is>
      </c>
      <c r="V3651" s="3" t="inlineStr">
        <is>
          <t>세로한면(가)</t>
        </is>
      </c>
    </row>
    <row r="3652">
      <c r="A3652" s="3" t="inlineStr">
        <is>
          <t>세종특별자치시 연서면 성제리 446</t>
        </is>
      </c>
      <c r="B3652" s="3" t="inlineStr">
        <is>
          <t>자연녹지지역</t>
        </is>
      </c>
      <c r="C3652" s="3" t="inlineStr">
        <is>
          <t>답</t>
        </is>
      </c>
      <c r="D3652" s="3" t="inlineStr">
        <is>
          <t>답</t>
        </is>
      </c>
      <c r="E3652" s="3" t="inlineStr">
        <is>
          <t>매매</t>
        </is>
      </c>
      <c r="F3652" s="4" t="n">
        <v>82250</v>
      </c>
      <c r="G3652" s="4" t="n">
        <v>1087</v>
      </c>
      <c r="H3652" s="4" t="n">
        <v>329</v>
      </c>
      <c r="I3652" s="5" t="n">
        <v>250</v>
      </c>
      <c r="J3652" s="4" t="n">
        <v>65.90000000000001</v>
      </c>
      <c r="K3652" s="3" t="inlineStr">
        <is>
          <t>집짓기 좋은 정방형 토지 매매</t>
        </is>
      </c>
      <c r="L3652" s="6">
        <f>HYPERLINK("https://fin.land.naver.com/articles/2647111574", "매물Link")</f>
        <v/>
      </c>
      <c r="M3652" s="6">
        <f>HYPERLINK("https://map.naver.com/p/search/세종특별자치시 연서면 성제리 446", "지도Link")</f>
        <v/>
      </c>
      <c r="N3652" s="6">
        <f>HYPERLINK("http://www.eum.go.kr/web/ar/lu/luLandDet.jsp?pnu=3611036023104460000&amp;isNoScr=script&amp;mode=search", "토지이음")</f>
        <v/>
      </c>
      <c r="O3652" s="3" t="inlineStr">
        <is>
          <t>THE행복</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세종특별자치시 연서면 성제리 446</t>
        </is>
      </c>
      <c r="B3653" s="3" t="inlineStr">
        <is>
          <t>자연녹지지역</t>
        </is>
      </c>
      <c r="C3653" s="3" t="inlineStr">
        <is>
          <t>답</t>
        </is>
      </c>
      <c r="D3653" s="3" t="inlineStr">
        <is>
          <t>답</t>
        </is>
      </c>
      <c r="E3653" s="3" t="inlineStr">
        <is>
          <t>매매</t>
        </is>
      </c>
      <c r="F3653" s="4" t="n">
        <v>80000</v>
      </c>
      <c r="G3653" s="4" t="n">
        <v>1088</v>
      </c>
      <c r="H3653" s="4" t="n">
        <v>329</v>
      </c>
      <c r="I3653" s="5" t="n">
        <v>243.2</v>
      </c>
      <c r="J3653" s="4" t="n">
        <v>65.90000000000001</v>
      </c>
      <c r="K3653" s="3" t="inlineStr">
        <is>
          <t>코너 도시지역 자연녹지 밭 도심과 가까운 위치</t>
        </is>
      </c>
      <c r="L3653" s="6">
        <f>HYPERLINK("https://fin.land.naver.com/articles/2648498507", "매물Link")</f>
        <v/>
      </c>
      <c r="M3653" s="6">
        <f>HYPERLINK("https://map.naver.com/p/search/세종특별자치시 연서면 성제리 446", "지도Link")</f>
        <v/>
      </c>
      <c r="N3653" s="6">
        <f>HYPERLINK("http://www.eum.go.kr/web/ar/lu/luLandDet.jsp?pnu=3611036023104460000&amp;isNoScr=script&amp;mode=search", "토지이음")</f>
        <v/>
      </c>
      <c r="O3653" s="3" t="inlineStr">
        <is>
          <t>지성</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세종특별자치시 연서면 성제리 446</t>
        </is>
      </c>
      <c r="B3654" s="3" t="inlineStr">
        <is>
          <t>자연녹지지역</t>
        </is>
      </c>
      <c r="C3654" s="3" t="inlineStr">
        <is>
          <t>답</t>
        </is>
      </c>
      <c r="D3654" s="3" t="inlineStr">
        <is>
          <t>답</t>
        </is>
      </c>
      <c r="E3654" s="3" t="inlineStr">
        <is>
          <t>매매</t>
        </is>
      </c>
      <c r="F3654" s="4" t="n">
        <v>80000</v>
      </c>
      <c r="G3654" s="4" t="n">
        <v>1087</v>
      </c>
      <c r="H3654" s="4" t="n">
        <v>329</v>
      </c>
      <c r="I3654" s="5" t="n">
        <v>243.2</v>
      </c>
      <c r="J3654" s="4" t="n">
        <v>65.90000000000001</v>
      </c>
      <c r="K3654" s="3" t="inlineStr">
        <is>
          <t>국가산단인근  성장관리계획구역</t>
        </is>
      </c>
      <c r="L3654" s="6">
        <f>HYPERLINK("https://fin.land.naver.com/articles/2648491546", "매물Link")</f>
        <v/>
      </c>
      <c r="M3654" s="6">
        <f>HYPERLINK("https://map.naver.com/p/search/세종특별자치시 연서면 성제리 446", "지도Link")</f>
        <v/>
      </c>
      <c r="N3654" s="6">
        <f>HYPERLINK("http://www.eum.go.kr/web/ar/lu/luLandDet.jsp?pnu=3611036023104460000&amp;isNoScr=script&amp;mode=search", "토지이음")</f>
        <v/>
      </c>
      <c r="O3654" s="3" t="inlineStr">
        <is>
          <t>THE행복</t>
        </is>
      </c>
      <c r="P3654" s="3" t="n">
        <v>1</v>
      </c>
      <c r="Q3654" s="3" t="n">
        <v>1088</v>
      </c>
      <c r="R3654" s="3" t="inlineStr">
        <is>
          <t>지정되지않음</t>
        </is>
      </c>
      <c r="S3654" s="3" t="inlineStr">
        <is>
          <t>과수원</t>
        </is>
      </c>
      <c r="T3654" s="3" t="inlineStr">
        <is>
          <t>평지</t>
        </is>
      </c>
      <c r="U3654" s="3" t="inlineStr">
        <is>
          <t>사다리형</t>
        </is>
      </c>
      <c r="V3654" s="3" t="inlineStr">
        <is>
          <t>세로한면(가)</t>
        </is>
      </c>
    </row>
    <row r="3655">
      <c r="A3655" s="3" t="inlineStr">
        <is>
          <t>세종특별자치시 연서면 성제리 446-1</t>
        </is>
      </c>
      <c r="B3655" s="3" t="inlineStr">
        <is>
          <t>자연녹지지역</t>
        </is>
      </c>
      <c r="C3655" s="3" t="inlineStr">
        <is>
          <t>전</t>
        </is>
      </c>
      <c r="D3655" s="3" t="inlineStr">
        <is>
          <t>전</t>
        </is>
      </c>
      <c r="E3655" s="3" t="inlineStr">
        <is>
          <t>매매</t>
        </is>
      </c>
      <c r="F3655" s="4" t="n">
        <v>16000</v>
      </c>
      <c r="G3655" s="4" t="n">
        <v>330</v>
      </c>
      <c r="H3655" s="4" t="n">
        <v>100</v>
      </c>
      <c r="I3655" s="5" t="n">
        <v>160</v>
      </c>
      <c r="J3655" s="4" t="n">
        <v>56.6</v>
      </c>
      <c r="K3655" s="3" t="inlineStr">
        <is>
          <t>자연녹지 작은텃밭 도심 가까운 성제리 토지매매</t>
        </is>
      </c>
      <c r="L3655" s="6">
        <f>HYPERLINK("https://fin.land.naver.com/articles/2646241377", "매물Link")</f>
        <v/>
      </c>
      <c r="M3655" s="6">
        <f>HYPERLINK("https://map.naver.com/p/search/세종특별자치시 연서면 성제리 446-1", "지도Link")</f>
        <v/>
      </c>
      <c r="N3655" s="6">
        <f>HYPERLINK("http://www.eum.go.kr/web/ar/lu/luLandDet.jsp?pnu=3611036023104460001&amp;isNoScr=script&amp;mode=search", "토지이음")</f>
        <v/>
      </c>
      <c r="O3655" s="3" t="inlineStr">
        <is>
          <t>지성</t>
        </is>
      </c>
      <c r="P3655" s="3" t="n">
        <v>1</v>
      </c>
      <c r="Q3655" s="3" t="n">
        <v>330</v>
      </c>
      <c r="R3655" s="3" t="inlineStr">
        <is>
          <t>지정되지않음</t>
        </is>
      </c>
      <c r="S3655" s="3" t="inlineStr">
        <is>
          <t>과수원</t>
        </is>
      </c>
      <c r="T3655" s="3" t="inlineStr">
        <is>
          <t>평지</t>
        </is>
      </c>
      <c r="U3655" s="3" t="inlineStr">
        <is>
          <t>가로장방</t>
        </is>
      </c>
      <c r="V3655" s="3" t="inlineStr">
        <is>
          <t>맹지</t>
        </is>
      </c>
    </row>
    <row r="3656">
      <c r="A3656" s="3" t="inlineStr">
        <is>
          <t>세종특별자치시 연서면 성제리 448-5</t>
        </is>
      </c>
      <c r="B3656" s="3" t="inlineStr">
        <is>
          <t>자연녹지지역</t>
        </is>
      </c>
      <c r="C3656" s="3" t="inlineStr">
        <is>
          <t>전</t>
        </is>
      </c>
      <c r="D3656" s="3" t="inlineStr">
        <is>
          <t>전</t>
        </is>
      </c>
      <c r="E3656" s="3" t="inlineStr">
        <is>
          <t>매매</t>
        </is>
      </c>
      <c r="F3656" s="4" t="n">
        <v>25000</v>
      </c>
      <c r="G3656" s="4" t="n">
        <v>1213</v>
      </c>
      <c r="H3656" s="4" t="n">
        <v>367</v>
      </c>
      <c r="I3656" s="5" t="n">
        <v>68.09999999999999</v>
      </c>
      <c r="J3656" s="4" t="n">
        <v>53.2</v>
      </c>
      <c r="K3656" s="3" t="inlineStr">
        <is>
          <t>국가 산업 단지 근접투자 가치 용 토지</t>
        </is>
      </c>
      <c r="L3656" s="6">
        <f>HYPERLINK("https://fin.land.naver.com/articles/2649511861", "매물Link")</f>
        <v/>
      </c>
      <c r="M3656" s="6">
        <f>HYPERLINK("https://map.naver.com/p/search/세종특별자치시 연서면 성제리 448-5", "지도Link")</f>
        <v/>
      </c>
      <c r="N3656" s="6">
        <f>HYPERLINK("http://www.eum.go.kr/web/ar/lu/luLandDet.jsp?pnu=3611036023104480005&amp;isNoScr=script&amp;mode=search", "토지이음")</f>
        <v/>
      </c>
      <c r="O3656" s="3" t="inlineStr">
        <is>
          <t>현담</t>
        </is>
      </c>
      <c r="P3656" s="3" t="n">
        <v>1</v>
      </c>
      <c r="Q3656" s="3" t="n">
        <v>1213</v>
      </c>
      <c r="R3656" s="3" t="inlineStr">
        <is>
          <t>지정되지않음</t>
        </is>
      </c>
      <c r="S3656" s="3" t="inlineStr">
        <is>
          <t>전</t>
        </is>
      </c>
      <c r="T3656" s="3" t="inlineStr">
        <is>
          <t>완경사</t>
        </is>
      </c>
      <c r="U3656" s="3" t="inlineStr">
        <is>
          <t>부정형</t>
        </is>
      </c>
      <c r="V3656" s="3" t="inlineStr">
        <is>
          <t>세로한면(가)</t>
        </is>
      </c>
    </row>
    <row r="3657">
      <c r="A3657" s="3" t="inlineStr">
        <is>
          <t>세종특별자치시 연서면 성제리 452</t>
        </is>
      </c>
      <c r="B3657" s="3" t="inlineStr">
        <is>
          <t>자연녹지지역</t>
        </is>
      </c>
      <c r="C3657" s="3" t="inlineStr">
        <is>
          <t>답</t>
        </is>
      </c>
      <c r="D3657" s="3" t="inlineStr">
        <is>
          <t>답</t>
        </is>
      </c>
      <c r="E3657" s="3" t="inlineStr">
        <is>
          <t>매매</t>
        </is>
      </c>
      <c r="F3657" s="4" t="n">
        <v>76400</v>
      </c>
      <c r="G3657" s="4" t="n">
        <v>1259</v>
      </c>
      <c r="H3657" s="4" t="n">
        <v>381</v>
      </c>
      <c r="I3657" s="5" t="n">
        <v>200.5</v>
      </c>
      <c r="J3657" s="4" t="n">
        <v>62.7</v>
      </c>
      <c r="K3657" s="3" t="inlineStr">
        <is>
          <t>자연취락지구, 도로접 평탄농지, 전원형 활용 검토 유리</t>
        </is>
      </c>
      <c r="L3657" s="6">
        <f>HYPERLINK("https://fin.land.naver.com/articles/2648857594", "매물Link")</f>
        <v/>
      </c>
      <c r="M3657" s="6">
        <f>HYPERLINK("https://map.naver.com/p/search/세종특별자치시 연서면 성제리 452", "지도Link")</f>
        <v/>
      </c>
      <c r="N3657" s="6">
        <f>HYPERLINK("http://www.eum.go.kr/web/ar/lu/luLandDet.jsp?pnu=3611036023104520000&amp;isNoScr=script&amp;mode=search", "토지이음")</f>
        <v/>
      </c>
      <c r="O3657" s="3" t="inlineStr">
        <is>
          <t>세종소담황금</t>
        </is>
      </c>
      <c r="P3657" s="3" t="n">
        <v>1</v>
      </c>
      <c r="Q3657" s="3" t="n">
        <v>1261</v>
      </c>
      <c r="R3657" s="3" t="inlineStr">
        <is>
          <t>지정되지않음</t>
        </is>
      </c>
      <c r="S3657" s="3" t="inlineStr">
        <is>
          <t>과수원</t>
        </is>
      </c>
      <c r="T3657" s="3" t="inlineStr">
        <is>
          <t>평지</t>
        </is>
      </c>
      <c r="U3657" s="3" t="inlineStr">
        <is>
          <t>부정형</t>
        </is>
      </c>
      <c r="V3657" s="3" t="inlineStr">
        <is>
          <t>세로한면(가)</t>
        </is>
      </c>
    </row>
    <row r="3658">
      <c r="A3658" s="3" t="inlineStr">
        <is>
          <t>세종특별자치시 연서면 성제리 455-8</t>
        </is>
      </c>
      <c r="B3658" s="3" t="inlineStr">
        <is>
          <t>계획관리지역</t>
        </is>
      </c>
      <c r="C3658" s="3" t="inlineStr">
        <is>
          <t>과수원</t>
        </is>
      </c>
      <c r="D3658" s="3" t="inlineStr">
        <is>
          <t>과수원</t>
        </is>
      </c>
      <c r="E3658" s="3" t="inlineStr">
        <is>
          <t>매매</t>
        </is>
      </c>
      <c r="F3658" s="4" t="n">
        <v>109000</v>
      </c>
      <c r="G3658" s="4" t="n">
        <v>1720</v>
      </c>
      <c r="H3658" s="4" t="n">
        <v>520</v>
      </c>
      <c r="I3658" s="5" t="n">
        <v>209.6</v>
      </c>
      <c r="J3658" s="4" t="n">
        <v>48.9</v>
      </c>
      <c r="K3658" s="3" t="inlineStr">
        <is>
          <t>계획관리 과수원배밭매매</t>
        </is>
      </c>
      <c r="L3658" s="6">
        <f>HYPERLINK("https://fin.land.naver.com/articles/2648813382", "매물Link")</f>
        <v/>
      </c>
      <c r="M3658" s="6">
        <f>HYPERLINK("https://map.naver.com/p/search/세종특별자치시 연서면 성제리 455-8", "지도Link")</f>
        <v/>
      </c>
      <c r="N3658" s="6">
        <f>HYPERLINK("http://www.eum.go.kr/web/ar/lu/luLandDet.jsp?pnu=3611036023104550008&amp;isNoScr=script&amp;mode=search", "토지이음")</f>
        <v/>
      </c>
      <c r="O3658" s="3" t="inlineStr">
        <is>
          <t>세종대박</t>
        </is>
      </c>
      <c r="P3658" s="3" t="n">
        <v>1</v>
      </c>
      <c r="Q3658" s="3" t="n">
        <v>1720</v>
      </c>
      <c r="R3658" s="3" t="inlineStr">
        <is>
          <t>보전관리지역</t>
        </is>
      </c>
      <c r="S3658" s="3" t="inlineStr">
        <is>
          <t>과수원</t>
        </is>
      </c>
      <c r="T3658" s="3" t="inlineStr">
        <is>
          <t>평지</t>
        </is>
      </c>
      <c r="U3658" s="3" t="inlineStr">
        <is>
          <t>부정형</t>
        </is>
      </c>
      <c r="V3658" s="3" t="inlineStr">
        <is>
          <t>세로한면(가)</t>
        </is>
      </c>
    </row>
    <row r="3659">
      <c r="A3659" s="3" t="inlineStr">
        <is>
          <t>세종특별자치시 연서면 성제리 564-3</t>
        </is>
      </c>
      <c r="B3659" s="3" t="inlineStr">
        <is>
          <t>계획관리지역</t>
        </is>
      </c>
      <c r="C3659" s="3" t="inlineStr">
        <is>
          <t>전</t>
        </is>
      </c>
      <c r="D3659" s="3" t="inlineStr">
        <is>
          <t>전</t>
        </is>
      </c>
      <c r="E3659" s="3" t="inlineStr">
        <is>
          <t>매매</t>
        </is>
      </c>
      <c r="F3659" s="4" t="n">
        <v>111700</v>
      </c>
      <c r="G3659" s="4" t="n">
        <v>1320</v>
      </c>
      <c r="H3659" s="4" t="n">
        <v>399</v>
      </c>
      <c r="I3659" s="5" t="n">
        <v>279.9</v>
      </c>
      <c r="J3659" s="4" t="n">
        <v>50.8</v>
      </c>
      <c r="K3659" s="3" t="inlineStr">
        <is>
          <t>세종시 연서면 계획관리 매매.11.1억</t>
        </is>
      </c>
      <c r="L3659" s="6">
        <f>HYPERLINK("https://fin.land.naver.com/articles/2645257637", "매물Link")</f>
        <v/>
      </c>
      <c r="M3659" s="6">
        <f>HYPERLINK("https://map.naver.com/p/search/세종특별자치시 연서면 성제리 564-3", "지도Link")</f>
        <v/>
      </c>
      <c r="N3659" s="6">
        <f>HYPERLINK("http://www.eum.go.kr/web/ar/lu/luLandDet.jsp?pnu=3611036023105640003&amp;isNoScr=script&amp;mode=search", "토지이음")</f>
        <v/>
      </c>
      <c r="O3659" s="3" t="inlineStr">
        <is>
          <t>동원</t>
        </is>
      </c>
      <c r="P3659" s="3" t="n">
        <v>1</v>
      </c>
      <c r="Q3659" s="3" t="n">
        <v>1320</v>
      </c>
      <c r="R3659" s="3" t="inlineStr">
        <is>
          <t>지정되지않음</t>
        </is>
      </c>
      <c r="S3659" s="3" t="inlineStr">
        <is>
          <t>전</t>
        </is>
      </c>
      <c r="T3659" s="3" t="inlineStr">
        <is>
          <t>평지</t>
        </is>
      </c>
      <c r="U3659" s="3" t="inlineStr">
        <is>
          <t>부정형</t>
        </is>
      </c>
      <c r="V3659" s="3" t="inlineStr">
        <is>
          <t>세로한면(가)</t>
        </is>
      </c>
    </row>
    <row r="3660">
      <c r="A3660" s="3" t="inlineStr">
        <is>
          <t>세종특별자치시 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HYPERLINK("https://map.naver.com/p/search/세종특별자치시 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세종특별자치시 연서면 성제리 586-14</t>
        </is>
      </c>
      <c r="B3661" s="3" t="inlineStr">
        <is>
          <t>계획관리지역</t>
        </is>
      </c>
      <c r="C3661" s="3" t="inlineStr">
        <is>
          <t>대</t>
        </is>
      </c>
      <c r="D3661" s="3" t="inlineStr">
        <is>
          <t>대</t>
        </is>
      </c>
      <c r="E3661" s="3" t="inlineStr">
        <is>
          <t>매매</t>
        </is>
      </c>
      <c r="F3661" s="4" t="n">
        <v>112000</v>
      </c>
      <c r="G3661" s="4" t="n">
        <v>1204</v>
      </c>
      <c r="H3661" s="4" t="n">
        <v>364</v>
      </c>
      <c r="I3661" s="5" t="n">
        <v>307.7</v>
      </c>
      <c r="J3661" s="4" t="n">
        <v>172</v>
      </c>
      <c r="K3661" s="3" t="inlineStr">
        <is>
          <t>상가건물있음,  성제네거리코너10m도로접합 계획관리지역 3필지일괄매매</t>
        </is>
      </c>
      <c r="L3661" s="6">
        <f>HYPERLINK("https://fin.land.naver.com/articles/2648410546", "매물Link")</f>
        <v/>
      </c>
      <c r="M3661" s="6">
        <f>HYPERLINK("https://map.naver.com/p/search/세종특별자치시 연서면 성제리 586-14", "지도Link")</f>
        <v/>
      </c>
      <c r="N3661" s="6">
        <f>HYPERLINK("http://www.eum.go.kr/web/ar/lu/luLandDet.jsp?pnu=3611036023105860014&amp;isNoScr=script&amp;mode=search", "토지이음")</f>
        <v/>
      </c>
      <c r="O3661" s="3" t="inlineStr">
        <is>
          <t>길음(02-983-0110)</t>
        </is>
      </c>
      <c r="P3661" s="3" t="n">
        <v>1</v>
      </c>
      <c r="Q3661" s="3" t="n">
        <v>418</v>
      </c>
      <c r="R3661" s="3" t="inlineStr">
        <is>
          <t>지정되지않음</t>
        </is>
      </c>
      <c r="S3661" s="3" t="inlineStr">
        <is>
          <t>주상용</t>
        </is>
      </c>
      <c r="T3661" s="3" t="inlineStr">
        <is>
          <t>평지</t>
        </is>
      </c>
      <c r="U3661" s="3" t="inlineStr">
        <is>
          <t>사다리형</t>
        </is>
      </c>
      <c r="V3661" s="3" t="inlineStr">
        <is>
          <t>소로각지</t>
        </is>
      </c>
    </row>
    <row r="3662">
      <c r="A3662" s="3" t="inlineStr">
        <is>
          <t>세종특별자치시 연서면 성제리 586-183</t>
        </is>
      </c>
      <c r="B3662" s="3" t="inlineStr">
        <is>
          <t>계획관리지역</t>
        </is>
      </c>
      <c r="C3662" s="3" t="inlineStr">
        <is>
          <t>과수원</t>
        </is>
      </c>
      <c r="D3662" s="3" t="inlineStr">
        <is>
          <t>과수원</t>
        </is>
      </c>
      <c r="E3662" s="3" t="inlineStr">
        <is>
          <t>매매</t>
        </is>
      </c>
      <c r="F3662" s="4" t="n">
        <v>95000</v>
      </c>
      <c r="G3662" s="4" t="n">
        <v>661</v>
      </c>
      <c r="H3662" s="4" t="n">
        <v>200</v>
      </c>
      <c r="I3662" s="5" t="n">
        <v>475</v>
      </c>
      <c r="J3662" s="4" t="n">
        <v>58.2</v>
      </c>
      <c r="K3662" s="3" t="inlineStr">
        <is>
          <t>2차선에 접한 귀한 토지.개발호재.지가상승지역.</t>
        </is>
      </c>
      <c r="L3662" s="6">
        <f>HYPERLINK("https://fin.land.naver.com/articles/2645258121", "매물Link")</f>
        <v/>
      </c>
      <c r="M3662" s="6">
        <f>HYPERLINK("https://map.naver.com/p/search/세종특별자치시 연서면 성제리 586-183", "지도Link")</f>
        <v/>
      </c>
      <c r="N3662" s="6">
        <f>HYPERLINK("http://www.eum.go.kr/web/ar/lu/luLandDet.jsp?pnu=3611036023105860183&amp;isNoScr=script&amp;mode=search", "토지이음")</f>
        <v/>
      </c>
      <c r="O3662" s="3" t="inlineStr">
        <is>
          <t>동원</t>
        </is>
      </c>
      <c r="P3662" s="3" t="n">
        <v>1</v>
      </c>
      <c r="Q3662" s="3" t="n">
        <v>661</v>
      </c>
      <c r="R3662" s="3" t="inlineStr">
        <is>
          <t>지정되지않음</t>
        </is>
      </c>
      <c r="S3662" s="3" t="inlineStr">
        <is>
          <t>과수원</t>
        </is>
      </c>
      <c r="T3662" s="3" t="inlineStr">
        <is>
          <t>평지</t>
        </is>
      </c>
      <c r="U3662" s="3" t="inlineStr">
        <is>
          <t>사다리형</t>
        </is>
      </c>
      <c r="V3662" s="3" t="inlineStr">
        <is>
          <t>소로한면</t>
        </is>
      </c>
    </row>
    <row r="3663">
      <c r="A3663" s="3" t="inlineStr">
        <is>
          <t>세종특별자치시 연서면 성제리 77-1</t>
        </is>
      </c>
      <c r="B3663" s="3" t="inlineStr">
        <is>
          <t>계획관리지역</t>
        </is>
      </c>
      <c r="C3663" s="3" t="inlineStr">
        <is>
          <t>답</t>
        </is>
      </c>
      <c r="D3663" s="3" t="inlineStr">
        <is>
          <t>답</t>
        </is>
      </c>
      <c r="E3663" s="3" t="inlineStr">
        <is>
          <t>매매</t>
        </is>
      </c>
      <c r="F3663" s="4" t="n">
        <v>310000</v>
      </c>
      <c r="G3663" s="4" t="n">
        <v>5153</v>
      </c>
      <c r="H3663" s="4" t="n">
        <v>1559</v>
      </c>
      <c r="I3663" s="5" t="n">
        <v>198.8</v>
      </c>
      <c r="J3663" s="4" t="n">
        <v>42.9</v>
      </c>
      <c r="K3663" s="3" t="inlineStr">
        <is>
          <t>성제리 도로접한 해 잘들어오는 계획관리 토지</t>
        </is>
      </c>
      <c r="L3663" s="6">
        <f>HYPERLINK("https://fin.land.naver.com/articles/2648593585", "매물Link")</f>
        <v/>
      </c>
      <c r="M3663" s="6">
        <f>HYPERLINK("https://map.naver.com/p/search/세종특별자치시 연서면 성제리 77-1", "지도Link")</f>
        <v/>
      </c>
      <c r="N3663" s="6">
        <f>HYPERLINK("http://www.eum.go.kr/web/ar/lu/luLandDet.jsp?pnu=3611036023100770001&amp;isNoScr=script&amp;mode=search", "토지이음")</f>
        <v/>
      </c>
      <c r="O3663" s="3" t="inlineStr">
        <is>
          <t>엄지척</t>
        </is>
      </c>
      <c r="P3663" s="3" t="n">
        <v>1</v>
      </c>
      <c r="Q3663" s="3" t="n">
        <v>4760</v>
      </c>
      <c r="R3663" s="3" t="inlineStr">
        <is>
          <t>지정되지않음</t>
        </is>
      </c>
      <c r="S3663" s="3" t="inlineStr">
        <is>
          <t>답</t>
        </is>
      </c>
      <c r="T3663" s="3" t="inlineStr">
        <is>
          <t>평지</t>
        </is>
      </c>
      <c r="U3663" s="3" t="inlineStr">
        <is>
          <t>부정형</t>
        </is>
      </c>
      <c r="V3663" s="3" t="inlineStr">
        <is>
          <t>세로한면(불)</t>
        </is>
      </c>
    </row>
    <row r="3664">
      <c r="A3664" s="3" t="inlineStr">
        <is>
          <t>세종특별자치시 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HYPERLINK("https://map.naver.com/p/search/세종특별자치시 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세종특별자치시 연서면 성제리 산 28-1</t>
        </is>
      </c>
      <c r="B3665" s="3" t="inlineStr">
        <is>
          <t>농림지역</t>
        </is>
      </c>
      <c r="C3665" s="3" t="inlineStr">
        <is>
          <t>임야</t>
        </is>
      </c>
      <c r="D3665" s="3" t="inlineStr">
        <is>
          <t>임야</t>
        </is>
      </c>
      <c r="E3665" s="3" t="inlineStr">
        <is>
          <t>매매</t>
        </is>
      </c>
      <c r="F3665" s="4" t="n">
        <v>215000</v>
      </c>
      <c r="G3665" s="4" t="n">
        <v>40562</v>
      </c>
      <c r="H3665" s="4" t="n">
        <v>12270</v>
      </c>
      <c r="I3665" s="5" t="n">
        <v>17.5</v>
      </c>
      <c r="J3665" s="4" t="n">
        <v>4.7</v>
      </c>
      <c r="K3665" s="3" t="inlineStr">
        <is>
          <t>임야</t>
        </is>
      </c>
      <c r="L3665" s="6">
        <f>HYPERLINK("https://fin.land.naver.com/articles/2647749190", "매물Link")</f>
        <v/>
      </c>
      <c r="M3665" s="6">
        <f>HYPERLINK("https://map.naver.com/p/search/세종특별자치시 연서면 성제리 산 28-1", "지도Link")</f>
        <v/>
      </c>
      <c r="N3665" s="6">
        <f>HYPERLINK("http://www.eum.go.kr/web/ar/lu/luLandDet.jsp?pnu=3611036023200280001&amp;isNoScr=script&amp;mode=search", "토지이음")</f>
        <v/>
      </c>
      <c r="O3665" s="3" t="inlineStr">
        <is>
          <t>다산</t>
        </is>
      </c>
      <c r="P3665" s="3" t="n">
        <v>1</v>
      </c>
      <c r="Q3665" s="3" t="n">
        <v>40562</v>
      </c>
      <c r="R3665" s="3" t="inlineStr">
        <is>
          <t>보전관리지역</t>
        </is>
      </c>
      <c r="S3665" s="3" t="inlineStr">
        <is>
          <t>자연림</t>
        </is>
      </c>
      <c r="T3665" s="3" t="inlineStr">
        <is>
          <t>완경사</t>
        </is>
      </c>
      <c r="U3665" s="3" t="inlineStr">
        <is>
          <t>부정형</t>
        </is>
      </c>
      <c r="V3665" s="3" t="inlineStr">
        <is>
          <t>맹지</t>
        </is>
      </c>
    </row>
    <row r="3666">
      <c r="A3666" s="3" t="inlineStr">
        <is>
          <t>세종특별자치시 연서면 신대리 115</t>
        </is>
      </c>
      <c r="B3666" s="3" t="inlineStr">
        <is>
          <t>계획관리지역</t>
        </is>
      </c>
      <c r="C3666" s="3" t="inlineStr">
        <is>
          <t>대</t>
        </is>
      </c>
      <c r="D3666" s="3" t="inlineStr">
        <is>
          <t>대</t>
        </is>
      </c>
      <c r="E3666" s="3" t="inlineStr">
        <is>
          <t>매매</t>
        </is>
      </c>
      <c r="F3666" s="4" t="n">
        <v>35000</v>
      </c>
      <c r="G3666" s="4" t="n">
        <v>874</v>
      </c>
      <c r="H3666" s="4" t="n">
        <v>264</v>
      </c>
      <c r="I3666" s="5" t="n">
        <v>132.6</v>
      </c>
      <c r="J3666" s="4" t="n">
        <v>91.59999999999999</v>
      </c>
      <c r="K3666" s="3" t="inlineStr">
        <is>
          <t>연서면 신대리 계획관리 대지, 포장도로접, 조치원 국가산단 인근, 저렴</t>
        </is>
      </c>
      <c r="L3666" s="6">
        <f>HYPERLINK("https://fin.land.naver.com/articles/2647404519", "매물Link")</f>
        <v/>
      </c>
      <c r="M3666" s="6">
        <f>HYPERLINK("https://map.naver.com/p/search/세종특별자치시 연서면 신대리 115", "지도Link")</f>
        <v/>
      </c>
      <c r="N3666" s="6">
        <f>HYPERLINK("http://www.eum.go.kr/web/ar/lu/luLandDet.jsp?pnu=3611036029101150000&amp;isNoScr=script&amp;mode=search", "토지이음")</f>
        <v/>
      </c>
      <c r="O3666" s="3" t="inlineStr">
        <is>
          <t>스카이</t>
        </is>
      </c>
      <c r="P3666" s="3" t="n">
        <v>1</v>
      </c>
      <c r="Q3666" s="3" t="n">
        <v>874</v>
      </c>
      <c r="R3666" s="3" t="inlineStr">
        <is>
          <t>지정되지않음</t>
        </is>
      </c>
      <c r="S3666" s="3" t="inlineStr">
        <is>
          <t>주거나지</t>
        </is>
      </c>
      <c r="T3666" s="3" t="inlineStr">
        <is>
          <t>평지</t>
        </is>
      </c>
      <c r="U3666" s="3" t="inlineStr">
        <is>
          <t>사다리형</t>
        </is>
      </c>
      <c r="V3666" s="3" t="inlineStr">
        <is>
          <t>세로한면(가)</t>
        </is>
      </c>
    </row>
    <row r="3667">
      <c r="A3667" s="3" t="inlineStr">
        <is>
          <t>세종특별자치시 연서면 신대리 124</t>
        </is>
      </c>
      <c r="B3667" s="3" t="inlineStr">
        <is>
          <t>계획관리지역</t>
        </is>
      </c>
      <c r="C3667" s="3" t="inlineStr">
        <is>
          <t>답</t>
        </is>
      </c>
      <c r="D3667" s="3" t="inlineStr">
        <is>
          <t>답</t>
        </is>
      </c>
      <c r="E3667" s="3" t="inlineStr">
        <is>
          <t>매매</t>
        </is>
      </c>
      <c r="F3667" s="4" t="n">
        <v>120000</v>
      </c>
      <c r="G3667" s="4" t="n">
        <v>2324</v>
      </c>
      <c r="H3667" s="4" t="n">
        <v>703</v>
      </c>
      <c r="I3667" s="5" t="n">
        <v>170.7</v>
      </c>
      <c r="J3667" s="4" t="n">
        <v>50.2</v>
      </c>
      <c r="K3667" s="3" t="inlineStr">
        <is>
          <t>급매, 대토용, 투자용</t>
        </is>
      </c>
      <c r="L3667" s="6">
        <f>HYPERLINK("https://fin.land.naver.com/articles/2648500554", "매물Link")</f>
        <v/>
      </c>
      <c r="M3667" s="6">
        <f>HYPERLINK("https://map.naver.com/p/search/세종특별자치시 연서면 신대리 124", "지도Link")</f>
        <v/>
      </c>
      <c r="N3667" s="6">
        <f>HYPERLINK("http://www.eum.go.kr/web/ar/lu/luLandDet.jsp?pnu=3611036029101240000&amp;isNoScr=script&amp;mode=search", "토지이음")</f>
        <v/>
      </c>
      <c r="O3667" s="3" t="inlineStr">
        <is>
          <t>고운동리치세종</t>
        </is>
      </c>
      <c r="P3667" s="3" t="n">
        <v>1</v>
      </c>
      <c r="Q3667" s="3" t="n">
        <v>2324</v>
      </c>
      <c r="R3667" s="3" t="inlineStr">
        <is>
          <t>지정되지않음</t>
        </is>
      </c>
      <c r="S3667" s="3" t="inlineStr">
        <is>
          <t>답</t>
        </is>
      </c>
      <c r="T3667" s="3" t="inlineStr">
        <is>
          <t>평지</t>
        </is>
      </c>
      <c r="U3667" s="3" t="inlineStr">
        <is>
          <t>부정형</t>
        </is>
      </c>
      <c r="V3667" s="3" t="inlineStr">
        <is>
          <t>세로한면(가)</t>
        </is>
      </c>
    </row>
    <row r="3668">
      <c r="A3668" s="3" t="inlineStr">
        <is>
          <t>세종특별자치시 연서면 신대리 192</t>
        </is>
      </c>
      <c r="B3668" s="3" t="inlineStr">
        <is>
          <t>계획관리지역</t>
        </is>
      </c>
      <c r="C3668" s="3" t="inlineStr">
        <is>
          <t>전</t>
        </is>
      </c>
      <c r="D3668" s="3" t="inlineStr">
        <is>
          <t>전</t>
        </is>
      </c>
      <c r="E3668" s="3" t="inlineStr">
        <is>
          <t>매매</t>
        </is>
      </c>
      <c r="F3668" s="4" t="n">
        <v>163000</v>
      </c>
      <c r="G3668" s="4" t="n">
        <v>2569</v>
      </c>
      <c r="H3668" s="4" t="n">
        <v>777</v>
      </c>
      <c r="I3668" s="5" t="n">
        <v>209.8</v>
      </c>
      <c r="J3668" s="4" t="n">
        <v>62</v>
      </c>
      <c r="K3668" s="3" t="inlineStr">
        <is>
          <t>계획관리지역, 성장관리구역, 도로접합, 세종국가산단인근</t>
        </is>
      </c>
      <c r="L3668" s="6">
        <f>HYPERLINK("https://fin.land.naver.com/articles/2643989102", "매물Link")</f>
        <v/>
      </c>
      <c r="M3668" s="6">
        <f>HYPERLINK("https://map.naver.com/p/search/세종특별자치시 연서면 신대리 192", "지도Link")</f>
        <v/>
      </c>
      <c r="N3668" s="6">
        <f>HYPERLINK("http://www.eum.go.kr/web/ar/lu/luLandDet.jsp?pnu=3611036029101920000&amp;isNoScr=script&amp;mode=search", "토지이음")</f>
        <v/>
      </c>
      <c r="O3668" s="3" t="inlineStr">
        <is>
          <t>세종일조</t>
        </is>
      </c>
      <c r="P3668" s="3" t="n">
        <v>1</v>
      </c>
      <c r="Q3668" s="3" t="n">
        <v>2569</v>
      </c>
      <c r="R3668" s="3" t="inlineStr">
        <is>
          <t>지정되지않음</t>
        </is>
      </c>
      <c r="S3668" s="3" t="inlineStr">
        <is>
          <t>전</t>
        </is>
      </c>
      <c r="T3668" s="3" t="inlineStr">
        <is>
          <t>평지</t>
        </is>
      </c>
      <c r="U3668" s="3" t="inlineStr">
        <is>
          <t>부정형</t>
        </is>
      </c>
      <c r="V3668" s="3" t="inlineStr">
        <is>
          <t>소로한면</t>
        </is>
      </c>
    </row>
    <row r="3669">
      <c r="A3669" s="3" t="inlineStr">
        <is>
          <t>세종특별자치시 연서면 신대리 30</t>
        </is>
      </c>
      <c r="B3669" s="3" t="inlineStr">
        <is>
          <t>계획관리지역</t>
        </is>
      </c>
      <c r="C3669" s="3" t="inlineStr">
        <is>
          <t>대</t>
        </is>
      </c>
      <c r="D3669" s="3" t="inlineStr">
        <is>
          <t>대</t>
        </is>
      </c>
      <c r="E3669" s="3" t="inlineStr">
        <is>
          <t>매매</t>
        </is>
      </c>
      <c r="F3669" s="4" t="n">
        <v>63000</v>
      </c>
      <c r="G3669" s="4" t="n">
        <v>913</v>
      </c>
      <c r="H3669" s="4" t="n">
        <v>276</v>
      </c>
      <c r="I3669" s="5" t="n">
        <v>228.3</v>
      </c>
      <c r="J3669" s="4" t="n">
        <v>73.8</v>
      </c>
      <c r="K3669" s="3" t="inlineStr">
        <is>
          <t>세종산업단지 1km이내 계획관리지역, 자연취락지구 토지매매</t>
        </is>
      </c>
      <c r="L3669" s="6">
        <f>HYPERLINK("https://fin.land.naver.com/articles/2645514771", "매물Link")</f>
        <v/>
      </c>
      <c r="M3669" s="6">
        <f>HYPERLINK("https://map.naver.com/p/search/세종특별자치시 연서면 신대리 30", "지도Link")</f>
        <v/>
      </c>
      <c r="N3669" s="6">
        <f>HYPERLINK("http://www.eum.go.kr/web/ar/lu/luLandDet.jsp?pnu=3611036029100300000&amp;isNoScr=script&amp;mode=search", "토지이음")</f>
        <v/>
      </c>
      <c r="O3669" s="3" t="inlineStr">
        <is>
          <t>에이스</t>
        </is>
      </c>
      <c r="P3669" s="3" t="n">
        <v>1</v>
      </c>
      <c r="Q3669" s="3" t="n">
        <v>364</v>
      </c>
      <c r="R3669" s="3" t="inlineStr">
        <is>
          <t>지정되지않음</t>
        </is>
      </c>
      <c r="S3669" s="3" t="inlineStr">
        <is>
          <t>단독</t>
        </is>
      </c>
      <c r="T3669" s="3" t="inlineStr">
        <is>
          <t>평지</t>
        </is>
      </c>
      <c r="U3669" s="3" t="inlineStr">
        <is>
          <t>부정형</t>
        </is>
      </c>
      <c r="V3669" s="3" t="inlineStr">
        <is>
          <t>세로한면(불)</t>
        </is>
      </c>
    </row>
    <row r="3670">
      <c r="A3670" s="3" t="inlineStr">
        <is>
          <t>세종특별자치시 연서면 신대리 320</t>
        </is>
      </c>
      <c r="B3670" s="3" t="inlineStr">
        <is>
          <t>생산관리지역</t>
        </is>
      </c>
      <c r="C3670" s="3" t="inlineStr">
        <is>
          <t>답</t>
        </is>
      </c>
      <c r="D3670" s="3" t="inlineStr">
        <is>
          <t>답</t>
        </is>
      </c>
      <c r="E3670" s="3" t="inlineStr">
        <is>
          <t>매매</t>
        </is>
      </c>
      <c r="F3670" s="4" t="n">
        <v>45800</v>
      </c>
      <c r="G3670" s="4" t="n">
        <v>2013</v>
      </c>
      <c r="H3670" s="4" t="n">
        <v>609</v>
      </c>
      <c r="I3670" s="5" t="n">
        <v>75.2</v>
      </c>
      <c r="J3670" s="4" t="n">
        <v>23.9</v>
      </c>
      <c r="K3670" s="3" t="inlineStr">
        <is>
          <t>투자하기 좋은 토지</t>
        </is>
      </c>
      <c r="L3670" s="6">
        <f>HYPERLINK("https://fin.land.naver.com/articles/2646792074", "매물Link")</f>
        <v/>
      </c>
      <c r="M3670" s="6">
        <f>HYPERLINK("https://map.naver.com/p/search/세종특별자치시 연서면 신대리 320", "지도Link")</f>
        <v/>
      </c>
      <c r="N3670" s="6">
        <f>HYPERLINK("http://www.eum.go.kr/web/ar/lu/luLandDet.jsp?pnu=3611036029103200000&amp;isNoScr=script&amp;mode=search", "토지이음")</f>
        <v/>
      </c>
      <c r="O3670" s="3" t="inlineStr">
        <is>
          <t>이로운 사무소</t>
        </is>
      </c>
      <c r="P3670" s="3" t="n">
        <v>1</v>
      </c>
      <c r="Q3670" s="3" t="n">
        <v>2013</v>
      </c>
      <c r="R3670" s="3" t="inlineStr">
        <is>
          <t>지정되지않음</t>
        </is>
      </c>
      <c r="S3670" s="3" t="inlineStr">
        <is>
          <t>답</t>
        </is>
      </c>
      <c r="T3670" s="3" t="inlineStr">
        <is>
          <t>완경사</t>
        </is>
      </c>
      <c r="U3670" s="3" t="inlineStr">
        <is>
          <t>사다리형</t>
        </is>
      </c>
      <c r="V3670" s="3" t="inlineStr">
        <is>
          <t>세로한면(가)</t>
        </is>
      </c>
    </row>
    <row r="3671">
      <c r="A3671" s="3" t="inlineStr">
        <is>
          <t>세종특별자치시 연서면 신대리 323</t>
        </is>
      </c>
      <c r="B3671" s="3" t="inlineStr">
        <is>
          <t>생산관리지역</t>
        </is>
      </c>
      <c r="C3671" s="3" t="inlineStr">
        <is>
          <t>답</t>
        </is>
      </c>
      <c r="D3671" s="3" t="inlineStr">
        <is>
          <t>답</t>
        </is>
      </c>
      <c r="E3671" s="3" t="inlineStr">
        <is>
          <t>매매</t>
        </is>
      </c>
      <c r="F3671" s="4" t="n">
        <v>600000</v>
      </c>
      <c r="G3671" s="4" t="n">
        <v>10277</v>
      </c>
      <c r="H3671" s="4" t="n">
        <v>3109</v>
      </c>
      <c r="I3671" s="5" t="n">
        <v>193</v>
      </c>
      <c r="J3671" s="4" t="n">
        <v>22.7</v>
      </c>
      <c r="K3671" s="3" t="inlineStr">
        <is>
          <t>귀한 연서면 토지이며 인접한 3필지 일괄 매매.분할매도가능</t>
        </is>
      </c>
      <c r="L3671" s="6">
        <f>HYPERLINK("https://fin.land.naver.com/articles/2646723486", "매물Link")</f>
        <v/>
      </c>
      <c r="M3671" s="6">
        <f>HYPERLINK("https://map.naver.com/p/search/세종특별자치시 연서면 신대리 323", "지도Link")</f>
        <v/>
      </c>
      <c r="N3671" s="6">
        <f>HYPERLINK("http://www.eum.go.kr/web/ar/lu/luLandDet.jsp?pnu=3611036029103230000&amp;isNoScr=script&amp;mode=search", "토지이음")</f>
        <v/>
      </c>
      <c r="O3671" s="3" t="inlineStr">
        <is>
          <t>생생</t>
        </is>
      </c>
      <c r="P3671" s="3" t="n">
        <v>1</v>
      </c>
      <c r="Q3671" s="3" t="n">
        <v>2188</v>
      </c>
      <c r="R3671" s="3" t="inlineStr">
        <is>
          <t>지정되지않음</t>
        </is>
      </c>
      <c r="S3671" s="3" t="inlineStr">
        <is>
          <t>답</t>
        </is>
      </c>
      <c r="T3671" s="3" t="inlineStr">
        <is>
          <t>완경사</t>
        </is>
      </c>
      <c r="U3671" s="3" t="inlineStr">
        <is>
          <t>부정형</t>
        </is>
      </c>
      <c r="V3671" s="3" t="inlineStr">
        <is>
          <t>세로한면(가)</t>
        </is>
      </c>
    </row>
    <row r="3672">
      <c r="A3672" s="3" t="inlineStr">
        <is>
          <t>세종특별자치시 연서면 신대리 327-5</t>
        </is>
      </c>
      <c r="B3672" s="3" t="inlineStr">
        <is>
          <t>생산관리지역</t>
        </is>
      </c>
      <c r="C3672" s="3" t="inlineStr">
        <is>
          <t>답</t>
        </is>
      </c>
      <c r="D3672" s="3" t="inlineStr">
        <is>
          <t>답</t>
        </is>
      </c>
      <c r="E3672" s="3" t="inlineStr">
        <is>
          <t>매매</t>
        </is>
      </c>
      <c r="F3672" s="4" t="n">
        <v>22500</v>
      </c>
      <c r="G3672" s="4" t="n">
        <v>941</v>
      </c>
      <c r="H3672" s="4" t="n">
        <v>285</v>
      </c>
      <c r="I3672" s="5" t="n">
        <v>78.90000000000001</v>
      </c>
      <c r="J3672" s="4" t="n">
        <v>17.8</v>
      </c>
      <c r="K3672" s="3" t="inlineStr">
        <is>
          <t>국가산단예정지 인접,전원생활과 미래가치를 동시에</t>
        </is>
      </c>
      <c r="L3672" s="6">
        <f>HYPERLINK("https://fin.land.naver.com/articles/2648185485", "매물Link")</f>
        <v/>
      </c>
      <c r="M3672" s="6">
        <f>HYPERLINK("https://map.naver.com/p/search/세종특별자치시 연서면 신대리 327-5", "지도Link")</f>
        <v/>
      </c>
      <c r="N3672" s="6">
        <f>HYPERLINK("http://www.eum.go.kr/web/ar/lu/luLandDet.jsp?pnu=3611036029103270005&amp;isNoScr=script&amp;mode=search", "토지이음")</f>
        <v/>
      </c>
      <c r="O3672" s="3" t="inlineStr">
        <is>
          <t>가치잇는</t>
        </is>
      </c>
      <c r="P3672" s="3" t="n">
        <v>1</v>
      </c>
      <c r="Q3672" s="3" t="n">
        <v>757</v>
      </c>
      <c r="R3672" s="3" t="inlineStr">
        <is>
          <t>지정되지않음</t>
        </is>
      </c>
      <c r="S3672" s="3" t="inlineStr">
        <is>
          <t>답</t>
        </is>
      </c>
      <c r="T3672" s="3" t="inlineStr">
        <is>
          <t>완경사</t>
        </is>
      </c>
      <c r="U3672" s="3" t="inlineStr">
        <is>
          <t>부정형</t>
        </is>
      </c>
      <c r="V3672" s="3" t="inlineStr">
        <is>
          <t>맹지</t>
        </is>
      </c>
    </row>
    <row r="3673">
      <c r="A3673" s="3" t="inlineStr">
        <is>
          <t>세종특별자치시 연서면 신대리 395-10</t>
        </is>
      </c>
      <c r="B3673" s="3" t="inlineStr">
        <is>
          <t>보전관리지역</t>
        </is>
      </c>
      <c r="C3673" s="3" t="inlineStr">
        <is>
          <t>대</t>
        </is>
      </c>
      <c r="D3673" s="3" t="inlineStr">
        <is>
          <t>대</t>
        </is>
      </c>
      <c r="E3673" s="3" t="inlineStr">
        <is>
          <t>매매</t>
        </is>
      </c>
      <c r="F3673" s="4" t="n">
        <v>29700</v>
      </c>
      <c r="G3673" s="4" t="n">
        <v>678</v>
      </c>
      <c r="H3673" s="4" t="n">
        <v>205</v>
      </c>
      <c r="I3673" s="5" t="n">
        <v>144.9</v>
      </c>
      <c r="J3673" s="4" t="n">
        <v>66.59999999999999</v>
      </c>
      <c r="K3673" s="3" t="inlineStr">
        <is>
          <t>고복저수지인근 전원주택 단지 교통편리</t>
        </is>
      </c>
      <c r="L3673" s="6">
        <f>HYPERLINK("https://fin.land.naver.com/articles/2648855823", "매물Link")</f>
        <v/>
      </c>
      <c r="M3673" s="6">
        <f>HYPERLINK("https://map.naver.com/p/search/세종특별자치시 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세종특별자치시 연서면 신대리 395-10</t>
        </is>
      </c>
      <c r="B3674" s="3" t="inlineStr">
        <is>
          <t>보전관리지역</t>
        </is>
      </c>
      <c r="C3674" s="3" t="inlineStr">
        <is>
          <t>대</t>
        </is>
      </c>
      <c r="D3674" s="3" t="inlineStr">
        <is>
          <t>대</t>
        </is>
      </c>
      <c r="E3674" s="3" t="inlineStr">
        <is>
          <t>매매</t>
        </is>
      </c>
      <c r="F3674" s="4" t="n">
        <v>30000</v>
      </c>
      <c r="G3674" s="4" t="n">
        <v>720</v>
      </c>
      <c r="H3674" s="4" t="n">
        <v>218</v>
      </c>
      <c r="I3674" s="5" t="n">
        <v>137.6</v>
      </c>
      <c r="J3674" s="4" t="n">
        <v>66.59999999999999</v>
      </c>
      <c r="K3674" s="3" t="inlineStr">
        <is>
          <t>고복저수지근처 지목대지 건축 허가 가능.</t>
        </is>
      </c>
      <c r="L3674" s="6">
        <f>HYPERLINK("https://fin.land.naver.com/articles/2644480997", "매물Link")</f>
        <v/>
      </c>
      <c r="M3674" s="6">
        <f>HYPERLINK("https://map.naver.com/p/search/세종특별자치시 연서면 신대리 395-10", "지도Link")</f>
        <v/>
      </c>
      <c r="N3674" s="6">
        <f>HYPERLINK("http://www.eum.go.kr/web/ar/lu/luLandDet.jsp?pnu=3611036029103950010&amp;isNoScr=script&amp;mode=search", "토지이음")</f>
        <v/>
      </c>
      <c r="O3674" s="3" t="inlineStr">
        <is>
          <t>신한국</t>
        </is>
      </c>
      <c r="P3674" s="3" t="n">
        <v>1</v>
      </c>
      <c r="Q3674" s="3" t="n">
        <v>678</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세종특별자치시 연서면 신대리 395-62</t>
        </is>
      </c>
      <c r="B3675" s="3" t="inlineStr">
        <is>
          <t>보전관리지역</t>
        </is>
      </c>
      <c r="C3675" s="3" t="inlineStr">
        <is>
          <t>대</t>
        </is>
      </c>
      <c r="D3675" s="3" t="inlineStr">
        <is>
          <t>대</t>
        </is>
      </c>
      <c r="E3675" s="3" t="inlineStr">
        <is>
          <t>매매</t>
        </is>
      </c>
      <c r="F3675" s="4" t="n">
        <v>57250</v>
      </c>
      <c r="G3675" s="4" t="n">
        <v>757</v>
      </c>
      <c r="H3675" s="4" t="n">
        <v>229</v>
      </c>
      <c r="I3675" s="5" t="n">
        <v>250</v>
      </c>
      <c r="J3675" s="4" t="n">
        <v>66.59999999999999</v>
      </c>
      <c r="K3675" s="3" t="inlineStr">
        <is>
          <t>대지 즉시 건축가능 전원주택부지</t>
        </is>
      </c>
      <c r="L3675" s="6">
        <f>HYPERLINK("https://fin.land.naver.com/articles/2644413334", "매물Link")</f>
        <v/>
      </c>
      <c r="M3675" s="6">
        <f>HYPERLINK("https://map.naver.com/p/search/세종특별자치시 연서면 신대리 395-62", "지도Link")</f>
        <v/>
      </c>
      <c r="N3675" s="6">
        <f>HYPERLINK("http://www.eum.go.kr/web/ar/lu/luLandDet.jsp?pnu=3611036029103950062&amp;isNoScr=script&amp;mode=search", "토지이음")</f>
        <v/>
      </c>
      <c r="O3675" s="3" t="inlineStr">
        <is>
          <t>로데오상가</t>
        </is>
      </c>
      <c r="P3675" s="3" t="n">
        <v>1</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세종특별자치시 연서면 신대리 395-62</t>
        </is>
      </c>
      <c r="B3676" s="3" t="inlineStr">
        <is>
          <t>보전관리지역</t>
        </is>
      </c>
      <c r="C3676" s="3" t="inlineStr">
        <is>
          <t>대</t>
        </is>
      </c>
      <c r="D3676" s="3" t="inlineStr">
        <is>
          <t>대</t>
        </is>
      </c>
      <c r="E3676" s="3" t="inlineStr">
        <is>
          <t>매매</t>
        </is>
      </c>
      <c r="F3676" s="4" t="n">
        <v>57000</v>
      </c>
      <c r="G3676" s="4" t="n">
        <v>582</v>
      </c>
      <c r="H3676" s="4" t="n">
        <v>176</v>
      </c>
      <c r="I3676" s="5" t="n">
        <v>323.9</v>
      </c>
      <c r="J3676" s="4" t="n">
        <v>66.59999999999999</v>
      </c>
      <c r="K3676" s="3" t="inlineStr">
        <is>
          <t>nan</t>
        </is>
      </c>
      <c r="L3676" s="6">
        <f>HYPERLINK("https://fin.land.naver.com/articles/2648579809", "매물Link")</f>
        <v/>
      </c>
      <c r="M3676" s="6">
        <f>HYPERLINK("https://map.naver.com/p/search/세종특별자치시 연서면 신대리 395-62", "지도Link")</f>
        <v/>
      </c>
      <c r="N3676" s="6">
        <f>HYPERLINK("http://www.eum.go.kr/web/ar/lu/luLandDet.jsp?pnu=3611036029103950062&amp;isNoScr=script&amp;mode=search", "토지이음")</f>
        <v/>
      </c>
      <c r="O3676" s="3" t="inlineStr">
        <is>
          <t>대한민국</t>
        </is>
      </c>
      <c r="P3676" s="3" t="n">
        <v>2</v>
      </c>
      <c r="Q3676" s="3" t="n">
        <v>582</v>
      </c>
      <c r="R3676" s="3" t="inlineStr">
        <is>
          <t>지정되지않음</t>
        </is>
      </c>
      <c r="S3676" s="3" t="inlineStr">
        <is>
          <t>주거나지</t>
        </is>
      </c>
      <c r="T3676" s="3" t="inlineStr">
        <is>
          <t>완경사</t>
        </is>
      </c>
      <c r="U3676" s="3" t="inlineStr">
        <is>
          <t>사다리형</t>
        </is>
      </c>
      <c r="V3676" s="3" t="inlineStr">
        <is>
          <t>세로한면(가)</t>
        </is>
      </c>
    </row>
    <row r="3677">
      <c r="A3677" s="3" t="inlineStr">
        <is>
          <t>세종특별자치시 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HYPERLINK("https://map.naver.com/p/search/세종특별자치시 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세종특별자치시 연서면 신대리 412-25</t>
        </is>
      </c>
      <c r="B3678" s="3" t="inlineStr">
        <is>
          <t>보전관리지역</t>
        </is>
      </c>
      <c r="C3678" s="3" t="inlineStr">
        <is>
          <t>임야</t>
        </is>
      </c>
      <c r="D3678" s="3" t="inlineStr">
        <is>
          <t>임야</t>
        </is>
      </c>
      <c r="E3678" s="3" t="inlineStr">
        <is>
          <t>매매</t>
        </is>
      </c>
      <c r="F3678" s="4" t="n">
        <v>26000</v>
      </c>
      <c r="G3678" s="4" t="n">
        <v>542</v>
      </c>
      <c r="H3678" s="4" t="n">
        <v>164</v>
      </c>
      <c r="I3678" s="5" t="n">
        <v>158.5</v>
      </c>
      <c r="J3678" s="4" t="n">
        <v>66.59999999999999</v>
      </c>
      <c r="K3678" s="3" t="inlineStr">
        <is>
          <t>급매추천. 개발 완료된 전원주택지. 전용 542  도로 120</t>
        </is>
      </c>
      <c r="L3678" s="6">
        <f>HYPERLINK("https://fin.land.naver.com/articles/2645968263", "매물Link")</f>
        <v/>
      </c>
      <c r="M3678" s="6">
        <f>HYPERLINK("https://map.naver.com/p/search/세종특별자치시 연서면 신대리 412-25", "지도Link")</f>
        <v/>
      </c>
      <c r="N3678" s="6">
        <f>HYPERLINK("http://www.eum.go.kr/web/ar/lu/luLandDet.jsp?pnu=3611036029104120025&amp;isNoScr=script&amp;mode=search", "토지이음")</f>
        <v/>
      </c>
      <c r="O3678" s="3" t="inlineStr">
        <is>
          <t>세종소담114</t>
        </is>
      </c>
      <c r="P3678" s="3" t="n">
        <v>2</v>
      </c>
      <c r="Q3678" s="3" t="n">
        <v>542</v>
      </c>
      <c r="R3678" s="3" t="inlineStr">
        <is>
          <t>지정되지않음</t>
        </is>
      </c>
      <c r="S3678" s="3" t="inlineStr">
        <is>
          <t>주거나지</t>
        </is>
      </c>
      <c r="T3678" s="3" t="inlineStr">
        <is>
          <t>완경사</t>
        </is>
      </c>
      <c r="U3678" s="3" t="inlineStr">
        <is>
          <t>세로장방</t>
        </is>
      </c>
      <c r="V3678" s="3" t="inlineStr">
        <is>
          <t>세로한면(가)</t>
        </is>
      </c>
    </row>
    <row r="3679">
      <c r="A3679" s="3" t="inlineStr">
        <is>
          <t>세종특별자치시 연서면 신대리 412-28</t>
        </is>
      </c>
      <c r="B3679" s="3" t="inlineStr">
        <is>
          <t>보전관리지역</t>
        </is>
      </c>
      <c r="C3679" s="3" t="inlineStr">
        <is>
          <t>임야</t>
        </is>
      </c>
      <c r="D3679" s="3" t="inlineStr">
        <is>
          <t>임야</t>
        </is>
      </c>
      <c r="E3679" s="3" t="inlineStr">
        <is>
          <t>매매</t>
        </is>
      </c>
      <c r="F3679" s="4" t="n">
        <v>24000</v>
      </c>
      <c r="G3679" s="4" t="n">
        <v>563</v>
      </c>
      <c r="H3679" s="4" t="n">
        <v>170</v>
      </c>
      <c r="I3679" s="5" t="n">
        <v>141.2</v>
      </c>
      <c r="J3679" s="4" t="n">
        <v>66.59999999999999</v>
      </c>
      <c r="K3679" s="3" t="inlineStr">
        <is>
          <t>nan</t>
        </is>
      </c>
      <c r="L3679" s="6">
        <f>HYPERLINK("https://fin.land.naver.com/articles/2646534350", "매물Link")</f>
        <v/>
      </c>
      <c r="M3679" s="6">
        <f>HYPERLINK("https://map.naver.com/p/search/세종특별자치시 연서면 신대리 412-28", "지도Link")</f>
        <v/>
      </c>
      <c r="N3679" s="6">
        <f>HYPERLINK("http://www.eum.go.kr/web/ar/lu/luLandDet.jsp?pnu=3611036029104120028&amp;isNoScr=script&amp;mode=search", "토지이음")</f>
        <v/>
      </c>
      <c r="O3679" s="3" t="inlineStr">
        <is>
          <t>은성</t>
        </is>
      </c>
      <c r="P3679" s="3" t="n">
        <v>1</v>
      </c>
      <c r="Q3679" s="3" t="n">
        <v>563</v>
      </c>
      <c r="R3679" s="3" t="inlineStr">
        <is>
          <t>지정되지않음</t>
        </is>
      </c>
      <c r="S3679" s="3" t="inlineStr">
        <is>
          <t>주거나지</t>
        </is>
      </c>
      <c r="T3679" s="3" t="inlineStr">
        <is>
          <t>완경사</t>
        </is>
      </c>
      <c r="U3679" s="3" t="inlineStr">
        <is>
          <t>사다리형</t>
        </is>
      </c>
      <c r="V3679" s="3" t="inlineStr">
        <is>
          <t>세로한면(가)</t>
        </is>
      </c>
    </row>
    <row r="3680">
      <c r="A3680" s="3" t="inlineStr">
        <is>
          <t>세종특별자치시 연서면 신대리 447-3</t>
        </is>
      </c>
      <c r="B3680" s="3" t="inlineStr">
        <is>
          <t>계획관리지역</t>
        </is>
      </c>
      <c r="C3680" s="3" t="inlineStr">
        <is>
          <t>전</t>
        </is>
      </c>
      <c r="D3680" s="3" t="inlineStr">
        <is>
          <t>전</t>
        </is>
      </c>
      <c r="E3680" s="3" t="inlineStr">
        <is>
          <t>매매</t>
        </is>
      </c>
      <c r="F3680" s="4" t="n">
        <v>20000</v>
      </c>
      <c r="G3680" s="4" t="n">
        <v>1316</v>
      </c>
      <c r="H3680" s="4" t="n">
        <v>398</v>
      </c>
      <c r="I3680" s="5" t="n">
        <v>50.3</v>
      </c>
      <c r="J3680" s="4" t="n">
        <v>39.3</v>
      </c>
      <c r="K3680" s="3" t="inlineStr">
        <is>
          <t>nan</t>
        </is>
      </c>
      <c r="L3680" s="6">
        <f>HYPERLINK("https://fin.land.naver.com/articles/2648596717", "매물Link")</f>
        <v/>
      </c>
      <c r="M3680" s="6">
        <f>HYPERLINK("https://map.naver.com/p/search/세종특별자치시 연서면 신대리 447-3", "지도Link")</f>
        <v/>
      </c>
      <c r="N3680" s="6">
        <f>HYPERLINK("http://www.eum.go.kr/web/ar/lu/luLandDet.jsp?pnu=3611036029104470003&amp;isNoScr=script&amp;mode=search", "토지이음")</f>
        <v/>
      </c>
      <c r="O3680" s="3" t="inlineStr">
        <is>
          <t>효성</t>
        </is>
      </c>
      <c r="P3680" s="3" t="n">
        <v>1</v>
      </c>
      <c r="Q3680" s="3" t="n">
        <v>1316</v>
      </c>
      <c r="R3680" s="3" t="inlineStr">
        <is>
          <t>지정되지않음</t>
        </is>
      </c>
      <c r="S3680" s="3" t="inlineStr">
        <is>
          <t>전</t>
        </is>
      </c>
      <c r="T3680" s="3" t="inlineStr">
        <is>
          <t>완경사</t>
        </is>
      </c>
      <c r="U3680" s="3" t="inlineStr">
        <is>
          <t>부정형</t>
        </is>
      </c>
      <c r="V3680" s="3" t="inlineStr">
        <is>
          <t>맹지</t>
        </is>
      </c>
    </row>
    <row r="3681">
      <c r="A3681" s="3" t="inlineStr">
        <is>
          <t>세종특별자치시 연서면 신대리 454-4</t>
        </is>
      </c>
      <c r="B3681" s="3" t="inlineStr">
        <is>
          <t>농림지역</t>
        </is>
      </c>
      <c r="C3681" s="3" t="inlineStr">
        <is>
          <t>답</t>
        </is>
      </c>
      <c r="D3681" s="3" t="inlineStr">
        <is>
          <t>답</t>
        </is>
      </c>
      <c r="E3681" s="3" t="inlineStr">
        <is>
          <t>매매</t>
        </is>
      </c>
      <c r="F3681" s="4" t="n">
        <v>31000</v>
      </c>
      <c r="G3681" s="4" t="n">
        <v>1121</v>
      </c>
      <c r="H3681" s="4" t="n">
        <v>339</v>
      </c>
      <c r="I3681" s="5" t="n">
        <v>91.40000000000001</v>
      </c>
      <c r="J3681" s="4" t="n">
        <v>22.9</v>
      </c>
      <c r="K3681" s="3" t="inlineStr">
        <is>
          <t>고복 저수지와 전원 마을 단지 사이 신대리 토지매매</t>
        </is>
      </c>
      <c r="L3681" s="6">
        <f>HYPERLINK("https://fin.land.naver.com/articles/2645112142", "매물Link")</f>
        <v/>
      </c>
      <c r="M3681" s="6">
        <f>HYPERLINK("https://map.naver.com/p/search/세종특별자치시 연서면 신대리 454-4", "지도Link")</f>
        <v/>
      </c>
      <c r="N3681" s="6">
        <f>HYPERLINK("http://www.eum.go.kr/web/ar/lu/luLandDet.jsp?pnu=3611036029104540004&amp;isNoScr=script&amp;mode=search", "토지이음")</f>
        <v/>
      </c>
      <c r="O3681" s="3" t="inlineStr">
        <is>
          <t>지성</t>
        </is>
      </c>
      <c r="P3681" s="3" t="n">
        <v>1</v>
      </c>
      <c r="Q3681" s="3" t="n">
        <v>1121</v>
      </c>
      <c r="R3681" s="3" t="inlineStr">
        <is>
          <t>지정되지않음</t>
        </is>
      </c>
      <c r="S3681" s="3" t="inlineStr">
        <is>
          <t>답</t>
        </is>
      </c>
      <c r="T3681" s="3" t="inlineStr">
        <is>
          <t>평지</t>
        </is>
      </c>
      <c r="U3681" s="3" t="inlineStr">
        <is>
          <t>가로장방</t>
        </is>
      </c>
      <c r="V3681" s="3" t="inlineStr">
        <is>
          <t>세로한면(가)</t>
        </is>
      </c>
    </row>
    <row r="3682">
      <c r="A3682" s="3" t="inlineStr">
        <is>
          <t>세종특별자치시 연서면 신대리 454-5</t>
        </is>
      </c>
      <c r="B3682" s="3" t="inlineStr">
        <is>
          <t>농림지역</t>
        </is>
      </c>
      <c r="C3682" s="3" t="inlineStr">
        <is>
          <t>답</t>
        </is>
      </c>
      <c r="D3682" s="3" t="inlineStr">
        <is>
          <t>답</t>
        </is>
      </c>
      <c r="E3682" s="3" t="inlineStr">
        <is>
          <t>매매</t>
        </is>
      </c>
      <c r="F3682" s="4" t="n">
        <v>63000</v>
      </c>
      <c r="G3682" s="4" t="n">
        <v>2366</v>
      </c>
      <c r="H3682" s="4" t="n">
        <v>716</v>
      </c>
      <c r="I3682" s="5" t="n">
        <v>88</v>
      </c>
      <c r="J3682" s="4" t="n">
        <v>22.9</v>
      </c>
      <c r="K3682" s="3" t="inlineStr">
        <is>
          <t>신대리 국가산단 인접,아스팔트 도로접,컨테이너 농막포함</t>
        </is>
      </c>
      <c r="L3682" s="6">
        <f>HYPERLINK("https://fin.land.naver.com/articles/2644417501", "매물Link")</f>
        <v/>
      </c>
      <c r="M3682" s="6">
        <f>HYPERLINK("https://map.naver.com/p/search/세종특별자치시 연서면 신대리 454-5", "지도Link")</f>
        <v/>
      </c>
      <c r="N3682" s="6">
        <f>HYPERLINK("http://www.eum.go.kr/web/ar/lu/luLandDet.jsp?pnu=3611036029104540005&amp;isNoScr=script&amp;mode=search", "토지이음")</f>
        <v/>
      </c>
      <c r="O3682" s="3" t="inlineStr">
        <is>
          <t>광장</t>
        </is>
      </c>
      <c r="P3682" s="3" t="n">
        <v>1</v>
      </c>
      <c r="Q3682" s="3" t="n">
        <v>2366</v>
      </c>
      <c r="R3682" s="3" t="inlineStr">
        <is>
          <t>지정되지않음</t>
        </is>
      </c>
      <c r="S3682" s="3" t="inlineStr">
        <is>
          <t>답</t>
        </is>
      </c>
      <c r="T3682" s="3" t="inlineStr">
        <is>
          <t>평지</t>
        </is>
      </c>
      <c r="U3682" s="3" t="inlineStr">
        <is>
          <t>가로장방</t>
        </is>
      </c>
      <c r="V3682" s="3" t="inlineStr">
        <is>
          <t>세로한면(가)</t>
        </is>
      </c>
    </row>
    <row r="3683">
      <c r="A3683" s="3" t="inlineStr">
        <is>
          <t>세종특별자치시 연서면 신대리 456-2</t>
        </is>
      </c>
      <c r="B3683" s="3" t="inlineStr">
        <is>
          <t>농림지역</t>
        </is>
      </c>
      <c r="C3683" s="3" t="inlineStr">
        <is>
          <t>답</t>
        </is>
      </c>
      <c r="D3683" s="3" t="inlineStr">
        <is>
          <t>답</t>
        </is>
      </c>
      <c r="E3683" s="3" t="inlineStr">
        <is>
          <t>매매</t>
        </is>
      </c>
      <c r="F3683" s="4" t="n">
        <v>39800</v>
      </c>
      <c r="G3683" s="4" t="n">
        <v>2632</v>
      </c>
      <c r="H3683" s="4" t="n">
        <v>796</v>
      </c>
      <c r="I3683" s="5" t="n">
        <v>50</v>
      </c>
      <c r="J3683" s="4" t="n">
        <v>22.9</v>
      </c>
      <c r="K3683" s="3" t="inlineStr">
        <is>
          <t>nan</t>
        </is>
      </c>
      <c r="L3683" s="6">
        <f>HYPERLINK("https://fin.land.naver.com/articles/2648596996", "매물Link")</f>
        <v/>
      </c>
      <c r="M3683" s="6">
        <f>HYPERLINK("https://map.naver.com/p/search/세종특별자치시 연서면 신대리 456-2", "지도Link")</f>
        <v/>
      </c>
      <c r="N3683" s="6">
        <f>HYPERLINK("http://www.eum.go.kr/web/ar/lu/luLandDet.jsp?pnu=3611036029104560002&amp;isNoScr=script&amp;mode=search", "토지이음")</f>
        <v/>
      </c>
      <c r="O3683" s="3" t="inlineStr">
        <is>
          <t>효성</t>
        </is>
      </c>
      <c r="P3683" s="3" t="n">
        <v>1</v>
      </c>
      <c r="Q3683" s="3" t="n">
        <v>2632</v>
      </c>
      <c r="R3683" s="3" t="inlineStr">
        <is>
          <t>지정되지않음</t>
        </is>
      </c>
      <c r="S3683" s="3" t="inlineStr">
        <is>
          <t>답</t>
        </is>
      </c>
      <c r="T3683" s="3" t="inlineStr">
        <is>
          <t>평지</t>
        </is>
      </c>
      <c r="U3683" s="3" t="inlineStr">
        <is>
          <t>사다리형</t>
        </is>
      </c>
      <c r="V3683" s="3" t="inlineStr">
        <is>
          <t>세로한면(가)</t>
        </is>
      </c>
    </row>
    <row r="3684">
      <c r="A3684" s="3" t="inlineStr">
        <is>
          <t>세종특별자치시 연서면 신대리 458-1</t>
        </is>
      </c>
      <c r="B3684" s="3" t="inlineStr">
        <is>
          <t>보전관리지역</t>
        </is>
      </c>
      <c r="C3684" s="3" t="inlineStr">
        <is>
          <t>대</t>
        </is>
      </c>
      <c r="D3684" s="3" t="inlineStr">
        <is>
          <t>대</t>
        </is>
      </c>
      <c r="E3684" s="3" t="inlineStr">
        <is>
          <t>매매</t>
        </is>
      </c>
      <c r="F3684" s="4" t="n">
        <v>427000</v>
      </c>
      <c r="G3684" s="4" t="n">
        <v>10463</v>
      </c>
      <c r="H3684" s="4" t="n">
        <v>3165</v>
      </c>
      <c r="I3684" s="5" t="n">
        <v>134.9</v>
      </c>
      <c r="J3684" s="4" t="n">
        <v>63.8</v>
      </c>
      <c r="K3684" s="3" t="inlineStr">
        <is>
          <t>세종 국가산단 인근 가치 상승지역 토지 매매</t>
        </is>
      </c>
      <c r="L3684" s="6">
        <f>HYPERLINK("https://fin.land.naver.com/articles/2648383274", "매물Link")</f>
        <v/>
      </c>
      <c r="M3684" s="6">
        <f>HYPERLINK("https://map.naver.com/p/search/세종특별자치시 연서면 신대리 458-1", "지도Link")</f>
        <v/>
      </c>
      <c r="N3684" s="6">
        <f>HYPERLINK("http://www.eum.go.kr/web/ar/lu/luLandDet.jsp?pnu=3611036029104580001&amp;isNoScr=script&amp;mode=search", "토지이음")</f>
        <v/>
      </c>
      <c r="O3684" s="3" t="inlineStr">
        <is>
          <t>세종비전행정사</t>
        </is>
      </c>
      <c r="P3684" s="3" t="n">
        <v>1</v>
      </c>
      <c r="Q3684" s="3" t="n">
        <v>4780</v>
      </c>
      <c r="R3684" s="3" t="inlineStr">
        <is>
          <t>지정되지않음</t>
        </is>
      </c>
      <c r="S3684" s="3" t="inlineStr">
        <is>
          <t>주거기타</t>
        </is>
      </c>
      <c r="T3684" s="3" t="inlineStr">
        <is>
          <t>완경사</t>
        </is>
      </c>
      <c r="U3684" s="3" t="inlineStr">
        <is>
          <t>부정형</t>
        </is>
      </c>
      <c r="V3684" s="3" t="inlineStr">
        <is>
          <t>세로한면(가)</t>
        </is>
      </c>
    </row>
    <row r="3685">
      <c r="A3685" s="3" t="inlineStr">
        <is>
          <t>세종특별자치시 연서면 신대리 469-44</t>
        </is>
      </c>
      <c r="B3685" s="3" t="inlineStr">
        <is>
          <t>계획관리지역</t>
        </is>
      </c>
      <c r="C3685" s="3" t="inlineStr">
        <is>
          <t>대</t>
        </is>
      </c>
      <c r="D3685" s="3" t="inlineStr">
        <is>
          <t>대</t>
        </is>
      </c>
      <c r="E3685" s="3" t="inlineStr">
        <is>
          <t>매매</t>
        </is>
      </c>
      <c r="F3685" s="4" t="n">
        <v>41800</v>
      </c>
      <c r="G3685" s="4" t="n">
        <v>540</v>
      </c>
      <c r="H3685" s="4" t="n">
        <v>163</v>
      </c>
      <c r="I3685" s="5" t="n">
        <v>256.4</v>
      </c>
      <c r="J3685" s="4" t="n">
        <v>66</v>
      </c>
      <c r="K3685" s="3" t="inlineStr">
        <is>
          <t>남향,전원주택지추천,계획관리,고복저수지인접</t>
        </is>
      </c>
      <c r="L3685" s="6">
        <f>HYPERLINK("https://fin.land.naver.com/articles/2647028639", "매물Link")</f>
        <v/>
      </c>
      <c r="M3685" s="6">
        <f>HYPERLINK("https://map.naver.com/p/search/세종특별자치시 연서면 신대리 469-44", "지도Link")</f>
        <v/>
      </c>
      <c r="N3685" s="6">
        <f>HYPERLINK("http://www.eum.go.kr/web/ar/lu/luLandDet.jsp?pnu=3611036029104690044&amp;isNoScr=script&amp;mode=search", "토지이음")</f>
        <v/>
      </c>
      <c r="O3685" s="3" t="inlineStr">
        <is>
          <t>따뜻한</t>
        </is>
      </c>
      <c r="P3685" s="3" t="n">
        <v>1</v>
      </c>
      <c r="Q3685" s="3" t="n">
        <v>540</v>
      </c>
      <c r="R3685" s="3" t="inlineStr">
        <is>
          <t>지정되지않음</t>
        </is>
      </c>
      <c r="S3685" s="3" t="inlineStr">
        <is>
          <t>주거나지</t>
        </is>
      </c>
      <c r="T3685" s="3" t="inlineStr">
        <is>
          <t>완경사</t>
        </is>
      </c>
      <c r="U3685" s="3" t="inlineStr">
        <is>
          <t>사다리형</t>
        </is>
      </c>
      <c r="V3685" s="3" t="inlineStr">
        <is>
          <t>세로한면(가)</t>
        </is>
      </c>
    </row>
    <row r="3686">
      <c r="A3686" s="3" t="inlineStr">
        <is>
          <t>세종특별자치시 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nan</t>
        </is>
      </c>
      <c r="L3686" s="6">
        <f>HYPERLINK("https://fin.land.naver.com/articles/2649736710", "매물Link")</f>
        <v/>
      </c>
      <c r="M3686" s="6">
        <f>HYPERLINK("https://map.naver.com/p/search/세종특별자치시 연서면 신대리 49-9", "지도Link")</f>
        <v/>
      </c>
      <c r="N3686" s="6">
        <f>HYPERLINK("http://www.eum.go.kr/web/ar/lu/luLandDet.jsp?pnu=3611036029100490009&amp;isNoScr=script&amp;mode=search", "토지이음")</f>
        <v/>
      </c>
      <c r="O3686" s="3" t="inlineStr">
        <is>
          <t>세종몽땅</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세종특별자치시 연서면 신대리 49-9</t>
        </is>
      </c>
      <c r="B3687" s="3" t="inlineStr">
        <is>
          <t>농림지역</t>
        </is>
      </c>
      <c r="C3687" s="3" t="inlineStr">
        <is>
          <t>답</t>
        </is>
      </c>
      <c r="D3687" s="3" t="inlineStr">
        <is>
          <t>답</t>
        </is>
      </c>
      <c r="E3687" s="3" t="inlineStr">
        <is>
          <t>매매</t>
        </is>
      </c>
      <c r="F3687" s="4" t="n">
        <v>60000</v>
      </c>
      <c r="G3687" s="4" t="n">
        <v>2512</v>
      </c>
      <c r="H3687" s="4" t="n">
        <v>760</v>
      </c>
      <c r="I3687" s="5" t="n">
        <v>78.90000000000001</v>
      </c>
      <c r="J3687" s="4" t="n">
        <v>31.4</v>
      </c>
      <c r="K3687" s="3" t="inlineStr">
        <is>
          <t>투자 위치 좋은 신대리 토지 추천</t>
        </is>
      </c>
      <c r="L3687" s="6">
        <f>HYPERLINK("https://fin.land.naver.com/articles/2645963615", "매물Link")</f>
        <v/>
      </c>
      <c r="M3687" s="6">
        <f>HYPERLINK("https://map.naver.com/p/search/세종특별자치시 연서면 신대리 49-9", "지도Link")</f>
        <v/>
      </c>
      <c r="N3687" s="6">
        <f>HYPERLINK("http://www.eum.go.kr/web/ar/lu/luLandDet.jsp?pnu=3611036029100490009&amp;isNoScr=script&amp;mode=search", "토지이음")</f>
        <v/>
      </c>
      <c r="O3687" s="3" t="inlineStr">
        <is>
          <t>지성</t>
        </is>
      </c>
      <c r="P3687" s="3" t="n">
        <v>1</v>
      </c>
      <c r="Q3687" s="3" t="n">
        <v>2512</v>
      </c>
      <c r="R3687" s="3" t="inlineStr">
        <is>
          <t>지정되지않음</t>
        </is>
      </c>
      <c r="S3687" s="3" t="inlineStr">
        <is>
          <t>답</t>
        </is>
      </c>
      <c r="T3687" s="3" t="inlineStr">
        <is>
          <t>평지</t>
        </is>
      </c>
      <c r="U3687" s="3" t="inlineStr">
        <is>
          <t>가로장방</t>
        </is>
      </c>
      <c r="V3687" s="3" t="inlineStr">
        <is>
          <t>세로한면(가)</t>
        </is>
      </c>
    </row>
    <row r="3688">
      <c r="A3688" s="3" t="inlineStr">
        <is>
          <t>세종특별자치시 연서면 신대리 537</t>
        </is>
      </c>
      <c r="B3688" s="3" t="inlineStr">
        <is>
          <t>계획관리지역</t>
        </is>
      </c>
      <c r="C3688" s="3" t="inlineStr">
        <is>
          <t>전</t>
        </is>
      </c>
      <c r="D3688" s="3" t="inlineStr">
        <is>
          <t>대</t>
        </is>
      </c>
      <c r="E3688" s="3" t="inlineStr">
        <is>
          <t>매매</t>
        </is>
      </c>
      <c r="F3688" s="4" t="n">
        <v>60350</v>
      </c>
      <c r="G3688" s="4" t="n">
        <v>1147</v>
      </c>
      <c r="H3688" s="4" t="n">
        <v>347</v>
      </c>
      <c r="I3688" s="5" t="n">
        <v>173.9</v>
      </c>
      <c r="J3688" s="4" t="n">
        <v>38.1</v>
      </c>
      <c r="K3688" s="3" t="inlineStr">
        <is>
          <t>2차선도로에 접해있으며 인접 도로 여건이 양호</t>
        </is>
      </c>
      <c r="L3688" s="6">
        <f>HYPERLINK("https://fin.land.naver.com/articles/2648621797", "매물Link")</f>
        <v/>
      </c>
      <c r="M3688" s="6">
        <f>HYPERLINK("https://map.naver.com/p/search/세종특별자치시 연서면 신대리 537", "지도Link")</f>
        <v/>
      </c>
      <c r="N3688" s="6">
        <f>HYPERLINK("http://www.eum.go.kr/web/ar/lu/luLandDet.jsp?pnu=3611036029105370000&amp;isNoScr=script&amp;mode=search", "토지이음")</f>
        <v/>
      </c>
      <c r="O3688" s="3" t="inlineStr">
        <is>
          <t>더KEY</t>
        </is>
      </c>
      <c r="P3688" s="3" t="n">
        <v>1</v>
      </c>
      <c r="Q3688" s="3" t="n">
        <v>1174</v>
      </c>
      <c r="R3688" s="3" t="inlineStr">
        <is>
          <t>지정되지않음</t>
        </is>
      </c>
      <c r="S3688" s="3" t="inlineStr">
        <is>
          <t>전</t>
        </is>
      </c>
      <c r="T3688" s="3" t="inlineStr">
        <is>
          <t>평지</t>
        </is>
      </c>
      <c r="U3688" s="3" t="inlineStr">
        <is>
          <t>부정형</t>
        </is>
      </c>
      <c r="V3688" s="3" t="inlineStr">
        <is>
          <t>소로한면</t>
        </is>
      </c>
    </row>
    <row r="3689">
      <c r="A3689" s="3" t="inlineStr">
        <is>
          <t>세종특별자치시 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HYPERLINK("https://map.naver.com/p/search/세종특별자치시 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세종특별자치시 연서면 신대리 75-1</t>
        </is>
      </c>
      <c r="B3690" s="3" t="inlineStr">
        <is>
          <t>농림지역</t>
        </is>
      </c>
      <c r="C3690" s="3" t="inlineStr">
        <is>
          <t>답</t>
        </is>
      </c>
      <c r="D3690" s="3" t="inlineStr">
        <is>
          <t>답</t>
        </is>
      </c>
      <c r="E3690" s="3" t="inlineStr">
        <is>
          <t>매매</t>
        </is>
      </c>
      <c r="F3690" s="4" t="n">
        <v>120000</v>
      </c>
      <c r="G3690" s="4" t="n">
        <v>4973</v>
      </c>
      <c r="H3690" s="4" t="n">
        <v>1504</v>
      </c>
      <c r="I3690" s="5" t="n">
        <v>79.8</v>
      </c>
      <c r="J3690" s="4" t="n">
        <v>31.7</v>
      </c>
      <c r="K3690" s="3" t="inlineStr">
        <is>
          <t>연서면 국가 산단 인근 2차선접한 토지 급매</t>
        </is>
      </c>
      <c r="L3690" s="6">
        <f>HYPERLINK("https://fin.land.naver.com/articles/2648418688", "매물Link")</f>
        <v/>
      </c>
      <c r="M3690" s="6">
        <f>HYPERLINK("https://map.naver.com/p/search/세종특별자치시 연서면 신대리 75-1", "지도Link")</f>
        <v/>
      </c>
      <c r="N3690" s="6">
        <f>HYPERLINK("http://www.eum.go.kr/web/ar/lu/luLandDet.jsp?pnu=3611036029100750001&amp;isNoScr=script&amp;mode=search", "토지이음")</f>
        <v/>
      </c>
      <c r="O3690" s="3" t="inlineStr">
        <is>
          <t>(주)경진컨설팅</t>
        </is>
      </c>
      <c r="P3690" s="3" t="n">
        <v>1</v>
      </c>
      <c r="Q3690" s="3" t="n">
        <v>1928</v>
      </c>
      <c r="R3690" s="3" t="inlineStr">
        <is>
          <t>지정되지않음</t>
        </is>
      </c>
      <c r="S3690" s="3" t="inlineStr">
        <is>
          <t>답</t>
        </is>
      </c>
      <c r="T3690" s="3" t="inlineStr">
        <is>
          <t>평지</t>
        </is>
      </c>
      <c r="U3690" s="3" t="inlineStr">
        <is>
          <t>사다리형</t>
        </is>
      </c>
      <c r="V3690" s="3" t="inlineStr">
        <is>
          <t>세로한면(가)</t>
        </is>
      </c>
    </row>
    <row r="3691">
      <c r="A3691" s="3" t="inlineStr">
        <is>
          <t>세종특별자치시 연서면 신대리 75-2</t>
        </is>
      </c>
      <c r="B3691" s="3" t="inlineStr">
        <is>
          <t>농림지역</t>
        </is>
      </c>
      <c r="C3691" s="3" t="inlineStr">
        <is>
          <t>답</t>
        </is>
      </c>
      <c r="D3691" s="3" t="inlineStr">
        <is>
          <t>답</t>
        </is>
      </c>
      <c r="E3691" s="3" t="inlineStr">
        <is>
          <t>매매</t>
        </is>
      </c>
      <c r="F3691" s="4" t="n">
        <v>69000</v>
      </c>
      <c r="G3691" s="4" t="n">
        <v>3045</v>
      </c>
      <c r="H3691" s="4" t="n">
        <v>921</v>
      </c>
      <c r="I3691" s="5" t="n">
        <v>74.90000000000001</v>
      </c>
      <c r="J3691" s="4" t="n">
        <v>31.7</v>
      </c>
      <c r="K3691" s="3" t="inlineStr">
        <is>
          <t>세종 스마트 국가산업단지가 예정 돼 있어 향후 투자가치가 높은 토지입니다</t>
        </is>
      </c>
      <c r="L3691" s="6">
        <f>HYPERLINK("https://fin.land.naver.com/articles/2649560776", "매물Link")</f>
        <v/>
      </c>
      <c r="M3691" s="6">
        <f>HYPERLINK("https://map.naver.com/p/search/세종특별자치시 연서면 신대리 75-2", "지도Link")</f>
        <v/>
      </c>
      <c r="N3691" s="6">
        <f>HYPERLINK("http://www.eum.go.kr/web/ar/lu/luLandDet.jsp?pnu=3611036029100750002&amp;isNoScr=script&amp;mode=search", "토지이음")</f>
        <v/>
      </c>
      <c r="O3691" s="3" t="inlineStr">
        <is>
          <t>스마일세종</t>
        </is>
      </c>
      <c r="P3691" s="3" t="n">
        <v>2</v>
      </c>
      <c r="Q3691" s="3" t="n">
        <v>3045</v>
      </c>
      <c r="R3691" s="3" t="inlineStr">
        <is>
          <t>지정되지않음</t>
        </is>
      </c>
      <c r="S3691" s="3" t="inlineStr">
        <is>
          <t>답</t>
        </is>
      </c>
      <c r="T3691" s="3" t="inlineStr">
        <is>
          <t>평지</t>
        </is>
      </c>
      <c r="U3691" s="3" t="inlineStr">
        <is>
          <t>가로장방</t>
        </is>
      </c>
      <c r="V3691" s="3" t="inlineStr">
        <is>
          <t>세로한면(가)</t>
        </is>
      </c>
    </row>
    <row r="3692">
      <c r="A3692" s="3" t="inlineStr">
        <is>
          <t>세종특별자치시 연서면 신대리 92-1</t>
        </is>
      </c>
      <c r="B3692" s="3" t="inlineStr">
        <is>
          <t>계획관리지역</t>
        </is>
      </c>
      <c r="C3692" s="3" t="inlineStr">
        <is>
          <t>전</t>
        </is>
      </c>
      <c r="D3692" s="3" t="inlineStr">
        <is>
          <t>전</t>
        </is>
      </c>
      <c r="E3692" s="3" t="inlineStr">
        <is>
          <t>매매</t>
        </is>
      </c>
      <c r="F3692" s="4" t="n">
        <v>54200</v>
      </c>
      <c r="G3692" s="4" t="n">
        <v>896</v>
      </c>
      <c r="H3692" s="4" t="n">
        <v>271</v>
      </c>
      <c r="I3692" s="5" t="n">
        <v>200</v>
      </c>
      <c r="J3692" s="4" t="n">
        <v>55.6</v>
      </c>
      <c r="K3692" s="3" t="inlineStr">
        <is>
          <t>세종국가산단 3km이내 계획관리지역 토지매매</t>
        </is>
      </c>
      <c r="L3692" s="6">
        <f>HYPERLINK("https://fin.land.naver.com/articles/2647596631", "매물Link")</f>
        <v/>
      </c>
      <c r="M3692" s="6">
        <f>HYPERLINK("https://map.naver.com/p/search/세종특별자치시 연서면 신대리 92-1", "지도Link")</f>
        <v/>
      </c>
      <c r="N3692" s="6">
        <f>HYPERLINK("http://www.eum.go.kr/web/ar/lu/luLandDet.jsp?pnu=3611036029100920001&amp;isNoScr=script&amp;mode=search", "토지이음")</f>
        <v/>
      </c>
      <c r="O3692" s="3" t="inlineStr">
        <is>
          <t>에이스</t>
        </is>
      </c>
      <c r="P3692" s="3" t="n">
        <v>1</v>
      </c>
      <c r="Q3692" s="3" t="n">
        <v>896</v>
      </c>
      <c r="R3692" s="3" t="inlineStr">
        <is>
          <t>지정되지않음</t>
        </is>
      </c>
      <c r="S3692" s="3" t="inlineStr">
        <is>
          <t>전</t>
        </is>
      </c>
      <c r="T3692" s="3" t="inlineStr">
        <is>
          <t>평지</t>
        </is>
      </c>
      <c r="U3692" s="3" t="inlineStr">
        <is>
          <t>사다리형</t>
        </is>
      </c>
      <c r="V3692" s="3" t="inlineStr">
        <is>
          <t>세로한면(가)</t>
        </is>
      </c>
    </row>
    <row r="3693">
      <c r="A3693" s="3" t="inlineStr">
        <is>
          <t>세종특별자치시 연서면 신대리 산100</t>
        </is>
      </c>
      <c r="B3693" s="3" t="inlineStr">
        <is>
          <t>보전관리지역</t>
        </is>
      </c>
      <c r="C3693" s="3" t="inlineStr">
        <is>
          <t>임야</t>
        </is>
      </c>
      <c r="D3693" s="3" t="inlineStr">
        <is>
          <t>임야</t>
        </is>
      </c>
      <c r="E3693" s="3" t="inlineStr">
        <is>
          <t>매매</t>
        </is>
      </c>
      <c r="F3693" s="4" t="n">
        <v>75000</v>
      </c>
      <c r="G3693" s="4" t="n">
        <v>6645</v>
      </c>
      <c r="H3693" s="4" t="n">
        <v>2010</v>
      </c>
      <c r="I3693" s="5" t="n">
        <v>37.3</v>
      </c>
      <c r="J3693" s="4" t="n">
        <v>8.5</v>
      </c>
      <c r="K3693" s="3" t="inlineStr">
        <is>
          <t>해구토말형 임야,귀한 명당 자리</t>
        </is>
      </c>
      <c r="L3693" s="6">
        <f>HYPERLINK("https://fin.land.naver.com/articles/2645984384", "매물Link")</f>
        <v/>
      </c>
      <c r="M3693" s="6">
        <f>HYPERLINK("https://map.naver.com/p/search/세종특별자치시 연서면 신대리 산100", "지도Link")</f>
        <v/>
      </c>
      <c r="N3693" s="6">
        <f>HYPERLINK("http://www.eum.go.kr/web/ar/lu/luLandDet.jsp?pnu=3611036029201000000&amp;isNoScr=script&amp;mode=search", "토지이음")</f>
        <v/>
      </c>
      <c r="O3693" s="3" t="inlineStr">
        <is>
          <t>가치잇는</t>
        </is>
      </c>
      <c r="P3693" s="3" t="n">
        <v>1</v>
      </c>
      <c r="Q3693" s="3" t="n">
        <v>6645</v>
      </c>
      <c r="R3693" s="3" t="inlineStr">
        <is>
          <t>지정되지않음</t>
        </is>
      </c>
      <c r="S3693" s="3" t="inlineStr">
        <is>
          <t>과수원</t>
        </is>
      </c>
      <c r="T3693" s="3" t="inlineStr">
        <is>
          <t>급경사</t>
        </is>
      </c>
      <c r="U3693" s="3" t="inlineStr">
        <is>
          <t>부정형</t>
        </is>
      </c>
      <c r="V3693" s="3" t="inlineStr">
        <is>
          <t>맹지</t>
        </is>
      </c>
    </row>
    <row r="3694">
      <c r="A3694" s="3" t="inlineStr">
        <is>
          <t>세종특별자치시 연서면 신대리 산19-5</t>
        </is>
      </c>
      <c r="B3694" s="3" t="inlineStr">
        <is>
          <t>보전관리지역</t>
        </is>
      </c>
      <c r="C3694" s="3" t="inlineStr">
        <is>
          <t>임야</t>
        </is>
      </c>
      <c r="D3694" s="3" t="inlineStr">
        <is>
          <t>임야</t>
        </is>
      </c>
      <c r="E3694" s="3" t="inlineStr">
        <is>
          <t>매매</t>
        </is>
      </c>
      <c r="F3694" s="4" t="n">
        <v>197000</v>
      </c>
      <c r="G3694" s="4" t="n">
        <v>8142</v>
      </c>
      <c r="H3694" s="4" t="n">
        <v>2463</v>
      </c>
      <c r="I3694" s="5" t="n">
        <v>80</v>
      </c>
      <c r="J3694" s="4" t="n">
        <v>4.6</v>
      </c>
      <c r="K3694" s="3" t="inlineStr">
        <is>
          <t>전원주택및다용도</t>
        </is>
      </c>
      <c r="L3694" s="6">
        <f>HYPERLINK("https://fin.land.naver.com/articles/2649186499", "매물Link")</f>
        <v/>
      </c>
      <c r="M3694" s="6">
        <f>HYPERLINK("https://map.naver.com/p/search/세종특별자치시 연서면 신대리 산19-5", "지도Link")</f>
        <v/>
      </c>
      <c r="N3694" s="6">
        <f>HYPERLINK("http://www.eum.go.kr/web/ar/lu/luLandDet.jsp?pnu=3611036029200190005&amp;isNoScr=script&amp;mode=search", "토지이음")</f>
        <v/>
      </c>
      <c r="O3694" s="3" t="inlineStr">
        <is>
          <t>지성</t>
        </is>
      </c>
      <c r="P3694" s="3" t="n">
        <v>1</v>
      </c>
      <c r="Q3694" s="3" t="n">
        <v>8142</v>
      </c>
      <c r="R3694" s="3" t="inlineStr">
        <is>
          <t>지정되지않음</t>
        </is>
      </c>
      <c r="S3694" s="3" t="inlineStr">
        <is>
          <t>자연림</t>
        </is>
      </c>
      <c r="T3694" s="3" t="inlineStr">
        <is>
          <t>급경사</t>
        </is>
      </c>
      <c r="U3694" s="3" t="inlineStr">
        <is>
          <t>부정형</t>
        </is>
      </c>
      <c r="V3694" s="3" t="inlineStr">
        <is>
          <t>세로한면(불)</t>
        </is>
      </c>
    </row>
    <row r="3695">
      <c r="A3695" s="3" t="inlineStr">
        <is>
          <t>세종특별자치시 연서면 신대리 산54-1</t>
        </is>
      </c>
      <c r="B3695" s="3" t="inlineStr">
        <is>
          <t>보전관리지역</t>
        </is>
      </c>
      <c r="C3695" s="3" t="inlineStr">
        <is>
          <t>임야</t>
        </is>
      </c>
      <c r="D3695" s="3" t="inlineStr">
        <is>
          <t>임야</t>
        </is>
      </c>
      <c r="E3695" s="3" t="inlineStr">
        <is>
          <t>매매</t>
        </is>
      </c>
      <c r="F3695" s="4" t="n">
        <v>130000</v>
      </c>
      <c r="G3695" s="4" t="n">
        <v>6171</v>
      </c>
      <c r="H3695" s="4" t="n">
        <v>1867</v>
      </c>
      <c r="I3695" s="5" t="n">
        <v>69.59999999999999</v>
      </c>
      <c r="J3695" s="4" t="n">
        <v>4.7</v>
      </c>
      <c r="K3695" s="3" t="inlineStr">
        <is>
          <t>국가산단옆,취락지구,계획관리포함됨,도로접, 가격조정가.</t>
        </is>
      </c>
      <c r="L3695" s="6">
        <f>HYPERLINK("https://fin.land.naver.com/articles/2649391412", "매물Link")</f>
        <v/>
      </c>
      <c r="M3695" s="6">
        <f>HYPERLINK("https://map.naver.com/p/search/세종특별자치시 연서면 신대리 산54-1", "지도Link")</f>
        <v/>
      </c>
      <c r="N3695" s="6">
        <f>HYPERLINK("http://www.eum.go.kr/web/ar/lu/luLandDet.jsp?pnu=3611036029200540001&amp;isNoScr=script&amp;mode=search", "토지이음")</f>
        <v/>
      </c>
      <c r="O3695" s="3" t="inlineStr">
        <is>
          <t>카톡</t>
        </is>
      </c>
      <c r="P3695" s="3" t="n">
        <v>1</v>
      </c>
      <c r="Q3695" s="3" t="n">
        <v>5455</v>
      </c>
      <c r="R3695" s="3" t="inlineStr">
        <is>
          <t>계획관리지역</t>
        </is>
      </c>
      <c r="S3695" s="3" t="inlineStr">
        <is>
          <t>자연림</t>
        </is>
      </c>
      <c r="T3695" s="3" t="inlineStr">
        <is>
          <t>급경사</t>
        </is>
      </c>
      <c r="U3695" s="3" t="inlineStr">
        <is>
          <t>부정형</t>
        </is>
      </c>
      <c r="V3695" s="3" t="inlineStr">
        <is>
          <t>세로한면(불)</t>
        </is>
      </c>
    </row>
    <row r="3696">
      <c r="A3696" s="3" t="inlineStr">
        <is>
          <t>세종특별자치시 연서면 신대리 산64-13</t>
        </is>
      </c>
      <c r="B3696" s="3" t="inlineStr">
        <is>
          <t>계획관리지역</t>
        </is>
      </c>
      <c r="C3696" s="3" t="inlineStr">
        <is>
          <t>임야</t>
        </is>
      </c>
      <c r="D3696" s="3" t="inlineStr">
        <is>
          <t>임야</t>
        </is>
      </c>
      <c r="E3696" s="3" t="inlineStr">
        <is>
          <t>매매</t>
        </is>
      </c>
      <c r="F3696" s="4" t="n">
        <v>185400</v>
      </c>
      <c r="G3696" s="4" t="n">
        <v>3064</v>
      </c>
      <c r="H3696" s="4" t="n">
        <v>927</v>
      </c>
      <c r="I3696" s="5" t="n">
        <v>200</v>
      </c>
      <c r="J3696" s="4" t="n">
        <v>6.6</v>
      </c>
      <c r="K3696" s="3" t="inlineStr">
        <is>
          <t>연서면 신대리 토지 매매</t>
        </is>
      </c>
      <c r="L3696" s="6">
        <f>HYPERLINK("https://fin.land.naver.com/articles/2646756083", "매물Link")</f>
        <v/>
      </c>
      <c r="M3696" s="6">
        <f>HYPERLINK("https://map.naver.com/p/search/세종특별자치시 연서면 신대리 산64-13", "지도Link")</f>
        <v/>
      </c>
      <c r="N3696" s="6">
        <f>HYPERLINK("http://www.eum.go.kr/web/ar/lu/luLandDet.jsp?pnu=3611036029200640013&amp;isNoScr=script&amp;mode=search", "토지이음")</f>
        <v/>
      </c>
      <c r="O3696" s="3" t="inlineStr">
        <is>
          <t>주식회사넥서스</t>
        </is>
      </c>
      <c r="P3696" s="3" t="n">
        <v>1</v>
      </c>
      <c r="Q3696" s="3" t="n">
        <v>3064</v>
      </c>
      <c r="R3696" s="3" t="inlineStr">
        <is>
          <t>지정되지않음</t>
        </is>
      </c>
      <c r="S3696" s="3" t="inlineStr">
        <is>
          <t>자연림</t>
        </is>
      </c>
      <c r="T3696" s="3" t="inlineStr">
        <is>
          <t>완경사</t>
        </is>
      </c>
      <c r="U3696" s="3" t="inlineStr">
        <is>
          <t>사다리형</t>
        </is>
      </c>
      <c r="V3696" s="3" t="inlineStr">
        <is>
          <t>세로한면(가)</t>
        </is>
      </c>
    </row>
    <row r="3697">
      <c r="A3697" s="3" t="inlineStr">
        <is>
          <t>세종특별자치시 연서면 신대리 산64-15</t>
        </is>
      </c>
      <c r="B3697" s="3" t="inlineStr">
        <is>
          <t>계획관리지역</t>
        </is>
      </c>
      <c r="C3697" s="3" t="inlineStr">
        <is>
          <t>임야</t>
        </is>
      </c>
      <c r="D3697" s="3" t="inlineStr">
        <is>
          <t>임야</t>
        </is>
      </c>
      <c r="E3697" s="3" t="inlineStr">
        <is>
          <t>매매</t>
        </is>
      </c>
      <c r="F3697" s="4" t="n">
        <v>67000</v>
      </c>
      <c r="G3697" s="4" t="n">
        <v>1395</v>
      </c>
      <c r="H3697" s="4" t="n">
        <v>422</v>
      </c>
      <c r="I3697" s="5" t="n">
        <v>158.8</v>
      </c>
      <c r="J3697" s="4" t="n">
        <v>45.6</v>
      </c>
      <c r="K3697" s="3" t="inlineStr">
        <is>
          <t>계획관리 네모 반듯한 임야. 주택 근생 공장 창고 가능 넓은 도로</t>
        </is>
      </c>
      <c r="L3697" s="6">
        <f>HYPERLINK("https://fin.land.naver.com/articles/2645603303", "매물Link")</f>
        <v/>
      </c>
      <c r="M3697" s="6">
        <f>HYPERLINK("https://map.naver.com/p/search/세종특별자치시 연서면 신대리 산64-15", "지도Link")</f>
        <v/>
      </c>
      <c r="N3697" s="6">
        <f>HYPERLINK("http://www.eum.go.kr/web/ar/lu/luLandDet.jsp?pnu=3611036029200640015&amp;isNoScr=script&amp;mode=search", "토지이음")</f>
        <v/>
      </c>
      <c r="O3697" s="3" t="inlineStr">
        <is>
          <t>미스터홈즈강남지사</t>
        </is>
      </c>
      <c r="P3697" s="3" t="n">
        <v>1</v>
      </c>
      <c r="Q3697" s="3" t="n">
        <v>1304</v>
      </c>
      <c r="R3697" s="3" t="inlineStr">
        <is>
          <t>지정되지않음</t>
        </is>
      </c>
      <c r="S3697" s="3" t="inlineStr">
        <is>
          <t>전기타</t>
        </is>
      </c>
      <c r="T3697" s="3" t="inlineStr">
        <is>
          <t>완경사</t>
        </is>
      </c>
      <c r="U3697" s="3" t="inlineStr">
        <is>
          <t>사다리형</t>
        </is>
      </c>
      <c r="V3697" s="3" t="inlineStr">
        <is>
          <t>세로한면(가)</t>
        </is>
      </c>
    </row>
    <row r="3698">
      <c r="A3698" s="3" t="inlineStr">
        <is>
          <t>세종특별자치시 연서면 쌍류리 101-10</t>
        </is>
      </c>
      <c r="B3698" s="3" t="inlineStr">
        <is>
          <t>생산관리지역</t>
        </is>
      </c>
      <c r="C3698" s="3" t="inlineStr">
        <is>
          <t>과수원</t>
        </is>
      </c>
      <c r="D3698" s="3" t="inlineStr">
        <is>
          <t>과수원</t>
        </is>
      </c>
      <c r="E3698" s="3" t="inlineStr">
        <is>
          <t>매매</t>
        </is>
      </c>
      <c r="F3698" s="4" t="n">
        <v>16000</v>
      </c>
      <c r="G3698" s="4" t="n">
        <v>447</v>
      </c>
      <c r="H3698" s="4" t="n">
        <v>135</v>
      </c>
      <c r="I3698" s="5" t="n">
        <v>118.5</v>
      </c>
      <c r="J3698" s="4" t="n">
        <v>31.2</v>
      </c>
      <c r="K3698" s="3" t="inlineStr">
        <is>
          <t>고복저수지인근,4m도로접, 모양좋고 평탄한 농지, 주말농장,체류형쉼터,</t>
        </is>
      </c>
      <c r="L3698" s="6">
        <f>HYPERLINK("https://fin.land.naver.com/articles/2645138787", "매물Link")</f>
        <v/>
      </c>
      <c r="M3698" s="6">
        <f>HYPERLINK("https://map.naver.com/p/search/세종특별자치시 연서면 쌍류리 101-10", "지도Link")</f>
        <v/>
      </c>
      <c r="N3698" s="6">
        <f>HYPERLINK("http://www.eum.go.kr/web/ar/lu/luLandDet.jsp?pnu=3611036026101010010&amp;isNoScr=script&amp;mode=search", "토지이음")</f>
        <v/>
      </c>
      <c r="O3698" s="3" t="inlineStr">
        <is>
          <t>세종복댕이</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세종특별자치시 연서면 쌍류리 101-10</t>
        </is>
      </c>
      <c r="B3699" s="3" t="inlineStr">
        <is>
          <t>생산관리지역</t>
        </is>
      </c>
      <c r="C3699" s="3" t="inlineStr">
        <is>
          <t>과수원</t>
        </is>
      </c>
      <c r="D3699" s="3" t="inlineStr">
        <is>
          <t>과수원</t>
        </is>
      </c>
      <c r="E3699" s="3" t="inlineStr">
        <is>
          <t>매매</t>
        </is>
      </c>
      <c r="F3699" s="4" t="n">
        <v>18000</v>
      </c>
      <c r="G3699" s="4" t="n">
        <v>447</v>
      </c>
      <c r="H3699" s="4" t="n">
        <v>135</v>
      </c>
      <c r="I3699" s="5" t="n">
        <v>133.3</v>
      </c>
      <c r="J3699" s="4" t="n">
        <v>31.2</v>
      </c>
      <c r="K3699" s="3" t="inlineStr">
        <is>
          <t>도로지분 포함, 전원생활,귀농,주말농장 검토 가능한 소형 과수원</t>
        </is>
      </c>
      <c r="L3699" s="6">
        <f>HYPERLINK("https://fin.land.naver.com/articles/2646380838", "매물Link")</f>
        <v/>
      </c>
      <c r="M3699" s="6">
        <f>HYPERLINK("https://map.naver.com/p/search/세종특별자치시 연서면 쌍류리 101-10", "지도Link")</f>
        <v/>
      </c>
      <c r="N3699" s="6">
        <f>HYPERLINK("http://www.eum.go.kr/web/ar/lu/luLandDet.jsp?pnu=3611036026101010010&amp;isNoScr=script&amp;mode=search", "토지이음")</f>
        <v/>
      </c>
      <c r="O3699" s="3" t="inlineStr">
        <is>
          <t>세종소담황금</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세종특별자치시 연서면 쌍류리 101-10</t>
        </is>
      </c>
      <c r="B3700" s="3" t="inlineStr">
        <is>
          <t>생산관리지역</t>
        </is>
      </c>
      <c r="C3700" s="3" t="inlineStr">
        <is>
          <t>과수원</t>
        </is>
      </c>
      <c r="D3700" s="3" t="inlineStr">
        <is>
          <t>과수원</t>
        </is>
      </c>
      <c r="E3700" s="3" t="inlineStr">
        <is>
          <t>매매</t>
        </is>
      </c>
      <c r="F3700" s="4" t="n">
        <v>16000</v>
      </c>
      <c r="G3700" s="4" t="n">
        <v>413</v>
      </c>
      <c r="H3700" s="4" t="n">
        <v>125</v>
      </c>
      <c r="I3700" s="5" t="n">
        <v>128</v>
      </c>
      <c r="J3700" s="4" t="n">
        <v>31.2</v>
      </c>
      <c r="K3700" s="3" t="inlineStr">
        <is>
          <t>체류형쉼터강추,도로접,국유지사용가,도로지분33제곱별도면적포함가</t>
        </is>
      </c>
      <c r="L3700" s="6">
        <f>HYPERLINK("https://fin.land.naver.com/articles/2648103313", "매물Link")</f>
        <v/>
      </c>
      <c r="M3700" s="6">
        <f>HYPERLINK("https://map.naver.com/p/search/세종특별자치시 연서면 쌍류리 101-10", "지도Link")</f>
        <v/>
      </c>
      <c r="N3700" s="6">
        <f>HYPERLINK("http://www.eum.go.kr/web/ar/lu/luLandDet.jsp?pnu=3611036026101010010&amp;isNoScr=script&amp;mode=search", "토지이음")</f>
        <v/>
      </c>
      <c r="O3700" s="3" t="inlineStr">
        <is>
          <t>힐스테이트행복</t>
        </is>
      </c>
      <c r="P3700" s="3" t="n">
        <v>1</v>
      </c>
      <c r="Q3700" s="3" t="n">
        <v>413</v>
      </c>
      <c r="R3700" s="3" t="inlineStr">
        <is>
          <t>지정되지않음</t>
        </is>
      </c>
      <c r="S3700" s="3" t="inlineStr">
        <is>
          <t>전기타</t>
        </is>
      </c>
      <c r="T3700" s="3" t="inlineStr">
        <is>
          <t>평지</t>
        </is>
      </c>
      <c r="U3700" s="3" t="inlineStr">
        <is>
          <t>사다리형</t>
        </is>
      </c>
      <c r="V3700" s="3" t="inlineStr">
        <is>
          <t>세로한면(가)</t>
        </is>
      </c>
    </row>
    <row r="3701">
      <c r="A3701" s="3" t="inlineStr">
        <is>
          <t>세종특별자치시 연서면 쌍류리 101-15</t>
        </is>
      </c>
      <c r="B3701" s="3" t="inlineStr">
        <is>
          <t>생산관리지역</t>
        </is>
      </c>
      <c r="C3701" s="3" t="inlineStr">
        <is>
          <t>과수원</t>
        </is>
      </c>
      <c r="D3701" s="3" t="inlineStr">
        <is>
          <t>과수원</t>
        </is>
      </c>
      <c r="E3701" s="3" t="inlineStr">
        <is>
          <t>매매</t>
        </is>
      </c>
      <c r="F3701" s="4" t="n">
        <v>20000</v>
      </c>
      <c r="G3701" s="4" t="n">
        <v>417</v>
      </c>
      <c r="H3701" s="4" t="n">
        <v>126</v>
      </c>
      <c r="I3701" s="5" t="n">
        <v>158.7</v>
      </c>
      <c r="J3701" s="4" t="n">
        <v>31.2</v>
      </c>
      <c r="K3701" s="3" t="inlineStr">
        <is>
          <t>고복저수지 끝자락  나만의 힐링 텃밭 조성 가능,  농막, 정화조 있음</t>
        </is>
      </c>
      <c r="L3701" s="6">
        <f>HYPERLINK("https://fin.land.naver.com/articles/2647651356", "매물Link")</f>
        <v/>
      </c>
      <c r="M3701" s="6">
        <f>HYPERLINK("https://map.naver.com/p/search/세종특별자치시 연서면 쌍류리 101-15", "지도Link")</f>
        <v/>
      </c>
      <c r="N3701" s="6">
        <f>HYPERLINK("http://www.eum.go.kr/web/ar/lu/luLandDet.jsp?pnu=3611036026101010015&amp;isNoScr=script&amp;mode=search", "토지이음")</f>
        <v/>
      </c>
      <c r="O3701" s="3" t="inlineStr">
        <is>
          <t>현담</t>
        </is>
      </c>
      <c r="P3701" s="3" t="n">
        <v>1</v>
      </c>
      <c r="Q3701" s="3" t="n">
        <v>417</v>
      </c>
      <c r="R3701" s="3" t="inlineStr">
        <is>
          <t>지정되지않음</t>
        </is>
      </c>
      <c r="S3701" s="3" t="inlineStr">
        <is>
          <t>전기타</t>
        </is>
      </c>
      <c r="T3701" s="3" t="inlineStr">
        <is>
          <t>평지</t>
        </is>
      </c>
      <c r="U3701" s="3" t="inlineStr">
        <is>
          <t>사다리형</t>
        </is>
      </c>
      <c r="V3701" s="3" t="inlineStr">
        <is>
          <t>세로한면(가)</t>
        </is>
      </c>
    </row>
    <row r="3702">
      <c r="A3702" s="3" t="inlineStr">
        <is>
          <t>세종특별자치시 연서면 쌍류리 106-1</t>
        </is>
      </c>
      <c r="B3702" s="3" t="inlineStr">
        <is>
          <t>생산관리지역</t>
        </is>
      </c>
      <c r="C3702" s="3" t="inlineStr">
        <is>
          <t>과수원</t>
        </is>
      </c>
      <c r="D3702" s="3" t="inlineStr">
        <is>
          <t>과수원</t>
        </is>
      </c>
      <c r="E3702" s="3" t="inlineStr">
        <is>
          <t>매매</t>
        </is>
      </c>
      <c r="F3702" s="4" t="n">
        <v>56000</v>
      </c>
      <c r="G3702" s="4" t="n">
        <v>1475</v>
      </c>
      <c r="H3702" s="4" t="n">
        <v>446</v>
      </c>
      <c r="I3702" s="5" t="n">
        <v>125.6</v>
      </c>
      <c r="J3702" s="4" t="n">
        <v>31.8</v>
      </c>
      <c r="K3702" s="3" t="inlineStr">
        <is>
          <t>연서면 세종국가산단 인근지, 고복유원지 500m, 2차선 국도 확장 예정</t>
        </is>
      </c>
      <c r="L3702" s="6">
        <f>HYPERLINK("https://fin.land.naver.com/articles/2648088515", "매물Link")</f>
        <v/>
      </c>
      <c r="M3702" s="6">
        <f>HYPERLINK("https://map.naver.com/p/search/세종특별자치시 연서면 쌍류리 106-1", "지도Link")</f>
        <v/>
      </c>
      <c r="N3702" s="6">
        <f>HYPERLINK("http://www.eum.go.kr/web/ar/lu/luLandDet.jsp?pnu=3611036026101060001&amp;isNoScr=script&amp;mode=search", "토지이음")</f>
        <v/>
      </c>
      <c r="O3702" s="3" t="inlineStr">
        <is>
          <t>오송3산단  사무소</t>
        </is>
      </c>
      <c r="P3702" s="3" t="n">
        <v>1</v>
      </c>
      <c r="Q3702" s="3" t="n">
        <v>747</v>
      </c>
      <c r="R3702" s="3" t="inlineStr">
        <is>
          <t>지정되지않음</t>
        </is>
      </c>
      <c r="S3702" s="3" t="inlineStr">
        <is>
          <t>과수원</t>
        </is>
      </c>
      <c r="T3702" s="3" t="inlineStr">
        <is>
          <t>평지</t>
        </is>
      </c>
      <c r="U3702" s="3" t="inlineStr">
        <is>
          <t>사다리형</t>
        </is>
      </c>
      <c r="V3702" s="3" t="inlineStr">
        <is>
          <t>세로한면(가)</t>
        </is>
      </c>
    </row>
    <row r="3703">
      <c r="A3703" s="3" t="inlineStr">
        <is>
          <t>세종특별자치시 연서면 쌍류리 106-8</t>
        </is>
      </c>
      <c r="B3703" s="3" t="inlineStr">
        <is>
          <t>생산관리지역</t>
        </is>
      </c>
      <c r="C3703" s="3" t="inlineStr">
        <is>
          <t>과수원</t>
        </is>
      </c>
      <c r="D3703" s="3" t="inlineStr">
        <is>
          <t>과수원</t>
        </is>
      </c>
      <c r="E3703" s="3" t="inlineStr">
        <is>
          <t>매매</t>
        </is>
      </c>
      <c r="F3703" s="4" t="n">
        <v>29000</v>
      </c>
      <c r="G3703" s="4" t="n">
        <v>728</v>
      </c>
      <c r="H3703" s="4" t="n">
        <v>220</v>
      </c>
      <c r="I3703" s="5" t="n">
        <v>131.8</v>
      </c>
      <c r="J3703" s="4" t="n">
        <v>31.8</v>
      </c>
      <c r="K3703" s="3" t="inlineStr">
        <is>
          <t>도로접한 과수원</t>
        </is>
      </c>
      <c r="L3703" s="6">
        <f>HYPERLINK("https://fin.land.naver.com/articles/2647652152", "매물Link")</f>
        <v/>
      </c>
      <c r="M3703" s="6">
        <f>HYPERLINK("https://map.naver.com/p/search/세종특별자치시 연서면 쌍류리 106-8", "지도Link")</f>
        <v/>
      </c>
      <c r="N3703" s="6">
        <f>HYPERLINK("http://www.eum.go.kr/web/ar/lu/luLandDet.jsp?pnu=3611036026101060008&amp;isNoScr=script&amp;mode=search", "토지이음")</f>
        <v/>
      </c>
      <c r="O3703" s="3" t="inlineStr">
        <is>
          <t>현담</t>
        </is>
      </c>
      <c r="P3703" s="3" t="n">
        <v>1</v>
      </c>
      <c r="Q3703" s="3" t="n">
        <v>728</v>
      </c>
      <c r="R3703" s="3" t="inlineStr">
        <is>
          <t>지정되지않음</t>
        </is>
      </c>
      <c r="S3703" s="3" t="inlineStr">
        <is>
          <t>과수원</t>
        </is>
      </c>
      <c r="T3703" s="3" t="inlineStr">
        <is>
          <t>평지</t>
        </is>
      </c>
      <c r="U3703" s="3" t="inlineStr">
        <is>
          <t>사다리형</t>
        </is>
      </c>
      <c r="V3703" s="3" t="inlineStr">
        <is>
          <t>세로한면(가)</t>
        </is>
      </c>
    </row>
    <row r="3704">
      <c r="A3704" s="3" t="inlineStr">
        <is>
          <t>세종특별자치시 연서면 쌍류리 116</t>
        </is>
      </c>
      <c r="B3704" s="3" t="inlineStr">
        <is>
          <t>생산관리지역</t>
        </is>
      </c>
      <c r="C3704" s="3" t="inlineStr">
        <is>
          <t>과수원</t>
        </is>
      </c>
      <c r="D3704" s="3" t="inlineStr">
        <is>
          <t>과수원</t>
        </is>
      </c>
      <c r="E3704" s="3" t="inlineStr">
        <is>
          <t>매매</t>
        </is>
      </c>
      <c r="F3704" s="4" t="n">
        <v>23800</v>
      </c>
      <c r="G3704" s="4" t="n">
        <v>1959</v>
      </c>
      <c r="H3704" s="4" t="n">
        <v>593</v>
      </c>
      <c r="I3704" s="5" t="n">
        <v>40.1</v>
      </c>
      <c r="J3704" s="4" t="n">
        <v>25.8</v>
      </c>
      <c r="K3704" s="3" t="inlineStr">
        <is>
          <t>급매. 고복저수지 인근 소액토지</t>
        </is>
      </c>
      <c r="L3704" s="6">
        <f>HYPERLINK("https://fin.land.naver.com/articles/2648767659", "매물Link")</f>
        <v/>
      </c>
      <c r="M3704" s="6">
        <f>HYPERLINK("https://map.naver.com/p/search/세종특별자치시 연서면 쌍류리 116", "지도Link")</f>
        <v/>
      </c>
      <c r="N3704" s="6">
        <f>HYPERLINK("http://www.eum.go.kr/web/ar/lu/luLandDet.jsp?pnu=3611036026101160000&amp;isNoScr=script&amp;mode=search", "토지이음")</f>
        <v/>
      </c>
      <c r="O3704" s="3" t="inlineStr">
        <is>
          <t>강아지풀</t>
        </is>
      </c>
      <c r="P3704" s="3" t="n">
        <v>1</v>
      </c>
      <c r="Q3704" s="3" t="n">
        <v>1959</v>
      </c>
      <c r="R3704" s="3" t="inlineStr">
        <is>
          <t>지정되지않음</t>
        </is>
      </c>
      <c r="S3704" s="3" t="inlineStr">
        <is>
          <t>과수원</t>
        </is>
      </c>
      <c r="T3704" s="3" t="inlineStr">
        <is>
          <t>평지</t>
        </is>
      </c>
      <c r="U3704" s="3" t="inlineStr">
        <is>
          <t>부정형</t>
        </is>
      </c>
      <c r="V3704" s="3" t="inlineStr">
        <is>
          <t>맹지</t>
        </is>
      </c>
    </row>
    <row r="3705">
      <c r="A3705" s="3" t="inlineStr">
        <is>
          <t>세종특별자치시 연서면 쌍류리 117</t>
        </is>
      </c>
      <c r="B3705" s="3" t="inlineStr">
        <is>
          <t>생산관리지역</t>
        </is>
      </c>
      <c r="C3705" s="3" t="inlineStr">
        <is>
          <t>과수원</t>
        </is>
      </c>
      <c r="D3705" s="3" t="inlineStr">
        <is>
          <t>과수원</t>
        </is>
      </c>
      <c r="E3705" s="3" t="inlineStr">
        <is>
          <t>매매</t>
        </is>
      </c>
      <c r="F3705" s="4" t="n">
        <v>49500</v>
      </c>
      <c r="G3705" s="4" t="n">
        <v>1022</v>
      </c>
      <c r="H3705" s="4" t="n">
        <v>309</v>
      </c>
      <c r="I3705" s="5" t="n">
        <v>160.2</v>
      </c>
      <c r="J3705" s="4" t="n">
        <v>46</v>
      </c>
      <c r="K3705" s="3" t="inlineStr">
        <is>
          <t>고복저수지근방 2차 도로접,소하천접한 생산,성장관리계획구역 활용도 굿</t>
        </is>
      </c>
      <c r="L3705" s="6">
        <f>HYPERLINK("https://fin.land.naver.com/articles/2644005821", "매물Link")</f>
        <v/>
      </c>
      <c r="M3705" s="6">
        <f>HYPERLINK("https://map.naver.com/p/search/세종특별자치시 연서면 쌍류리 117", "지도Link")</f>
        <v/>
      </c>
      <c r="N3705" s="6">
        <f>HYPERLINK("http://www.eum.go.kr/web/ar/lu/luLandDet.jsp?pnu=3611036026101170000&amp;isNoScr=script&amp;mode=search", "토지이음")</f>
        <v/>
      </c>
      <c r="O3705" s="3" t="inlineStr">
        <is>
          <t>가경수</t>
        </is>
      </c>
      <c r="P3705" s="3" t="n">
        <v>1</v>
      </c>
      <c r="Q3705" s="3" t="n">
        <v>1022</v>
      </c>
      <c r="R3705" s="3" t="inlineStr">
        <is>
          <t>지정되지않음</t>
        </is>
      </c>
      <c r="S3705" s="3" t="inlineStr">
        <is>
          <t>과수원</t>
        </is>
      </c>
      <c r="T3705" s="3" t="inlineStr">
        <is>
          <t>평지</t>
        </is>
      </c>
      <c r="U3705" s="3" t="inlineStr">
        <is>
          <t>부정형</t>
        </is>
      </c>
      <c r="V3705" s="3" t="inlineStr">
        <is>
          <t>소로한면</t>
        </is>
      </c>
    </row>
    <row r="3706">
      <c r="A3706" s="3" t="inlineStr">
        <is>
          <t>세종특별자치시 연서면 쌍류리 126-3</t>
        </is>
      </c>
      <c r="B3706" s="3" t="inlineStr">
        <is>
          <t>생산관리지역</t>
        </is>
      </c>
      <c r="C3706" s="3" t="inlineStr">
        <is>
          <t>대</t>
        </is>
      </c>
      <c r="D3706" s="3" t="inlineStr">
        <is>
          <t>대</t>
        </is>
      </c>
      <c r="E3706" s="3" t="inlineStr">
        <is>
          <t>매매</t>
        </is>
      </c>
      <c r="F3706" s="4" t="n">
        <v>92000</v>
      </c>
      <c r="G3706" s="4" t="n">
        <v>1909</v>
      </c>
      <c r="H3706" s="4" t="n">
        <v>577</v>
      </c>
      <c r="I3706" s="5" t="n">
        <v>159.4</v>
      </c>
      <c r="J3706" s="4" t="n">
        <v>46.6</v>
      </c>
      <c r="K3706" s="3" t="inlineStr">
        <is>
          <t>신축주택과 넓은 마당 갖춘 고복저수지 생활권</t>
        </is>
      </c>
      <c r="L3706" s="6">
        <f>HYPERLINK("https://fin.land.naver.com/articles/2647850817", "매물Link")</f>
        <v/>
      </c>
      <c r="M3706" s="6">
        <f>HYPERLINK("https://map.naver.com/p/search/세종특별자치시 연서면 쌍류리 126-3", "지도Link")</f>
        <v/>
      </c>
      <c r="N3706" s="6">
        <f>HYPERLINK("http://www.eum.go.kr/web/ar/lu/luLandDet.jsp?pnu=3611036026101260003&amp;isNoScr=script&amp;mode=search", "토지이음")</f>
        <v/>
      </c>
      <c r="O3706" s="3" t="inlineStr">
        <is>
          <t>세종소담황금</t>
        </is>
      </c>
      <c r="P3706" s="3" t="n">
        <v>1</v>
      </c>
      <c r="Q3706" s="3" t="n">
        <v>683</v>
      </c>
      <c r="R3706" s="3" t="inlineStr">
        <is>
          <t>지정되지않음</t>
        </is>
      </c>
      <c r="S3706" s="3" t="inlineStr">
        <is>
          <t>단독</t>
        </is>
      </c>
      <c r="T3706" s="3" t="inlineStr">
        <is>
          <t>평지</t>
        </is>
      </c>
      <c r="U3706" s="3" t="inlineStr">
        <is>
          <t>부정형</t>
        </is>
      </c>
      <c r="V3706" s="3" t="inlineStr">
        <is>
          <t>세로한면(가)</t>
        </is>
      </c>
    </row>
    <row r="3707">
      <c r="A3707" s="3" t="inlineStr">
        <is>
          <t>세종특별자치시 연서면 쌍류리 164</t>
        </is>
      </c>
      <c r="B3707" s="3" t="inlineStr">
        <is>
          <t>생산관리지역</t>
        </is>
      </c>
      <c r="C3707" s="3" t="inlineStr">
        <is>
          <t>과수원</t>
        </is>
      </c>
      <c r="D3707" s="3" t="inlineStr">
        <is>
          <t>과수원</t>
        </is>
      </c>
      <c r="E3707" s="3" t="inlineStr">
        <is>
          <t>매매</t>
        </is>
      </c>
      <c r="F3707" s="4" t="n">
        <v>35000</v>
      </c>
      <c r="G3707" s="4" t="n">
        <v>1260</v>
      </c>
      <c r="H3707" s="4" t="n">
        <v>381</v>
      </c>
      <c r="I3707" s="5" t="n">
        <v>91.90000000000001</v>
      </c>
      <c r="J3707" s="4" t="n">
        <v>25</v>
      </c>
      <c r="K3707" s="3" t="inlineStr">
        <is>
          <t>nan</t>
        </is>
      </c>
      <c r="L3707" s="6">
        <f>HYPERLINK("https://fin.land.naver.com/articles/2649773331", "매물Link")</f>
        <v/>
      </c>
      <c r="M3707" s="6">
        <f>HYPERLINK("https://map.naver.com/p/search/세종특별자치시 연서면 쌍류리 164", "지도Link")</f>
        <v/>
      </c>
      <c r="N3707" s="6">
        <f>HYPERLINK("http://www.eum.go.kr/web/ar/lu/luLandDet.jsp?pnu=3611036026101640000&amp;isNoScr=script&amp;mode=search", "토지이음")</f>
        <v/>
      </c>
      <c r="O3707" s="3" t="inlineStr">
        <is>
          <t>세종몽땅</t>
        </is>
      </c>
      <c r="P3707" s="3" t="n">
        <v>1</v>
      </c>
      <c r="Q3707" s="3" t="n">
        <v>1260</v>
      </c>
      <c r="R3707" s="3" t="inlineStr">
        <is>
          <t>지정되지않음</t>
        </is>
      </c>
      <c r="S3707" s="3" t="inlineStr">
        <is>
          <t>과수원</t>
        </is>
      </c>
      <c r="T3707" s="3" t="inlineStr">
        <is>
          <t>완경사</t>
        </is>
      </c>
      <c r="U3707" s="3" t="inlineStr">
        <is>
          <t>부정형</t>
        </is>
      </c>
      <c r="V3707" s="3" t="inlineStr">
        <is>
          <t>세로한면(불)</t>
        </is>
      </c>
    </row>
    <row r="3708">
      <c r="A3708" s="3" t="inlineStr">
        <is>
          <t>세종특별자치시 연서면 쌍류리 171-3</t>
        </is>
      </c>
      <c r="B3708" s="3" t="inlineStr">
        <is>
          <t>생산관리지역</t>
        </is>
      </c>
      <c r="C3708" s="3" t="inlineStr">
        <is>
          <t>답</t>
        </is>
      </c>
      <c r="D3708" s="3" t="inlineStr">
        <is>
          <t>답</t>
        </is>
      </c>
      <c r="E3708" s="3" t="inlineStr">
        <is>
          <t>매매</t>
        </is>
      </c>
      <c r="F3708" s="4" t="n">
        <v>81000</v>
      </c>
      <c r="G3708" s="4" t="n">
        <v>1978</v>
      </c>
      <c r="H3708" s="4" t="n">
        <v>598</v>
      </c>
      <c r="I3708" s="5" t="n">
        <v>135.5</v>
      </c>
      <c r="J3708" s="4" t="n">
        <v>29.7</v>
      </c>
      <c r="K3708" s="3" t="inlineStr">
        <is>
          <t>규모 있는 영농부지 찾는 분 주목</t>
        </is>
      </c>
      <c r="L3708" s="6">
        <f>HYPERLINK("https://fin.land.naver.com/articles/2649776390", "매물Link")</f>
        <v/>
      </c>
      <c r="M3708" s="6">
        <f>HYPERLINK("https://map.naver.com/p/search/세종특별자치시 연서면 쌍류리 171-3", "지도Link")</f>
        <v/>
      </c>
      <c r="N3708" s="6">
        <f>HYPERLINK("http://www.eum.go.kr/web/ar/lu/luLandDet.jsp?pnu=3611036026101710003&amp;isNoScr=script&amp;mode=search", "토지이음")</f>
        <v/>
      </c>
      <c r="O3708" s="3" t="inlineStr">
        <is>
          <t>세종몽땅</t>
        </is>
      </c>
      <c r="P3708" s="3" t="n">
        <v>1</v>
      </c>
      <c r="Q3708" s="3" t="n">
        <v>1978</v>
      </c>
      <c r="R3708" s="3" t="inlineStr">
        <is>
          <t>지정되지않음</t>
        </is>
      </c>
      <c r="S3708" s="3" t="inlineStr">
        <is>
          <t>과수원</t>
        </is>
      </c>
      <c r="T3708" s="3" t="inlineStr">
        <is>
          <t>평지</t>
        </is>
      </c>
      <c r="U3708" s="3" t="inlineStr">
        <is>
          <t>부정형</t>
        </is>
      </c>
      <c r="V3708" s="3" t="inlineStr">
        <is>
          <t>세로한면(가)</t>
        </is>
      </c>
    </row>
    <row r="3709">
      <c r="A3709" s="3" t="inlineStr">
        <is>
          <t>세종특별자치시 연서면 쌍류리 224</t>
        </is>
      </c>
      <c r="B3709" s="3" t="inlineStr">
        <is>
          <t>생산관리지역</t>
        </is>
      </c>
      <c r="C3709" s="3" t="inlineStr">
        <is>
          <t>과수원</t>
        </is>
      </c>
      <c r="D3709" s="3" t="inlineStr">
        <is>
          <t>과수원</t>
        </is>
      </c>
      <c r="E3709" s="3" t="inlineStr">
        <is>
          <t>매매</t>
        </is>
      </c>
      <c r="F3709" s="4" t="n">
        <v>110000</v>
      </c>
      <c r="G3709" s="4" t="n">
        <v>3183</v>
      </c>
      <c r="H3709" s="4" t="n">
        <v>963</v>
      </c>
      <c r="I3709" s="5" t="n">
        <v>114.2</v>
      </c>
      <c r="J3709" s="4" t="n">
        <v>35.8</v>
      </c>
      <c r="K3709" s="3" t="inlineStr">
        <is>
          <t>도로접,땅모양좋습니다,성장관리계획구역,조정가</t>
        </is>
      </c>
      <c r="L3709" s="6">
        <f>HYPERLINK("https://fin.land.naver.com/articles/2644050854", "매물Link")</f>
        <v/>
      </c>
      <c r="M3709" s="6">
        <f>HYPERLINK("https://map.naver.com/p/search/세종특별자치시 연서면 쌍류리 224", "지도Link")</f>
        <v/>
      </c>
      <c r="N3709" s="6">
        <f>HYPERLINK("http://www.eum.go.kr/web/ar/lu/luLandDet.jsp?pnu=3611036026102240000&amp;isNoScr=script&amp;mode=search", "토지이음")</f>
        <v/>
      </c>
      <c r="O3709" s="3" t="inlineStr">
        <is>
          <t>힐스테이트행복</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세종특별자치시 연서면 쌍류리 224</t>
        </is>
      </c>
      <c r="B3710" s="3" t="inlineStr">
        <is>
          <t>생산관리지역</t>
        </is>
      </c>
      <c r="C3710" s="3" t="inlineStr">
        <is>
          <t>과수원</t>
        </is>
      </c>
      <c r="D3710" s="3" t="inlineStr">
        <is>
          <t>과수원</t>
        </is>
      </c>
      <c r="E3710" s="3" t="inlineStr">
        <is>
          <t>매매</t>
        </is>
      </c>
      <c r="F3710" s="4" t="n">
        <v>96300</v>
      </c>
      <c r="G3710" s="4" t="n">
        <v>3183</v>
      </c>
      <c r="H3710" s="4" t="n">
        <v>963</v>
      </c>
      <c r="I3710" s="5" t="n">
        <v>100</v>
      </c>
      <c r="J3710" s="4" t="n">
        <v>35.8</v>
      </c>
      <c r="K3710" s="3" t="inlineStr">
        <is>
          <t>고복저수지, 연기휴게소예정지 인근 생산관리토지</t>
        </is>
      </c>
      <c r="L3710" s="6">
        <f>HYPERLINK("https://fin.land.naver.com/articles/2645606587", "매물Link")</f>
        <v/>
      </c>
      <c r="M3710" s="6">
        <f>HYPERLINK("https://map.naver.com/p/search/세종특별자치시 연서면 쌍류리 224", "지도Link")</f>
        <v/>
      </c>
      <c r="N3710" s="6">
        <f>HYPERLINK("http://www.eum.go.kr/web/ar/lu/luLandDet.jsp?pnu=3611036026102240000&amp;isNoScr=script&amp;mode=search", "토지이음")</f>
        <v/>
      </c>
      <c r="O3710" s="3" t="inlineStr">
        <is>
          <t>미스터홈즈강남지사</t>
        </is>
      </c>
      <c r="P3710" s="3" t="n">
        <v>1</v>
      </c>
      <c r="Q3710" s="3" t="n">
        <v>3183</v>
      </c>
      <c r="R3710" s="3" t="inlineStr">
        <is>
          <t>지정되지않음</t>
        </is>
      </c>
      <c r="S3710" s="3" t="inlineStr">
        <is>
          <t>과수원</t>
        </is>
      </c>
      <c r="T3710" s="3" t="inlineStr">
        <is>
          <t>평지</t>
        </is>
      </c>
      <c r="U3710" s="3" t="inlineStr">
        <is>
          <t>부정형</t>
        </is>
      </c>
      <c r="V3710" s="3" t="inlineStr">
        <is>
          <t>세로한면(가)</t>
        </is>
      </c>
    </row>
    <row r="3711">
      <c r="A3711" s="3" t="inlineStr">
        <is>
          <t>세종특별자치시 연서면 쌍류리 227-1</t>
        </is>
      </c>
      <c r="B3711" s="3" t="inlineStr">
        <is>
          <t>생산관리지역</t>
        </is>
      </c>
      <c r="C3711" s="3" t="inlineStr">
        <is>
          <t>과수원</t>
        </is>
      </c>
      <c r="D3711" s="3" t="inlineStr">
        <is>
          <t>과수원</t>
        </is>
      </c>
      <c r="E3711" s="3" t="inlineStr">
        <is>
          <t>매매</t>
        </is>
      </c>
      <c r="F3711" s="4" t="n">
        <v>160000</v>
      </c>
      <c r="G3711" s="4" t="n">
        <v>3530</v>
      </c>
      <c r="H3711" s="4" t="n">
        <v>1068</v>
      </c>
      <c r="I3711" s="5" t="n">
        <v>149.8</v>
      </c>
      <c r="J3711" s="4" t="n">
        <v>37.7</v>
      </c>
      <c r="K3711" s="3" t="inlineStr">
        <is>
          <t>고복저수지인근,2차선접,투자가치좋아요</t>
        </is>
      </c>
      <c r="L3711" s="6">
        <f>HYPERLINK("https://fin.land.naver.com/articles/2644050916", "매물Link")</f>
        <v/>
      </c>
      <c r="M3711" s="6">
        <f>HYPERLINK("https://map.naver.com/p/search/세종특별자치시 연서면 쌍류리 227-1", "지도Link")</f>
        <v/>
      </c>
      <c r="N3711" s="6">
        <f>HYPERLINK("http://www.eum.go.kr/web/ar/lu/luLandDet.jsp?pnu=3611036026102270001&amp;isNoScr=script&amp;mode=search", "토지이음")</f>
        <v/>
      </c>
      <c r="O3711" s="3" t="inlineStr">
        <is>
          <t>힐스테이트행복</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세종특별자치시 연서면 쌍류리 227-1</t>
        </is>
      </c>
      <c r="B3712" s="3" t="inlineStr">
        <is>
          <t>생산관리지역</t>
        </is>
      </c>
      <c r="C3712" s="3" t="inlineStr">
        <is>
          <t>과수원</t>
        </is>
      </c>
      <c r="D3712" s="3" t="inlineStr">
        <is>
          <t>과수원</t>
        </is>
      </c>
      <c r="E3712" s="3" t="inlineStr">
        <is>
          <t>매매</t>
        </is>
      </c>
      <c r="F3712" s="4" t="n">
        <v>130970</v>
      </c>
      <c r="G3712" s="4" t="n">
        <v>3606</v>
      </c>
      <c r="H3712" s="4" t="n">
        <v>1091</v>
      </c>
      <c r="I3712" s="5" t="n">
        <v>120</v>
      </c>
      <c r="J3712" s="4" t="n">
        <v>37.7</v>
      </c>
      <c r="K3712" s="3" t="inlineStr">
        <is>
          <t>고복저수지 1분거리 2차로 접한 토지</t>
        </is>
      </c>
      <c r="L3712" s="6">
        <f>HYPERLINK("https://fin.land.naver.com/articles/2644334853", "매물Link")</f>
        <v/>
      </c>
      <c r="M3712" s="6">
        <f>HYPERLINK("https://map.naver.com/p/search/세종특별자치시 연서면 쌍류리 227-1", "지도Link")</f>
        <v/>
      </c>
      <c r="N3712" s="6">
        <f>HYPERLINK("http://www.eum.go.kr/web/ar/lu/luLandDet.jsp?pnu=3611036026102270001&amp;isNoScr=script&amp;mode=search", "토지이음")</f>
        <v/>
      </c>
      <c r="O3712" s="3" t="inlineStr">
        <is>
          <t>신와촌</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세종특별자치시 연서면 쌍류리 227-1</t>
        </is>
      </c>
      <c r="B3713" s="3" t="inlineStr">
        <is>
          <t>생산관리지역</t>
        </is>
      </c>
      <c r="C3713" s="3" t="inlineStr">
        <is>
          <t>과수원</t>
        </is>
      </c>
      <c r="D3713" s="3" t="inlineStr">
        <is>
          <t>과수원</t>
        </is>
      </c>
      <c r="E3713" s="3" t="inlineStr">
        <is>
          <t>매매</t>
        </is>
      </c>
      <c r="F3713" s="4" t="n">
        <v>39600</v>
      </c>
      <c r="G3713" s="4" t="n">
        <v>1092</v>
      </c>
      <c r="H3713" s="4" t="n">
        <v>330</v>
      </c>
      <c r="I3713" s="5" t="n">
        <v>120</v>
      </c>
      <c r="J3713" s="4" t="n">
        <v>37.7</v>
      </c>
      <c r="K3713" s="3" t="inlineStr">
        <is>
          <t>도로접함 2필지 일괄매매 현재 과수원 미래가치ok</t>
        </is>
      </c>
      <c r="L3713" s="6">
        <f>HYPERLINK("https://fin.land.naver.com/articles/2643940125", "매물Link")</f>
        <v/>
      </c>
      <c r="M3713" s="6">
        <f>HYPERLINK("https://map.naver.com/p/search/세종특별자치시 연서면 쌍류리 227-1", "지도Link")</f>
        <v/>
      </c>
      <c r="N3713" s="6">
        <f>HYPERLINK("http://www.eum.go.kr/web/ar/lu/luLandDet.jsp?pnu=3611036026102270001&amp;isNoScr=script&amp;mode=search", "토지이음")</f>
        <v/>
      </c>
      <c r="O3713" s="3" t="inlineStr">
        <is>
          <t>신불당</t>
        </is>
      </c>
      <c r="P3713" s="3" t="n">
        <v>1</v>
      </c>
      <c r="Q3713" s="3" t="n">
        <v>3530</v>
      </c>
      <c r="R3713" s="3" t="inlineStr">
        <is>
          <t>지정되지않음</t>
        </is>
      </c>
      <c r="S3713" s="3" t="inlineStr">
        <is>
          <t>과수원</t>
        </is>
      </c>
      <c r="T3713" s="3" t="inlineStr">
        <is>
          <t>평지</t>
        </is>
      </c>
      <c r="U3713" s="3" t="inlineStr">
        <is>
          <t>부정형</t>
        </is>
      </c>
      <c r="V3713" s="3" t="inlineStr">
        <is>
          <t>세로한면(불)</t>
        </is>
      </c>
    </row>
    <row r="3714">
      <c r="A3714" s="3" t="inlineStr">
        <is>
          <t>세종특별자치시 연서면 쌍류리 232-1</t>
        </is>
      </c>
      <c r="B3714" s="3" t="inlineStr">
        <is>
          <t>생산관리지역</t>
        </is>
      </c>
      <c r="C3714" s="3" t="inlineStr">
        <is>
          <t>답</t>
        </is>
      </c>
      <c r="D3714" s="3" t="inlineStr">
        <is>
          <t>답</t>
        </is>
      </c>
      <c r="E3714" s="3" t="inlineStr">
        <is>
          <t>매매</t>
        </is>
      </c>
      <c r="F3714" s="4" t="n">
        <v>255000</v>
      </c>
      <c r="G3714" s="4" t="n">
        <v>5702</v>
      </c>
      <c r="H3714" s="4" t="n">
        <v>1725</v>
      </c>
      <c r="I3714" s="5" t="n">
        <v>147.8</v>
      </c>
      <c r="J3714" s="4" t="n">
        <v>28.3</v>
      </c>
      <c r="K3714" s="3" t="inlineStr">
        <is>
          <t>고복저수지인근 토지 매매</t>
        </is>
      </c>
      <c r="L3714" s="6">
        <f>HYPERLINK("https://fin.land.naver.com/articles/2648030320", "매물Link")</f>
        <v/>
      </c>
      <c r="M3714" s="6">
        <f>HYPERLINK("https://map.naver.com/p/search/세종특별자치시 연서면 쌍류리 232-1", "지도Link")</f>
        <v/>
      </c>
      <c r="N3714" s="6">
        <f>HYPERLINK("http://www.eum.go.kr/web/ar/lu/luLandDet.jsp?pnu=3611036026102320001&amp;isNoScr=script&amp;mode=search", "토지이음")</f>
        <v/>
      </c>
      <c r="O3714" s="3" t="inlineStr">
        <is>
          <t>THE행복</t>
        </is>
      </c>
      <c r="P3714" s="3" t="n">
        <v>1</v>
      </c>
      <c r="Q3714" s="3" t="n">
        <v>5605</v>
      </c>
      <c r="R3714" s="3" t="inlineStr">
        <is>
          <t>지정되지않음</t>
        </is>
      </c>
      <c r="S3714" s="3" t="inlineStr">
        <is>
          <t>답</t>
        </is>
      </c>
      <c r="T3714" s="3" t="inlineStr">
        <is>
          <t>평지</t>
        </is>
      </c>
      <c r="U3714" s="3" t="inlineStr">
        <is>
          <t>부정형</t>
        </is>
      </c>
      <c r="V3714" s="3" t="inlineStr">
        <is>
          <t>세로한면(가)</t>
        </is>
      </c>
    </row>
    <row r="3715">
      <c r="A3715" s="3" t="inlineStr">
        <is>
          <t>세종특별자치시 연서면 쌍류리 250</t>
        </is>
      </c>
      <c r="B3715" s="3" t="inlineStr">
        <is>
          <t>계획관리지역</t>
        </is>
      </c>
      <c r="C3715" s="3" t="inlineStr">
        <is>
          <t>과수원</t>
        </is>
      </c>
      <c r="D3715" s="3" t="inlineStr">
        <is>
          <t>과수원</t>
        </is>
      </c>
      <c r="E3715" s="3" t="inlineStr">
        <is>
          <t>매매</t>
        </is>
      </c>
      <c r="F3715" s="4" t="n">
        <v>72000</v>
      </c>
      <c r="G3715" s="4" t="n">
        <v>2499</v>
      </c>
      <c r="H3715" s="4" t="n">
        <v>756</v>
      </c>
      <c r="I3715" s="5" t="n">
        <v>95.2</v>
      </c>
      <c r="J3715" s="4" t="n">
        <v>37.1</v>
      </c>
      <c r="K3715" s="3" t="inlineStr">
        <is>
          <t>고복저수지인근 도로접한 계획관리 최상급 토</t>
        </is>
      </c>
      <c r="L3715" s="6">
        <f>HYPERLINK("https://fin.land.naver.com/articles/2645356064", "매물Link")</f>
        <v/>
      </c>
      <c r="M3715" s="6">
        <f>HYPERLINK("https://map.naver.com/p/search/세종특별자치시 연서면 쌍류리 250", "지도Link")</f>
        <v/>
      </c>
      <c r="N3715" s="6">
        <f>HYPERLINK("http://www.eum.go.kr/web/ar/lu/luLandDet.jsp?pnu=3611036026102500000&amp;isNoScr=script&amp;mode=search", "토지이음")</f>
        <v/>
      </c>
      <c r="O3715" s="3" t="inlineStr">
        <is>
          <t>지성</t>
        </is>
      </c>
      <c r="P3715" s="3" t="n">
        <v>1</v>
      </c>
      <c r="Q3715" s="3" t="n">
        <v>2499</v>
      </c>
      <c r="R3715" s="3" t="inlineStr">
        <is>
          <t>지정되지않음</t>
        </is>
      </c>
      <c r="S3715" s="3" t="inlineStr">
        <is>
          <t>과수원</t>
        </is>
      </c>
      <c r="T3715" s="3" t="inlineStr">
        <is>
          <t>평지</t>
        </is>
      </c>
      <c r="U3715" s="3" t="inlineStr">
        <is>
          <t>부정형</t>
        </is>
      </c>
      <c r="V3715" s="3" t="inlineStr">
        <is>
          <t>세로한면(가)</t>
        </is>
      </c>
    </row>
    <row r="3716">
      <c r="A3716" s="3" t="inlineStr">
        <is>
          <t>세종특별자치시 연서면 쌍류리 253-1</t>
        </is>
      </c>
      <c r="B3716" s="3" t="inlineStr">
        <is>
          <t>생산관리지역</t>
        </is>
      </c>
      <c r="C3716" s="3" t="inlineStr">
        <is>
          <t>전</t>
        </is>
      </c>
      <c r="D3716" s="3" t="inlineStr">
        <is>
          <t>전</t>
        </is>
      </c>
      <c r="E3716" s="3" t="inlineStr">
        <is>
          <t>매매</t>
        </is>
      </c>
      <c r="F3716" s="4" t="n">
        <v>39300</v>
      </c>
      <c r="G3716" s="4" t="n">
        <v>1002</v>
      </c>
      <c r="H3716" s="4" t="n">
        <v>303</v>
      </c>
      <c r="I3716" s="5" t="n">
        <v>129.7</v>
      </c>
      <c r="J3716" s="4" t="n">
        <v>30.9</v>
      </c>
      <c r="K3716" s="3" t="inlineStr">
        <is>
          <t>고복저수지인근의 도로길게 접한 생산관리 농지, 전원생활,투자를 겸한 자경</t>
        </is>
      </c>
      <c r="L3716" s="6">
        <f>HYPERLINK("https://fin.land.naver.com/articles/2645140592", "매물Link")</f>
        <v/>
      </c>
      <c r="M3716" s="6">
        <f>HYPERLINK("https://map.naver.com/p/search/세종특별자치시 연서면 쌍류리 253-1", "지도Link")</f>
        <v/>
      </c>
      <c r="N3716" s="6">
        <f>HYPERLINK("http://www.eum.go.kr/web/ar/lu/luLandDet.jsp?pnu=3611036026102530001&amp;isNoScr=script&amp;mode=search", "토지이음")</f>
        <v/>
      </c>
      <c r="O3716" s="3" t="inlineStr">
        <is>
          <t>세종복댕이</t>
        </is>
      </c>
      <c r="P3716" s="3" t="n">
        <v>1</v>
      </c>
      <c r="Q3716" s="3" t="n">
        <v>1002</v>
      </c>
      <c r="R3716" s="3" t="inlineStr">
        <is>
          <t>지정되지않음</t>
        </is>
      </c>
      <c r="S3716" s="3" t="inlineStr">
        <is>
          <t>전</t>
        </is>
      </c>
      <c r="T3716" s="3" t="inlineStr">
        <is>
          <t>평지</t>
        </is>
      </c>
      <c r="U3716" s="3" t="inlineStr">
        <is>
          <t>부정형</t>
        </is>
      </c>
      <c r="V3716" s="3" t="inlineStr">
        <is>
          <t>세로각지(가)</t>
        </is>
      </c>
    </row>
    <row r="3717">
      <c r="A3717" s="3" t="inlineStr">
        <is>
          <t>세종특별자치시 연서면 쌍류리 29-1</t>
        </is>
      </c>
      <c r="B3717" s="3" t="inlineStr">
        <is>
          <t>생산관리지역</t>
        </is>
      </c>
      <c r="C3717" s="3" t="inlineStr">
        <is>
          <t>전</t>
        </is>
      </c>
      <c r="D3717" s="3" t="inlineStr">
        <is>
          <t>전</t>
        </is>
      </c>
      <c r="E3717" s="3" t="inlineStr">
        <is>
          <t>매매</t>
        </is>
      </c>
      <c r="F3717" s="4" t="n">
        <v>38500</v>
      </c>
      <c r="G3717" s="4" t="n">
        <v>1590</v>
      </c>
      <c r="H3717" s="4" t="n">
        <v>481</v>
      </c>
      <c r="I3717" s="5" t="n">
        <v>80</v>
      </c>
      <c r="J3717" s="4" t="n">
        <v>24.9</v>
      </c>
      <c r="K3717" s="3" t="inlineStr">
        <is>
          <t>농막 전기 수도 등이 설치된 복숭아 과수원을 급매로  매매합니다</t>
        </is>
      </c>
      <c r="L3717" s="6">
        <f>HYPERLINK("https://fin.land.naver.com/articles/2648878841", "매물Link")</f>
        <v/>
      </c>
      <c r="M3717" s="6">
        <f>HYPERLINK("https://map.naver.com/p/search/세종특별자치시 연서면 쌍류리 29-1", "지도Link")</f>
        <v/>
      </c>
      <c r="N3717" s="6">
        <f>HYPERLINK("http://www.eum.go.kr/web/ar/lu/luLandDet.jsp?pnu=3611036026100290001&amp;isNoScr=script&amp;mode=search", "토지이음")</f>
        <v/>
      </c>
      <c r="O3717" s="3" t="inlineStr">
        <is>
          <t>스마일세종</t>
        </is>
      </c>
      <c r="P3717" s="3" t="n">
        <v>3</v>
      </c>
      <c r="Q3717" s="3" t="n">
        <v>1590</v>
      </c>
      <c r="R3717" s="3" t="inlineStr">
        <is>
          <t>지정되지않음</t>
        </is>
      </c>
      <c r="S3717" s="3" t="inlineStr">
        <is>
          <t>전</t>
        </is>
      </c>
      <c r="T3717" s="3" t="inlineStr">
        <is>
          <t>완경사</t>
        </is>
      </c>
      <c r="U3717" s="3" t="inlineStr">
        <is>
          <t>부정형</t>
        </is>
      </c>
      <c r="V3717" s="3" t="inlineStr">
        <is>
          <t>세로한면(가)</t>
        </is>
      </c>
    </row>
    <row r="3718">
      <c r="A3718" s="3" t="inlineStr">
        <is>
          <t>세종특별자치시 연서면 쌍류리 304-1</t>
        </is>
      </c>
      <c r="B3718" s="3" t="inlineStr">
        <is>
          <t>계획관리지역</t>
        </is>
      </c>
      <c r="C3718" s="3" t="inlineStr">
        <is>
          <t>공장용지</t>
        </is>
      </c>
      <c r="D3718" s="3" t="inlineStr">
        <is>
          <t>공장용지</t>
        </is>
      </c>
      <c r="E3718" s="3" t="inlineStr">
        <is>
          <t>매매</t>
        </is>
      </c>
      <c r="F3718" s="4" t="n">
        <v>112000</v>
      </c>
      <c r="G3718" s="4" t="n">
        <v>1851</v>
      </c>
      <c r="H3718" s="4" t="n">
        <v>560</v>
      </c>
      <c r="I3718" s="5" t="n">
        <v>200</v>
      </c>
      <c r="J3718" s="4" t="n">
        <v>63.2</v>
      </c>
      <c r="K3718" s="3" t="inlineStr">
        <is>
          <t>공장 있었으나 멸실됨, 공장 창고 또는 근생부지로도 훌륭함</t>
        </is>
      </c>
      <c r="L3718" s="6">
        <f>HYPERLINK("https://fin.land.naver.com/articles/2645606684", "매물Link")</f>
        <v/>
      </c>
      <c r="M3718" s="6">
        <f>HYPERLINK("https://map.naver.com/p/search/세종특별자치시 연서면 쌍류리 304-1", "지도Link")</f>
        <v/>
      </c>
      <c r="N3718" s="6">
        <f>HYPERLINK("http://www.eum.go.kr/web/ar/lu/luLandDet.jsp?pnu=3611036026103040001&amp;isNoScr=script&amp;mode=search", "토지이음")</f>
        <v/>
      </c>
      <c r="O3718" s="3" t="inlineStr">
        <is>
          <t>미스터홈즈강남지사</t>
        </is>
      </c>
      <c r="P3718" s="3" t="n">
        <v>1</v>
      </c>
      <c r="Q3718" s="3" t="n">
        <v>818</v>
      </c>
      <c r="R3718" s="3" t="inlineStr">
        <is>
          <t>지정되지않음</t>
        </is>
      </c>
      <c r="S3718" s="3" t="inlineStr">
        <is>
          <t>공업용</t>
        </is>
      </c>
      <c r="T3718" s="3" t="inlineStr">
        <is>
          <t>평지</t>
        </is>
      </c>
      <c r="U3718" s="3" t="inlineStr">
        <is>
          <t>부정형</t>
        </is>
      </c>
      <c r="V3718" s="3" t="inlineStr">
        <is>
          <t>세로한면(가)</t>
        </is>
      </c>
    </row>
    <row r="3719">
      <c r="A3719" s="3" t="inlineStr">
        <is>
          <t>세종특별자치시 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HYPERLINK("https://map.naver.com/p/search/세종특별자치시 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세종특별자치시 연서면 쌍류리 333-1</t>
        </is>
      </c>
      <c r="B3720" s="3" t="inlineStr">
        <is>
          <t>생산관리지역</t>
        </is>
      </c>
      <c r="C3720" s="3" t="inlineStr">
        <is>
          <t>과수원</t>
        </is>
      </c>
      <c r="D3720" s="3" t="inlineStr">
        <is>
          <t>과수원</t>
        </is>
      </c>
      <c r="E3720" s="3" t="inlineStr">
        <is>
          <t>매매</t>
        </is>
      </c>
      <c r="F3720" s="4" t="n">
        <v>36500</v>
      </c>
      <c r="G3720" s="4" t="n">
        <v>1334</v>
      </c>
      <c r="H3720" s="4" t="n">
        <v>404</v>
      </c>
      <c r="I3720" s="5" t="n">
        <v>90.3</v>
      </c>
      <c r="J3720" s="4" t="n">
        <v>29.4</v>
      </c>
      <c r="K3720" s="3" t="inlineStr">
        <is>
          <t>연서면 쌍류리 2차선변 토지 매매</t>
        </is>
      </c>
      <c r="L3720" s="6">
        <f>HYPERLINK("https://fin.land.naver.com/articles/2649563551", "매물Link")</f>
        <v/>
      </c>
      <c r="M3720" s="6">
        <f>HYPERLINK("https://map.naver.com/p/search/세종특별자치시 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세종특별자치시 연서면 쌍류리 333-1</t>
        </is>
      </c>
      <c r="B3721" s="3" t="inlineStr">
        <is>
          <t>생산관리지역</t>
        </is>
      </c>
      <c r="C3721" s="3" t="inlineStr">
        <is>
          <t>과수원</t>
        </is>
      </c>
      <c r="D3721" s="3" t="inlineStr">
        <is>
          <t>과수원</t>
        </is>
      </c>
      <c r="E3721" s="3" t="inlineStr">
        <is>
          <t>매매</t>
        </is>
      </c>
      <c r="F3721" s="4" t="n">
        <v>70200</v>
      </c>
      <c r="G3721" s="4" t="n">
        <v>2340</v>
      </c>
      <c r="H3721" s="4" t="n">
        <v>708</v>
      </c>
      <c r="I3721" s="5" t="n">
        <v>99.2</v>
      </c>
      <c r="J3721" s="4" t="n">
        <v>29.4</v>
      </c>
      <c r="K3721" s="3" t="inlineStr">
        <is>
          <t>연서면 쌍류리 2차선변 과수원 매매</t>
        </is>
      </c>
      <c r="L3721" s="6">
        <f>HYPERLINK("https://fin.land.naver.com/articles/2644208940", "매물Link")</f>
        <v/>
      </c>
      <c r="M3721" s="6">
        <f>HYPERLINK("https://map.naver.com/p/search/세종특별자치시 연서면 쌍류리 333-1", "지도Link")</f>
        <v/>
      </c>
      <c r="N3721" s="6">
        <f>HYPERLINK("http://www.eum.go.kr/web/ar/lu/luLandDet.jsp?pnu=3611036026103330001&amp;isNoScr=script&amp;mode=search", "토지이음")</f>
        <v/>
      </c>
      <c r="O3721" s="3" t="inlineStr">
        <is>
          <t>길운</t>
        </is>
      </c>
      <c r="P3721" s="3" t="n">
        <v>1</v>
      </c>
      <c r="Q3721" s="3" t="n">
        <v>984</v>
      </c>
      <c r="R3721" s="3" t="inlineStr">
        <is>
          <t>지정되지않음</t>
        </is>
      </c>
      <c r="S3721" s="3" t="inlineStr">
        <is>
          <t>답</t>
        </is>
      </c>
      <c r="T3721" s="3" t="inlineStr">
        <is>
          <t>평지</t>
        </is>
      </c>
      <c r="U3721" s="3" t="inlineStr">
        <is>
          <t>부정형</t>
        </is>
      </c>
      <c r="V3721" s="3" t="inlineStr">
        <is>
          <t>소로한면</t>
        </is>
      </c>
    </row>
    <row r="3722">
      <c r="A3722" s="3" t="inlineStr">
        <is>
          <t>세종특별자치시 연서면 쌍류리 340-2</t>
        </is>
      </c>
      <c r="B3722" s="3" t="inlineStr">
        <is>
          <t>생산관리지역</t>
        </is>
      </c>
      <c r="C3722" s="3" t="inlineStr">
        <is>
          <t>과수원</t>
        </is>
      </c>
      <c r="D3722" s="3" t="inlineStr">
        <is>
          <t>과수원</t>
        </is>
      </c>
      <c r="E3722" s="3" t="inlineStr">
        <is>
          <t>매매</t>
        </is>
      </c>
      <c r="F3722" s="4" t="n">
        <v>65000</v>
      </c>
      <c r="G3722" s="4" t="n">
        <v>1772</v>
      </c>
      <c r="H3722" s="4" t="n">
        <v>536</v>
      </c>
      <c r="I3722" s="5" t="n">
        <v>121.3</v>
      </c>
      <c r="J3722" s="4" t="n">
        <v>30.1</v>
      </c>
      <c r="K3722" s="3" t="inlineStr">
        <is>
          <t>남향토지 도로 접한 농지 초등학교 인근 전원주택지 추천</t>
        </is>
      </c>
      <c r="L3722" s="6">
        <f>HYPERLINK("https://fin.land.naver.com/articles/2646804144", "매물Link")</f>
        <v/>
      </c>
      <c r="M3722" s="6">
        <f>HYPERLINK("https://map.naver.com/p/search/세종특별자치시 연서면 쌍류리 340-2", "지도Link")</f>
        <v/>
      </c>
      <c r="N3722" s="6">
        <f>HYPERLINK("http://www.eum.go.kr/web/ar/lu/luLandDet.jsp?pnu=3611036026103400002&amp;isNoScr=script&amp;mode=search", "토지이음")</f>
        <v/>
      </c>
      <c r="O3722" s="3" t="inlineStr">
        <is>
          <t>지성</t>
        </is>
      </c>
      <c r="P3722" s="3" t="n">
        <v>1</v>
      </c>
      <c r="Q3722" s="3" t="n">
        <v>1772</v>
      </c>
      <c r="R3722" s="3" t="inlineStr">
        <is>
          <t>지정되지않음</t>
        </is>
      </c>
      <c r="S3722" s="3" t="inlineStr">
        <is>
          <t>과수원</t>
        </is>
      </c>
      <c r="T3722" s="3" t="inlineStr">
        <is>
          <t>평지</t>
        </is>
      </c>
      <c r="U3722" s="3" t="inlineStr">
        <is>
          <t>세로장방</t>
        </is>
      </c>
      <c r="V3722" s="3" t="inlineStr">
        <is>
          <t>세로한면(가)</t>
        </is>
      </c>
    </row>
    <row r="3723">
      <c r="A3723" s="3" t="inlineStr">
        <is>
          <t>세종특별자치시 연서면 쌍류리 419</t>
        </is>
      </c>
      <c r="B3723" s="3" t="inlineStr">
        <is>
          <t>생산관리지역</t>
        </is>
      </c>
      <c r="C3723" s="3" t="inlineStr">
        <is>
          <t>전</t>
        </is>
      </c>
      <c r="D3723" s="3" t="inlineStr">
        <is>
          <t>과수원</t>
        </is>
      </c>
      <c r="E3723" s="3" t="inlineStr">
        <is>
          <t>매매</t>
        </is>
      </c>
      <c r="F3723" s="4" t="n">
        <v>196000</v>
      </c>
      <c r="G3723" s="4" t="n">
        <v>6318</v>
      </c>
      <c r="H3723" s="4" t="n">
        <v>1911</v>
      </c>
      <c r="I3723" s="5" t="n">
        <v>102.6</v>
      </c>
      <c r="J3723" s="4" t="n">
        <v>29.8</v>
      </c>
      <c r="K3723" s="3" t="inlineStr">
        <is>
          <t>과수원1필지,임야3필지 일괄매매</t>
        </is>
      </c>
      <c r="L3723" s="6">
        <f>HYPERLINK("https://fin.land.naver.com/articles/2646711526", "매물Link")</f>
        <v/>
      </c>
      <c r="M3723" s="6">
        <f>HYPERLINK("https://map.naver.com/p/search/세종특별자치시 연서면 쌍류리 419", "지도Link")</f>
        <v/>
      </c>
      <c r="N3723" s="6">
        <f>HYPERLINK("http://www.eum.go.kr/web/ar/lu/luLandDet.jsp?pnu=3611036026104190000&amp;isNoScr=script&amp;mode=search", "토지이음")</f>
        <v/>
      </c>
      <c r="O3723" s="3" t="inlineStr">
        <is>
          <t>빛나</t>
        </is>
      </c>
      <c r="P3723" s="3" t="n">
        <v>1</v>
      </c>
      <c r="Q3723" s="3" t="n">
        <v>711</v>
      </c>
      <c r="R3723" s="3" t="inlineStr">
        <is>
          <t>지정되지않음</t>
        </is>
      </c>
      <c r="S3723" s="3" t="inlineStr">
        <is>
          <t>전</t>
        </is>
      </c>
      <c r="T3723" s="3" t="inlineStr">
        <is>
          <t>완경사</t>
        </is>
      </c>
      <c r="U3723" s="3" t="inlineStr">
        <is>
          <t>부정형</t>
        </is>
      </c>
      <c r="V3723" s="3" t="inlineStr">
        <is>
          <t>세로한면(가)</t>
        </is>
      </c>
    </row>
    <row r="3724">
      <c r="A3724" s="3" t="inlineStr">
        <is>
          <t>세종특별자치시 연서면 쌍류리 42-1</t>
        </is>
      </c>
      <c r="B3724" s="3" t="inlineStr">
        <is>
          <t>생산관리지역</t>
        </is>
      </c>
      <c r="C3724" s="3" t="inlineStr">
        <is>
          <t>과수원</t>
        </is>
      </c>
      <c r="D3724" s="3" t="inlineStr">
        <is>
          <t>과수원</t>
        </is>
      </c>
      <c r="E3724" s="3" t="inlineStr">
        <is>
          <t>매매</t>
        </is>
      </c>
      <c r="F3724" s="4" t="n">
        <v>22900</v>
      </c>
      <c r="G3724" s="4" t="n">
        <v>840</v>
      </c>
      <c r="H3724" s="4" t="n">
        <v>254</v>
      </c>
      <c r="I3724" s="5" t="n">
        <v>90.2</v>
      </c>
      <c r="J3724" s="4" t="n">
        <v>46</v>
      </c>
      <c r="K3724" s="3" t="inlineStr">
        <is>
          <t>도로확장 되는 부분과 96미터 정도로 길게 접한 좁고 길쭉한 토지</t>
        </is>
      </c>
      <c r="L3724" s="6">
        <f>HYPERLINK("https://fin.land.naver.com/articles/2649904522", "매물Link")</f>
        <v/>
      </c>
      <c r="M3724" s="6">
        <f>HYPERLINK("https://map.naver.com/p/search/세종특별자치시 연서면 쌍류리 42-1", "지도Link")</f>
        <v/>
      </c>
      <c r="N3724" s="6">
        <f>HYPERLINK("http://www.eum.go.kr/web/ar/lu/luLandDet.jsp?pnu=3611036026100420001&amp;isNoScr=script&amp;mode=search", "토지이음")</f>
        <v/>
      </c>
      <c r="O3724" s="3" t="inlineStr">
        <is>
          <t>미스터홈즈강남지사</t>
        </is>
      </c>
      <c r="P3724" s="3" t="n">
        <v>1</v>
      </c>
      <c r="Q3724" s="3" t="n">
        <v>840</v>
      </c>
      <c r="R3724" s="3" t="inlineStr">
        <is>
          <t>지정되지않음</t>
        </is>
      </c>
      <c r="S3724" s="3" t="inlineStr">
        <is>
          <t>과수원</t>
        </is>
      </c>
      <c r="T3724" s="3" t="inlineStr">
        <is>
          <t>평지</t>
        </is>
      </c>
      <c r="U3724" s="3" t="inlineStr">
        <is>
          <t>부정형</t>
        </is>
      </c>
      <c r="V3724" s="3" t="inlineStr">
        <is>
          <t>소로한면</t>
        </is>
      </c>
    </row>
    <row r="3725">
      <c r="A3725" s="3" t="inlineStr">
        <is>
          <t>세종특별자치시 연서면 쌍류리 426-2</t>
        </is>
      </c>
      <c r="B3725" s="3" t="inlineStr">
        <is>
          <t>계획관리지역</t>
        </is>
      </c>
      <c r="C3725" s="3" t="inlineStr">
        <is>
          <t>대</t>
        </is>
      </c>
      <c r="D3725" s="3" t="inlineStr">
        <is>
          <t>대</t>
        </is>
      </c>
      <c r="E3725" s="3" t="inlineStr">
        <is>
          <t>매매</t>
        </is>
      </c>
      <c r="F3725" s="4" t="n">
        <v>16000</v>
      </c>
      <c r="G3725" s="4" t="n">
        <v>476</v>
      </c>
      <c r="H3725" s="4" t="n">
        <v>144</v>
      </c>
      <c r="I3725" s="5" t="n">
        <v>111.1</v>
      </c>
      <c r="J3725" s="4" t="n">
        <v>55.4</v>
      </c>
      <c r="K3725" s="3" t="inlineStr">
        <is>
          <t>nan</t>
        </is>
      </c>
      <c r="L3725" s="6">
        <f>HYPERLINK("https://fin.land.naver.com/articles/2649967157", "매물Link")</f>
        <v/>
      </c>
      <c r="M3725" s="6">
        <f>HYPERLINK("https://map.naver.com/p/search/세종특별자치시 연서면 쌍류리 426-2", "지도Link")</f>
        <v/>
      </c>
      <c r="N3725" s="6">
        <f>HYPERLINK("http://www.eum.go.kr/web/ar/lu/luLandDet.jsp?pnu=3611036026104260002&amp;isNoScr=script&amp;mode=search", "토지이음")</f>
        <v/>
      </c>
      <c r="O3725" s="3" t="inlineStr">
        <is>
          <t>지성</t>
        </is>
      </c>
      <c r="P3725" s="3" t="n">
        <v>1</v>
      </c>
      <c r="Q3725" s="3" t="n">
        <v>476</v>
      </c>
      <c r="R3725" s="3" t="inlineStr">
        <is>
          <t>지정되지않음</t>
        </is>
      </c>
      <c r="S3725" s="3" t="inlineStr">
        <is>
          <t>단독</t>
        </is>
      </c>
      <c r="T3725" s="3" t="inlineStr">
        <is>
          <t>평지</t>
        </is>
      </c>
      <c r="U3725" s="3" t="inlineStr">
        <is>
          <t>사다리형</t>
        </is>
      </c>
      <c r="V3725" s="3" t="inlineStr">
        <is>
          <t>세로한면(가)</t>
        </is>
      </c>
    </row>
    <row r="3726">
      <c r="A3726" s="3" t="inlineStr">
        <is>
          <t>세종특별자치시 연서면 쌍류리 438-1</t>
        </is>
      </c>
      <c r="B3726" s="3" t="inlineStr">
        <is>
          <t>생산관리지역</t>
        </is>
      </c>
      <c r="C3726" s="3" t="inlineStr">
        <is>
          <t>전</t>
        </is>
      </c>
      <c r="D3726" s="3" t="inlineStr">
        <is>
          <t>전</t>
        </is>
      </c>
      <c r="E3726" s="3" t="inlineStr">
        <is>
          <t>매매</t>
        </is>
      </c>
      <c r="F3726" s="4" t="n">
        <v>210000</v>
      </c>
      <c r="G3726" s="4" t="n">
        <v>11425</v>
      </c>
      <c r="H3726" s="4" t="n">
        <v>3456</v>
      </c>
      <c r="I3726" s="5" t="n">
        <v>60.8</v>
      </c>
      <c r="J3726" s="4" t="n">
        <v>27.4</v>
      </c>
      <c r="K3726" s="3" t="inlineStr">
        <is>
          <t>도로있음, 매매가협의가능, 고복저수지7분거리, 분할가능</t>
        </is>
      </c>
      <c r="L3726" s="6">
        <f>HYPERLINK("https://fin.land.naver.com/articles/2649913709", "매물Link")</f>
        <v/>
      </c>
      <c r="M3726" s="6">
        <f>HYPERLINK("https://map.naver.com/p/search/세종특별자치시 연서면 쌍류리 438-1", "지도Link")</f>
        <v/>
      </c>
      <c r="N3726" s="6">
        <f>HYPERLINK("http://www.eum.go.kr/web/ar/lu/luLandDet.jsp?pnu=3611036026104380001&amp;isNoScr=script&amp;mode=search", "토지이음")</f>
        <v/>
      </c>
      <c r="O3726" s="3" t="inlineStr">
        <is>
          <t>미스터홈즈강남지사</t>
        </is>
      </c>
      <c r="P3726" s="3" t="n">
        <v>2</v>
      </c>
      <c r="Q3726" s="3" t="n">
        <v>11425</v>
      </c>
      <c r="R3726" s="3" t="inlineStr">
        <is>
          <t>지정되지않음</t>
        </is>
      </c>
      <c r="S3726" s="3" t="inlineStr">
        <is>
          <t>과수원</t>
        </is>
      </c>
      <c r="T3726" s="3" t="inlineStr">
        <is>
          <t>급경사</t>
        </is>
      </c>
      <c r="U3726" s="3" t="inlineStr">
        <is>
          <t>부정형</t>
        </is>
      </c>
      <c r="V3726" s="3" t="inlineStr">
        <is>
          <t>세로각지(가)</t>
        </is>
      </c>
    </row>
    <row r="3727">
      <c r="A3727" s="3" t="inlineStr">
        <is>
          <t>세종특별자치시 연서면 쌍류리 451</t>
        </is>
      </c>
      <c r="B3727" s="3" t="inlineStr">
        <is>
          <t>생산관리지역</t>
        </is>
      </c>
      <c r="C3727" s="3" t="inlineStr">
        <is>
          <t>전</t>
        </is>
      </c>
      <c r="D3727" s="3" t="inlineStr">
        <is>
          <t>전</t>
        </is>
      </c>
      <c r="E3727" s="3" t="inlineStr">
        <is>
          <t>매매</t>
        </is>
      </c>
      <c r="F3727" s="4" t="n">
        <v>55680</v>
      </c>
      <c r="G3727" s="4" t="n">
        <v>1534</v>
      </c>
      <c r="H3727" s="4" t="n">
        <v>464</v>
      </c>
      <c r="I3727" s="5" t="n">
        <v>120</v>
      </c>
      <c r="J3727" s="4" t="n">
        <v>23.6</v>
      </c>
      <c r="K3727" s="3" t="inlineStr">
        <is>
          <t>평탄화 작업 완료하여, 전원생활을 위한 원형지를 찾는 분에게 추천</t>
        </is>
      </c>
      <c r="L3727" s="6">
        <f>HYPERLINK("https://fin.land.naver.com/articles/2645605797", "매물Link")</f>
        <v/>
      </c>
      <c r="M3727" s="6">
        <f>HYPERLINK("https://map.naver.com/p/search/세종특별자치시 연서면 쌍류리 451", "지도Link")</f>
        <v/>
      </c>
      <c r="N3727" s="6">
        <f>HYPERLINK("http://www.eum.go.kr/web/ar/lu/luLandDet.jsp?pnu=3611036026104510000&amp;isNoScr=script&amp;mode=search", "토지이음")</f>
        <v/>
      </c>
      <c r="O3727" s="3" t="inlineStr">
        <is>
          <t>미스터홈즈강남지사</t>
        </is>
      </c>
      <c r="P3727" s="3" t="n">
        <v>1</v>
      </c>
      <c r="Q3727" s="3" t="n">
        <v>1534</v>
      </c>
      <c r="R3727" s="3" t="inlineStr">
        <is>
          <t>지정되지않음</t>
        </is>
      </c>
      <c r="S3727" s="3" t="inlineStr">
        <is>
          <t>전</t>
        </is>
      </c>
      <c r="T3727" s="3" t="inlineStr">
        <is>
          <t>급경사</t>
        </is>
      </c>
      <c r="U3727" s="3" t="inlineStr">
        <is>
          <t>부정형</t>
        </is>
      </c>
      <c r="V3727" s="3" t="inlineStr">
        <is>
          <t>세로한면(불)</t>
        </is>
      </c>
    </row>
    <row r="3728">
      <c r="A3728" s="3" t="inlineStr">
        <is>
          <t>세종특별자치시 연서면 쌍류리 463-2</t>
        </is>
      </c>
      <c r="B3728" s="3" t="inlineStr">
        <is>
          <t>생산관리지역</t>
        </is>
      </c>
      <c r="C3728" s="3" t="inlineStr">
        <is>
          <t>과수원</t>
        </is>
      </c>
      <c r="D3728" s="3" t="inlineStr">
        <is>
          <t>과수원</t>
        </is>
      </c>
      <c r="E3728" s="3" t="inlineStr">
        <is>
          <t>매매</t>
        </is>
      </c>
      <c r="F3728" s="4" t="n">
        <v>101500</v>
      </c>
      <c r="G3728" s="4" t="n">
        <v>3355</v>
      </c>
      <c r="H3728" s="4" t="n">
        <v>1015</v>
      </c>
      <c r="I3728" s="5" t="n">
        <v>100</v>
      </c>
      <c r="J3728" s="4" t="n">
        <v>28.9</v>
      </c>
      <c r="K3728" s="3" t="inlineStr">
        <is>
          <t>추천.고복저수지 인근 농지</t>
        </is>
      </c>
      <c r="L3728" s="6">
        <f>HYPERLINK("https://fin.land.naver.com/articles/2645465767", "매물Link")</f>
        <v/>
      </c>
      <c r="M3728" s="6">
        <f>HYPERLINK("https://map.naver.com/p/search/세종특별자치시 연서면 쌍류리 463-2", "지도Link")</f>
        <v/>
      </c>
      <c r="N3728" s="6">
        <f>HYPERLINK("http://www.eum.go.kr/web/ar/lu/luLandDet.jsp?pnu=3611036026104630002&amp;isNoScr=script&amp;mode=search", "토지이음")</f>
        <v/>
      </c>
      <c r="O3728" s="3" t="inlineStr">
        <is>
          <t>강아지풀</t>
        </is>
      </c>
      <c r="P3728" s="3" t="n">
        <v>1</v>
      </c>
      <c r="Q3728" s="3" t="n">
        <v>3355</v>
      </c>
      <c r="R3728" s="3" t="inlineStr">
        <is>
          <t>지정되지않음</t>
        </is>
      </c>
      <c r="S3728" s="3" t="inlineStr">
        <is>
          <t>전</t>
        </is>
      </c>
      <c r="T3728" s="3" t="inlineStr">
        <is>
          <t>완경사</t>
        </is>
      </c>
      <c r="U3728" s="3" t="inlineStr">
        <is>
          <t>부정형</t>
        </is>
      </c>
      <c r="V3728" s="3" t="inlineStr">
        <is>
          <t>세로한면(가)</t>
        </is>
      </c>
    </row>
    <row r="3729">
      <c r="A3729" s="3" t="inlineStr">
        <is>
          <t>세종특별자치시 연서면 쌍류리 53</t>
        </is>
      </c>
      <c r="B3729" s="3" t="inlineStr">
        <is>
          <t>생산관리지역</t>
        </is>
      </c>
      <c r="C3729" s="3" t="inlineStr">
        <is>
          <t>전</t>
        </is>
      </c>
      <c r="D3729" s="3" t="inlineStr">
        <is>
          <t>전</t>
        </is>
      </c>
      <c r="E3729" s="3" t="inlineStr">
        <is>
          <t>매매</t>
        </is>
      </c>
      <c r="F3729" s="4" t="n">
        <v>57000</v>
      </c>
      <c r="G3729" s="4" t="n">
        <v>2734</v>
      </c>
      <c r="H3729" s="4" t="n">
        <v>827</v>
      </c>
      <c r="I3729" s="5" t="n">
        <v>68.90000000000001</v>
      </c>
      <c r="J3729" s="4" t="n">
        <v>24.9</v>
      </c>
      <c r="K3729" s="3" t="inlineStr">
        <is>
          <t>관리지역 토지 매매</t>
        </is>
      </c>
      <c r="L3729" s="6">
        <f>HYPERLINK("https://fin.land.naver.com/articles/2644444561", "매물Link")</f>
        <v/>
      </c>
      <c r="M3729" s="6">
        <f>HYPERLINK("https://map.naver.com/p/search/세종특별자치시 연서면 쌍류리 53", "지도Link")</f>
        <v/>
      </c>
      <c r="N3729" s="6">
        <f>HYPERLINK("http://www.eum.go.kr/web/ar/lu/luLandDet.jsp?pnu=3611036026100530000&amp;isNoScr=script&amp;mode=search", "토지이음")</f>
        <v/>
      </c>
      <c r="O3729" s="3" t="inlineStr">
        <is>
          <t>세종대박</t>
        </is>
      </c>
      <c r="P3729" s="3" t="n">
        <v>1</v>
      </c>
      <c r="Q3729" s="3" t="n">
        <v>2734</v>
      </c>
      <c r="R3729" s="3" t="inlineStr">
        <is>
          <t>지정되지않음</t>
        </is>
      </c>
      <c r="S3729" s="3" t="inlineStr">
        <is>
          <t>전</t>
        </is>
      </c>
      <c r="T3729" s="3" t="inlineStr">
        <is>
          <t>완경사</t>
        </is>
      </c>
      <c r="U3729" s="3" t="inlineStr">
        <is>
          <t>부정형</t>
        </is>
      </c>
      <c r="V3729" s="3" t="inlineStr">
        <is>
          <t>세로한면(가)</t>
        </is>
      </c>
    </row>
    <row r="3730">
      <c r="A3730" s="3" t="inlineStr">
        <is>
          <t>세종특별자치시 연서면 쌍류리 56</t>
        </is>
      </c>
      <c r="B3730" s="3" t="inlineStr">
        <is>
          <t>생산관리지역</t>
        </is>
      </c>
      <c r="C3730" s="3" t="inlineStr">
        <is>
          <t>전</t>
        </is>
      </c>
      <c r="D3730" s="3" t="inlineStr">
        <is>
          <t>전</t>
        </is>
      </c>
      <c r="E3730" s="3" t="inlineStr">
        <is>
          <t>매매</t>
        </is>
      </c>
      <c r="F3730" s="4" t="n">
        <v>27000</v>
      </c>
      <c r="G3730" s="4" t="n">
        <v>1342</v>
      </c>
      <c r="H3730" s="4" t="n">
        <v>406</v>
      </c>
      <c r="I3730" s="5" t="n">
        <v>66.5</v>
      </c>
      <c r="J3730" s="4" t="n">
        <v>22.8</v>
      </c>
      <c r="K3730" s="3" t="inlineStr">
        <is>
          <t>명성공인, 전용406, 연서면 추천 매물</t>
        </is>
      </c>
      <c r="L3730" s="6">
        <f>HYPERLINK("https://fin.land.naver.com/articles/2648045315", "매물Link")</f>
        <v/>
      </c>
      <c r="M3730" s="6">
        <f>HYPERLINK("https://map.naver.com/p/search/세종특별자치시 연서면 쌍류리 56", "지도Link")</f>
        <v/>
      </c>
      <c r="N3730" s="6">
        <f>HYPERLINK("http://www.eum.go.kr/web/ar/lu/luLandDet.jsp?pnu=3611036026100560000&amp;isNoScr=script&amp;mode=search", "토지이음")</f>
        <v/>
      </c>
      <c r="O3730" s="3" t="inlineStr">
        <is>
          <t>명성</t>
        </is>
      </c>
      <c r="P3730" s="3" t="n">
        <v>1</v>
      </c>
      <c r="Q3730" s="3" t="n">
        <v>1011</v>
      </c>
      <c r="R3730" s="3" t="inlineStr">
        <is>
          <t>지정되지않음</t>
        </is>
      </c>
      <c r="S3730" s="3" t="inlineStr">
        <is>
          <t>전</t>
        </is>
      </c>
      <c r="T3730" s="3" t="inlineStr">
        <is>
          <t>완경사</t>
        </is>
      </c>
      <c r="U3730" s="3" t="inlineStr">
        <is>
          <t>부정형</t>
        </is>
      </c>
      <c r="V3730" s="3" t="inlineStr">
        <is>
          <t>세로한면(불)</t>
        </is>
      </c>
    </row>
    <row r="3731">
      <c r="A3731" s="3" t="inlineStr">
        <is>
          <t>세종특별자치시 연서면 쌍류리 560</t>
        </is>
      </c>
      <c r="B3731" s="3" t="inlineStr">
        <is>
          <t>생산관리지역</t>
        </is>
      </c>
      <c r="C3731" s="3" t="inlineStr">
        <is>
          <t>전</t>
        </is>
      </c>
      <c r="D3731" s="3" t="inlineStr">
        <is>
          <t>전</t>
        </is>
      </c>
      <c r="E3731" s="3" t="inlineStr">
        <is>
          <t>매매</t>
        </is>
      </c>
      <c r="F3731" s="4" t="n">
        <v>31000</v>
      </c>
      <c r="G3731" s="4" t="n">
        <v>1336</v>
      </c>
      <c r="H3731" s="4" t="n">
        <v>404</v>
      </c>
      <c r="I3731" s="5" t="n">
        <v>76.7</v>
      </c>
      <c r="J3731" s="4" t="n">
        <v>24</v>
      </c>
      <c r="K3731" s="3" t="inlineStr">
        <is>
          <t>nan</t>
        </is>
      </c>
      <c r="L3731" s="6">
        <f>HYPERLINK("https://fin.land.naver.com/articles/2647537025", "매물Link")</f>
        <v/>
      </c>
      <c r="M3731" s="6">
        <f>HYPERLINK("https://map.naver.com/p/search/세종특별자치시 연서면 쌍류리 560", "지도Link")</f>
        <v/>
      </c>
      <c r="N3731" s="6">
        <f>HYPERLINK("http://www.eum.go.kr/web/ar/lu/luLandDet.jsp?pnu=3611036026105600000&amp;isNoScr=script&amp;mode=search", "토지이음")</f>
        <v/>
      </c>
      <c r="O3731" s="3" t="inlineStr">
        <is>
          <t>신태양</t>
        </is>
      </c>
      <c r="P3731" s="3" t="n">
        <v>1</v>
      </c>
      <c r="Q3731" s="3" t="n">
        <v>1336</v>
      </c>
      <c r="R3731" s="3" t="inlineStr">
        <is>
          <t>지정되지않음</t>
        </is>
      </c>
      <c r="S3731" s="3" t="inlineStr">
        <is>
          <t>전기타</t>
        </is>
      </c>
      <c r="T3731" s="3" t="inlineStr">
        <is>
          <t>급경사</t>
        </is>
      </c>
      <c r="U3731" s="3" t="inlineStr">
        <is>
          <t>부정형</t>
        </is>
      </c>
      <c r="V3731" s="3" t="inlineStr">
        <is>
          <t>세로한면(가)</t>
        </is>
      </c>
    </row>
    <row r="3732">
      <c r="A3732" s="3" t="inlineStr">
        <is>
          <t>세종특별자치시 연서면 쌍류리 564</t>
        </is>
      </c>
      <c r="B3732" s="3" t="inlineStr">
        <is>
          <t>생산관리지역</t>
        </is>
      </c>
      <c r="C3732" s="3" t="inlineStr">
        <is>
          <t>전</t>
        </is>
      </c>
      <c r="D3732" s="3" t="inlineStr">
        <is>
          <t>전</t>
        </is>
      </c>
      <c r="E3732" s="3" t="inlineStr">
        <is>
          <t>매매</t>
        </is>
      </c>
      <c r="F3732" s="4" t="n">
        <v>10000</v>
      </c>
      <c r="G3732" s="4" t="n">
        <v>1127</v>
      </c>
      <c r="H3732" s="4" t="n">
        <v>341</v>
      </c>
      <c r="I3732" s="5" t="n">
        <v>29.3</v>
      </c>
      <c r="J3732" s="4" t="n">
        <v>22</v>
      </c>
      <c r="K3732" s="3" t="inlineStr">
        <is>
          <t>관리지역 토지매매</t>
        </is>
      </c>
      <c r="L3732" s="6">
        <f>HYPERLINK("https://fin.land.naver.com/articles/2648813367", "매물Link")</f>
        <v/>
      </c>
      <c r="M3732" s="6">
        <f>HYPERLINK("https://map.naver.com/p/search/세종특별자치시 연서면 쌍류리 564", "지도Link")</f>
        <v/>
      </c>
      <c r="N3732" s="6">
        <f>HYPERLINK("http://www.eum.go.kr/web/ar/lu/luLandDet.jsp?pnu=3611036026105640000&amp;isNoScr=script&amp;mode=search", "토지이음")</f>
        <v/>
      </c>
      <c r="O3732" s="3" t="inlineStr">
        <is>
          <t>세종대박</t>
        </is>
      </c>
      <c r="P3732" s="3" t="n">
        <v>1</v>
      </c>
      <c r="Q3732" s="3" t="n">
        <v>1127</v>
      </c>
      <c r="R3732" s="3" t="inlineStr">
        <is>
          <t>지정되지않음</t>
        </is>
      </c>
      <c r="S3732" s="3" t="inlineStr">
        <is>
          <t>전</t>
        </is>
      </c>
      <c r="T3732" s="3" t="inlineStr">
        <is>
          <t>급경사</t>
        </is>
      </c>
      <c r="U3732" s="3" t="inlineStr">
        <is>
          <t>부정형</t>
        </is>
      </c>
      <c r="V3732" s="3" t="inlineStr">
        <is>
          <t>세로한면(불)</t>
        </is>
      </c>
    </row>
    <row r="3733">
      <c r="A3733" s="3" t="inlineStr">
        <is>
          <t>세종특별자치시 연서면 쌍류리 58</t>
        </is>
      </c>
      <c r="B3733" s="3" t="inlineStr">
        <is>
          <t>생산관리지역</t>
        </is>
      </c>
      <c r="C3733" s="3" t="inlineStr">
        <is>
          <t>전</t>
        </is>
      </c>
      <c r="D3733" s="3" t="inlineStr">
        <is>
          <t>전</t>
        </is>
      </c>
      <c r="E3733" s="3" t="inlineStr">
        <is>
          <t>매매</t>
        </is>
      </c>
      <c r="F3733" s="4" t="n">
        <v>15760</v>
      </c>
      <c r="G3733" s="4" t="n">
        <v>651</v>
      </c>
      <c r="H3733" s="4" t="n">
        <v>197</v>
      </c>
      <c r="I3733" s="5" t="n">
        <v>80</v>
      </c>
      <c r="J3733" s="4" t="n">
        <v>24.9</v>
      </c>
      <c r="K3733" s="3" t="inlineStr">
        <is>
          <t>마을 포장도로에 접한 농지</t>
        </is>
      </c>
      <c r="L3733" s="6">
        <f>HYPERLINK("https://fin.land.naver.com/articles/2644332174", "매물Link")</f>
        <v/>
      </c>
      <c r="M3733" s="6">
        <f>HYPERLINK("https://map.naver.com/p/search/세종특별자치시 연서면 쌍류리 58", "지도Link")</f>
        <v/>
      </c>
      <c r="N3733" s="6">
        <f>HYPERLINK("http://www.eum.go.kr/web/ar/lu/luLandDet.jsp?pnu=3611036026100580000&amp;isNoScr=script&amp;mode=search", "토지이음")</f>
        <v/>
      </c>
      <c r="O3733" s="3" t="inlineStr">
        <is>
          <t>신와촌</t>
        </is>
      </c>
      <c r="P3733" s="3" t="n">
        <v>1</v>
      </c>
      <c r="Q3733" s="3" t="n">
        <v>651</v>
      </c>
      <c r="R3733" s="3" t="inlineStr">
        <is>
          <t>지정되지않음</t>
        </is>
      </c>
      <c r="S3733" s="3" t="inlineStr">
        <is>
          <t>과수원</t>
        </is>
      </c>
      <c r="T3733" s="3" t="inlineStr">
        <is>
          <t>완경사</t>
        </is>
      </c>
      <c r="U3733" s="3" t="inlineStr">
        <is>
          <t>부정형</t>
        </is>
      </c>
      <c r="V3733" s="3" t="inlineStr">
        <is>
          <t>세로한면(가)</t>
        </is>
      </c>
    </row>
    <row r="3734">
      <c r="A3734" s="3" t="inlineStr">
        <is>
          <t>세종특별자치시 연서면 쌍류리 584-1</t>
        </is>
      </c>
      <c r="B3734" s="3" t="inlineStr">
        <is>
          <t>생산관리지역</t>
        </is>
      </c>
      <c r="C3734" s="3" t="inlineStr">
        <is>
          <t>과수원</t>
        </is>
      </c>
      <c r="D3734" s="3" t="inlineStr">
        <is>
          <t>과수원</t>
        </is>
      </c>
      <c r="E3734" s="3" t="inlineStr">
        <is>
          <t>매매</t>
        </is>
      </c>
      <c r="F3734" s="4" t="n">
        <v>19160</v>
      </c>
      <c r="G3734" s="4" t="n">
        <v>1056</v>
      </c>
      <c r="H3734" s="4" t="n">
        <v>319</v>
      </c>
      <c r="I3734" s="5" t="n">
        <v>60.1</v>
      </c>
      <c r="J3734" s="4" t="n">
        <v>28.9</v>
      </c>
      <c r="K3734" s="3" t="inlineStr">
        <is>
          <t>세종시에서 1억원대에 투자할수 있는땅</t>
        </is>
      </c>
      <c r="L3734" s="6">
        <f>HYPERLINK("https://fin.land.naver.com/articles/2647444352", "매물Link")</f>
        <v/>
      </c>
      <c r="M3734" s="6">
        <f>HYPERLINK("https://map.naver.com/p/search/세종특별자치시 연서면 쌍류리 584-1", "지도Link")</f>
        <v/>
      </c>
      <c r="N3734" s="6">
        <f>HYPERLINK("http://www.eum.go.kr/web/ar/lu/luLandDet.jsp?pnu=3611036026105840001&amp;isNoScr=script&amp;mode=search", "토지이음")</f>
        <v/>
      </c>
      <c r="O3734" s="3" t="inlineStr">
        <is>
          <t>킹</t>
        </is>
      </c>
      <c r="P3734" s="3" t="n">
        <v>1</v>
      </c>
      <c r="Q3734" s="3" t="n">
        <v>1056</v>
      </c>
      <c r="R3734" s="3" t="inlineStr">
        <is>
          <t>지정되지않음</t>
        </is>
      </c>
      <c r="S3734" s="3" t="inlineStr">
        <is>
          <t>과수원</t>
        </is>
      </c>
      <c r="T3734" s="3" t="inlineStr">
        <is>
          <t>완경사</t>
        </is>
      </c>
      <c r="U3734" s="3" t="inlineStr">
        <is>
          <t>부정형</t>
        </is>
      </c>
      <c r="V3734" s="3" t="inlineStr">
        <is>
          <t>세로한면(가)</t>
        </is>
      </c>
    </row>
    <row r="3735">
      <c r="A3735" s="3" t="inlineStr">
        <is>
          <t>세종특별자치시 연서면 쌍류리 584-3</t>
        </is>
      </c>
      <c r="B3735" s="3" t="inlineStr">
        <is>
          <t>생산관리지역</t>
        </is>
      </c>
      <c r="C3735" s="3" t="inlineStr">
        <is>
          <t>과수원</t>
        </is>
      </c>
      <c r="D3735" s="3" t="inlineStr">
        <is>
          <t>과수원</t>
        </is>
      </c>
      <c r="E3735" s="3" t="inlineStr">
        <is>
          <t>매매</t>
        </is>
      </c>
      <c r="F3735" s="4" t="n">
        <v>45000</v>
      </c>
      <c r="G3735" s="4" t="n">
        <v>2463</v>
      </c>
      <c r="H3735" s="4" t="n">
        <v>745</v>
      </c>
      <c r="I3735" s="5" t="n">
        <v>60.4</v>
      </c>
      <c r="J3735" s="4" t="n">
        <v>28.9</v>
      </c>
      <c r="K3735" s="3" t="inlineStr">
        <is>
          <t>쌍류리 저렴한 토지매매</t>
        </is>
      </c>
      <c r="L3735" s="6">
        <f>HYPERLINK("https://fin.land.naver.com/articles/2646861698", "매물Link")</f>
        <v/>
      </c>
      <c r="M3735" s="6">
        <f>HYPERLINK("https://map.naver.com/p/search/세종특별자치시 연서면 쌍류리 584-3", "지도Link")</f>
        <v/>
      </c>
      <c r="N3735" s="6">
        <f>HYPERLINK("http://www.eum.go.kr/web/ar/lu/luLandDet.jsp?pnu=3611036026105840003&amp;isNoScr=script&amp;mode=search", "토지이음")</f>
        <v/>
      </c>
      <c r="O3735" s="3" t="inlineStr">
        <is>
          <t>세종땅사랑</t>
        </is>
      </c>
      <c r="P3735" s="3" t="n">
        <v>1</v>
      </c>
      <c r="Q3735" s="3" t="n">
        <v>1435</v>
      </c>
      <c r="R3735" s="3" t="inlineStr">
        <is>
          <t>지정되지않음</t>
        </is>
      </c>
      <c r="S3735" s="3" t="inlineStr">
        <is>
          <t>과수원</t>
        </is>
      </c>
      <c r="T3735" s="3" t="inlineStr">
        <is>
          <t>완경사</t>
        </is>
      </c>
      <c r="U3735" s="3" t="inlineStr">
        <is>
          <t>부정형</t>
        </is>
      </c>
      <c r="V3735" s="3" t="inlineStr">
        <is>
          <t>세로한면(가)</t>
        </is>
      </c>
    </row>
    <row r="3736">
      <c r="A3736" s="3" t="inlineStr">
        <is>
          <t>세종특별자치시 연서면 쌍류리 598-1</t>
        </is>
      </c>
      <c r="B3736" s="3" t="inlineStr">
        <is>
          <t>생산관리지역</t>
        </is>
      </c>
      <c r="C3736" s="3" t="inlineStr">
        <is>
          <t>임야</t>
        </is>
      </c>
      <c r="D3736" s="3" t="inlineStr">
        <is>
          <t>임야</t>
        </is>
      </c>
      <c r="E3736" s="3" t="inlineStr">
        <is>
          <t>매매</t>
        </is>
      </c>
      <c r="F3736" s="4" t="n">
        <v>78000</v>
      </c>
      <c r="G3736" s="4" t="n">
        <v>1572</v>
      </c>
      <c r="H3736" s="4" t="n">
        <v>476</v>
      </c>
      <c r="I3736" s="5" t="n">
        <v>163.9</v>
      </c>
      <c r="J3736" s="4" t="n">
        <v>48</v>
      </c>
      <c r="K3736" s="3" t="inlineStr">
        <is>
          <t>2차선 도로 접 하고 있는매물</t>
        </is>
      </c>
      <c r="L3736" s="6">
        <f>HYPERLINK("https://fin.land.naver.com/articles/2647765926", "매물Link")</f>
        <v/>
      </c>
      <c r="M3736" s="6">
        <f>HYPERLINK("https://map.naver.com/p/search/세종특별자치시 연서면 쌍류리 598-1", "지도Link")</f>
        <v/>
      </c>
      <c r="N3736" s="6">
        <f>HYPERLINK("http://www.eum.go.kr/web/ar/lu/luLandDet.jsp?pnu=3611036026105980001&amp;isNoScr=script&amp;mode=search", "토지이음")</f>
        <v/>
      </c>
      <c r="O3736" s="3" t="inlineStr">
        <is>
          <t>지호주식회사</t>
        </is>
      </c>
      <c r="P3736" s="3" t="n">
        <v>1</v>
      </c>
      <c r="Q3736" s="3" t="n">
        <v>1126</v>
      </c>
      <c r="R3736" s="3" t="inlineStr">
        <is>
          <t>지정되지않음</t>
        </is>
      </c>
      <c r="S3736" s="3" t="inlineStr">
        <is>
          <t>주거나지</t>
        </is>
      </c>
      <c r="T3736" s="3" t="inlineStr">
        <is>
          <t>평지</t>
        </is>
      </c>
      <c r="U3736" s="3" t="inlineStr">
        <is>
          <t>부정형</t>
        </is>
      </c>
      <c r="V3736" s="3" t="inlineStr">
        <is>
          <t>소로각지</t>
        </is>
      </c>
    </row>
    <row r="3737">
      <c r="A3737" s="3" t="inlineStr">
        <is>
          <t>세종특별자치시 연서면 쌍류리 6-11</t>
        </is>
      </c>
      <c r="B3737" s="3" t="inlineStr">
        <is>
          <t>농림지역</t>
        </is>
      </c>
      <c r="C3737" s="3" t="inlineStr">
        <is>
          <t>임야</t>
        </is>
      </c>
      <c r="D3737" s="3" t="inlineStr">
        <is>
          <t>임야</t>
        </is>
      </c>
      <c r="E3737" s="3" t="inlineStr">
        <is>
          <t>매매</t>
        </is>
      </c>
      <c r="F3737" s="4" t="n">
        <v>46000</v>
      </c>
      <c r="G3737" s="4" t="n">
        <v>6289</v>
      </c>
      <c r="H3737" s="4" t="n">
        <v>1902</v>
      </c>
      <c r="I3737" s="5" t="n">
        <v>24.2</v>
      </c>
      <c r="J3737" s="4" t="n">
        <v>3</v>
      </c>
      <c r="K3737" s="3" t="inlineStr">
        <is>
          <t>연서면 2차선변 야산</t>
        </is>
      </c>
      <c r="L3737" s="6">
        <f>HYPERLINK("https://fin.land.naver.com/articles/2647576378", "매물Link")</f>
        <v/>
      </c>
      <c r="M3737" s="6">
        <f>HYPERLINK("https://map.naver.com/p/search/세종특별자치시 연서면 쌍류리 6-11", "지도Link")</f>
        <v/>
      </c>
      <c r="N3737" s="6">
        <f>HYPERLINK("http://www.eum.go.kr/web/ar/lu/luLandDet.jsp?pnu=3611036026100060011&amp;isNoScr=script&amp;mode=search", "토지이음")</f>
        <v/>
      </c>
      <c r="O3737" s="3" t="inlineStr">
        <is>
          <t>KB세종</t>
        </is>
      </c>
      <c r="P3737" s="3" t="n">
        <v>1</v>
      </c>
      <c r="Q3737" s="3" t="n">
        <v>6289</v>
      </c>
      <c r="R3737" s="3" t="inlineStr">
        <is>
          <t>보전관리지역</t>
        </is>
      </c>
      <c r="S3737" s="3" t="inlineStr">
        <is>
          <t>자연림</t>
        </is>
      </c>
      <c r="T3737" s="3" t="inlineStr">
        <is>
          <t>급경사</t>
        </is>
      </c>
      <c r="U3737" s="3" t="inlineStr">
        <is>
          <t>부정형</t>
        </is>
      </c>
      <c r="V3737" s="3" t="inlineStr">
        <is>
          <t>소로한면</t>
        </is>
      </c>
    </row>
    <row r="3738">
      <c r="A3738" s="3" t="inlineStr">
        <is>
          <t>세종특별자치시 연서면 쌍류리 608-4</t>
        </is>
      </c>
      <c r="B3738" s="3" t="inlineStr">
        <is>
          <t>보전관리지역</t>
        </is>
      </c>
      <c r="C3738" s="3" t="inlineStr">
        <is>
          <t>전</t>
        </is>
      </c>
      <c r="D3738" s="3" t="inlineStr">
        <is>
          <t>전</t>
        </is>
      </c>
      <c r="E3738" s="3" t="inlineStr">
        <is>
          <t>매매</t>
        </is>
      </c>
      <c r="F3738" s="4" t="n">
        <v>18000</v>
      </c>
      <c r="G3738" s="4" t="n">
        <v>500</v>
      </c>
      <c r="H3738" s="4" t="n">
        <v>151</v>
      </c>
      <c r="I3738" s="5" t="n">
        <v>119.2</v>
      </c>
      <c r="J3738" s="4" t="n">
        <v>25.4</v>
      </c>
      <c r="K3738" s="3" t="inlineStr">
        <is>
          <t>세종에서 1억원대에 투자할수 있는땅</t>
        </is>
      </c>
      <c r="L3738" s="6">
        <f>HYPERLINK("https://fin.land.naver.com/articles/2647444081", "매물Link")</f>
        <v/>
      </c>
      <c r="M3738" s="6">
        <f>HYPERLINK("https://map.naver.com/p/search/세종특별자치시 연서면 쌍류리 608-4", "지도Link")</f>
        <v/>
      </c>
      <c r="N3738" s="6">
        <f>HYPERLINK("http://www.eum.go.kr/web/ar/lu/luLandDet.jsp?pnu=3611036026106080004&amp;isNoScr=script&amp;mode=search", "토지이음")</f>
        <v/>
      </c>
      <c r="O3738" s="3" t="inlineStr">
        <is>
          <t>킹</t>
        </is>
      </c>
      <c r="P3738" s="3" t="n">
        <v>1</v>
      </c>
      <c r="Q3738" s="3" t="n">
        <v>500</v>
      </c>
      <c r="R3738" s="3" t="inlineStr">
        <is>
          <t>생산관리지역</t>
        </is>
      </c>
      <c r="S3738" s="3" t="inlineStr">
        <is>
          <t>과수원</t>
        </is>
      </c>
      <c r="T3738" s="3" t="inlineStr">
        <is>
          <t>완경사</t>
        </is>
      </c>
      <c r="U3738" s="3" t="inlineStr">
        <is>
          <t>부정형</t>
        </is>
      </c>
      <c r="V3738" s="3" t="inlineStr">
        <is>
          <t>세로한면(불)</t>
        </is>
      </c>
    </row>
    <row r="3739">
      <c r="A3739" s="3" t="inlineStr">
        <is>
          <t>세종특별자치시 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HYPERLINK("https://map.naver.com/p/search/세종특별자치시 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세종특별자치시 연서면 쌍류리 706-99</t>
        </is>
      </c>
      <c r="B3740" s="3" t="inlineStr">
        <is>
          <t>생산관리지역</t>
        </is>
      </c>
      <c r="C3740" s="3" t="inlineStr">
        <is>
          <t>답</t>
        </is>
      </c>
      <c r="D3740" s="3" t="inlineStr">
        <is>
          <t>답</t>
        </is>
      </c>
      <c r="E3740" s="3" t="inlineStr">
        <is>
          <t>매매</t>
        </is>
      </c>
      <c r="F3740" s="4" t="n">
        <v>16300</v>
      </c>
      <c r="G3740" s="4" t="n">
        <v>522</v>
      </c>
      <c r="H3740" s="4" t="n">
        <v>158</v>
      </c>
      <c r="I3740" s="5" t="n">
        <v>103.2</v>
      </c>
      <c r="J3740" s="4" t="n">
        <v>32.8</v>
      </c>
      <c r="K3740" s="3" t="inlineStr">
        <is>
          <t>2차선 도로변의 접근성 좋은 급매 토지</t>
        </is>
      </c>
      <c r="L3740" s="6">
        <f>HYPERLINK("https://fin.land.naver.com/articles/2648746836", "매물Link")</f>
        <v/>
      </c>
      <c r="M3740" s="6">
        <f>HYPERLINK("https://map.naver.com/p/search/세종특별자치시 연서면 쌍류리 706-99", "지도Link")</f>
        <v/>
      </c>
      <c r="N3740" s="6">
        <f>HYPERLINK("http://www.eum.go.kr/web/ar/lu/luLandDet.jsp?pnu=3611036026107060099&amp;isNoScr=script&amp;mode=search", "토지이음")</f>
        <v/>
      </c>
      <c r="O3740" s="3" t="inlineStr">
        <is>
          <t>용궁</t>
        </is>
      </c>
      <c r="P3740" s="3" t="n">
        <v>1</v>
      </c>
      <c r="Q3740" s="3" t="n">
        <v>314</v>
      </c>
      <c r="R3740" s="3" t="inlineStr">
        <is>
          <t>지정되지않음</t>
        </is>
      </c>
      <c r="S3740" s="3" t="inlineStr">
        <is>
          <t>과수원</t>
        </is>
      </c>
      <c r="T3740" s="3" t="inlineStr">
        <is>
          <t>평지</t>
        </is>
      </c>
      <c r="U3740" s="3" t="inlineStr">
        <is>
          <t>부정형</t>
        </is>
      </c>
      <c r="V3740" s="3" t="inlineStr">
        <is>
          <t>소로한면</t>
        </is>
      </c>
    </row>
    <row r="3741">
      <c r="A3741" s="3" t="inlineStr">
        <is>
          <t>세종특별자치시 연서면 쌍류리 94-12</t>
        </is>
      </c>
      <c r="B3741" s="3" t="inlineStr">
        <is>
          <t>생산관리지역</t>
        </is>
      </c>
      <c r="C3741" s="3" t="inlineStr">
        <is>
          <t>전</t>
        </is>
      </c>
      <c r="D3741" s="3" t="inlineStr">
        <is>
          <t>전</t>
        </is>
      </c>
      <c r="E3741" s="3" t="inlineStr">
        <is>
          <t>매매</t>
        </is>
      </c>
      <c r="F3741" s="4" t="n">
        <v>26560</v>
      </c>
      <c r="G3741" s="4" t="n">
        <v>477</v>
      </c>
      <c r="H3741" s="4" t="n">
        <v>144</v>
      </c>
      <c r="I3741" s="5" t="n">
        <v>184.4</v>
      </c>
      <c r="J3741" s="4" t="n">
        <v>30.2</v>
      </c>
      <c r="K3741" s="3" t="inlineStr">
        <is>
          <t>nan</t>
        </is>
      </c>
      <c r="L3741" s="6">
        <f>HYPERLINK("https://fin.land.naver.com/articles/2644183391", "매물Link")</f>
        <v/>
      </c>
      <c r="M3741" s="6">
        <f>HYPERLINK("https://map.naver.com/p/search/세종특별자치시 연서면 쌍류리 94-12", "지도Link")</f>
        <v/>
      </c>
      <c r="N3741" s="6">
        <f>HYPERLINK("http://www.eum.go.kr/web/ar/lu/luLandDet.jsp?pnu=3611036026100940012&amp;isNoScr=script&amp;mode=search", "토지이음")</f>
        <v/>
      </c>
      <c r="O3741" s="3" t="inlineStr">
        <is>
          <t>세종소담114</t>
        </is>
      </c>
      <c r="P3741" s="3" t="n">
        <v>1</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세종특별자치시 연서면 쌍류리 94-12</t>
        </is>
      </c>
      <c r="B3742" s="3" t="inlineStr">
        <is>
          <t>생산관리지역</t>
        </is>
      </c>
      <c r="C3742" s="3" t="inlineStr">
        <is>
          <t>전</t>
        </is>
      </c>
      <c r="D3742" s="3" t="inlineStr">
        <is>
          <t>전</t>
        </is>
      </c>
      <c r="E3742" s="3" t="inlineStr">
        <is>
          <t>매매</t>
        </is>
      </c>
      <c r="F3742" s="4" t="n">
        <v>26000</v>
      </c>
      <c r="G3742" s="4" t="n">
        <v>477</v>
      </c>
      <c r="H3742" s="4" t="n">
        <v>144</v>
      </c>
      <c r="I3742" s="5" t="n">
        <v>180.6</v>
      </c>
      <c r="J3742" s="4" t="n">
        <v>30.2</v>
      </c>
      <c r="K3742" s="3" t="inlineStr">
        <is>
          <t>근생 건축허가 및 전기,수도,통신 등 지하와 완료 즉시 신축가능</t>
        </is>
      </c>
      <c r="L3742" s="6">
        <f>HYPERLINK("https://fin.land.naver.com/articles/2649398240", "매물Link")</f>
        <v/>
      </c>
      <c r="M3742" s="6">
        <f>HYPERLINK("https://map.naver.com/p/search/세종특별자치시 연서면 쌍류리 94-12", "지도Link")</f>
        <v/>
      </c>
      <c r="N3742" s="6">
        <f>HYPERLINK("http://www.eum.go.kr/web/ar/lu/luLandDet.jsp?pnu=3611036026100940012&amp;isNoScr=script&amp;mode=search", "토지이음")</f>
        <v/>
      </c>
      <c r="O3742" s="3" t="inlineStr">
        <is>
          <t>세종나라</t>
        </is>
      </c>
      <c r="P3742" s="3" t="n">
        <v>2</v>
      </c>
      <c r="Q3742" s="3" t="n">
        <v>477</v>
      </c>
      <c r="R3742" s="3" t="inlineStr">
        <is>
          <t>지정되지않음</t>
        </is>
      </c>
      <c r="S3742" s="3" t="inlineStr">
        <is>
          <t>전</t>
        </is>
      </c>
      <c r="T3742" s="3" t="inlineStr">
        <is>
          <t>완경사</t>
        </is>
      </c>
      <c r="U3742" s="3" t="inlineStr">
        <is>
          <t>부정형</t>
        </is>
      </c>
      <c r="V3742" s="3" t="inlineStr">
        <is>
          <t>세로한면(가)</t>
        </is>
      </c>
    </row>
    <row r="3743">
      <c r="A3743" s="3" t="inlineStr">
        <is>
          <t>세종특별자치시 연서면 쌍전리 136</t>
        </is>
      </c>
      <c r="B3743" s="3" t="inlineStr">
        <is>
          <t>자연녹지지역</t>
        </is>
      </c>
      <c r="C3743" s="3" t="inlineStr">
        <is>
          <t>과수원</t>
        </is>
      </c>
      <c r="D3743" s="3" t="inlineStr">
        <is>
          <t>과수원</t>
        </is>
      </c>
      <c r="E3743" s="3" t="inlineStr">
        <is>
          <t>매매</t>
        </is>
      </c>
      <c r="F3743" s="4" t="n">
        <v>34000</v>
      </c>
      <c r="G3743" s="4" t="n">
        <v>562</v>
      </c>
      <c r="H3743" s="4" t="n">
        <v>170</v>
      </c>
      <c r="I3743" s="5" t="n">
        <v>200</v>
      </c>
      <c r="J3743" s="4" t="n">
        <v>57.1</v>
      </c>
      <c r="K3743" s="3" t="inlineStr">
        <is>
          <t>nan</t>
        </is>
      </c>
      <c r="L3743" s="6">
        <f>HYPERLINK("https://fin.land.naver.com/articles/2646589357", "매물Link")</f>
        <v/>
      </c>
      <c r="M3743" s="6">
        <f>HYPERLINK("https://map.naver.com/p/search/세종특별자치시 연서면 쌍전리 136", "지도Link")</f>
        <v/>
      </c>
      <c r="N3743" s="6">
        <f>HYPERLINK("http://www.eum.go.kr/web/ar/lu/luLandDet.jsp?pnu=3611036022101360000&amp;isNoScr=script&amp;mode=search", "토지이음")</f>
        <v/>
      </c>
      <c r="O3743" s="3" t="inlineStr">
        <is>
          <t>이순이</t>
        </is>
      </c>
      <c r="P3743" s="3" t="n">
        <v>1</v>
      </c>
      <c r="Q3743" s="3" t="n">
        <v>562</v>
      </c>
      <c r="R3743" s="3" t="inlineStr">
        <is>
          <t>지정되지않음</t>
        </is>
      </c>
      <c r="S3743" s="3" t="inlineStr">
        <is>
          <t>과수원</t>
        </is>
      </c>
      <c r="T3743" s="3" t="inlineStr">
        <is>
          <t>완경사</t>
        </is>
      </c>
      <c r="U3743" s="3" t="inlineStr">
        <is>
          <t>사다리형</t>
        </is>
      </c>
      <c r="V3743" s="3" t="inlineStr">
        <is>
          <t>맹지</t>
        </is>
      </c>
    </row>
    <row r="3744">
      <c r="A3744" s="3" t="inlineStr">
        <is>
          <t>세종특별자치시 연서면 쌍전리 140-2</t>
        </is>
      </c>
      <c r="B3744" s="3" t="inlineStr">
        <is>
          <t>자연녹지지역</t>
        </is>
      </c>
      <c r="C3744" s="3" t="inlineStr">
        <is>
          <t>전</t>
        </is>
      </c>
      <c r="D3744" s="3" t="inlineStr">
        <is>
          <t>전</t>
        </is>
      </c>
      <c r="E3744" s="3" t="inlineStr">
        <is>
          <t>매매</t>
        </is>
      </c>
      <c r="F3744" s="4" t="n">
        <v>27400</v>
      </c>
      <c r="G3744" s="4" t="n">
        <v>700</v>
      </c>
      <c r="H3744" s="4" t="n">
        <v>212</v>
      </c>
      <c r="I3744" s="5" t="n">
        <v>129.2</v>
      </c>
      <c r="J3744" s="4" t="n">
        <v>55.9</v>
      </c>
      <c r="K3744" s="3" t="inlineStr">
        <is>
          <t>토지거래허가구역에서 제외된 토지. 향후 미래가치가 높은 소액투자로 추천.</t>
        </is>
      </c>
      <c r="L3744" s="6">
        <f>HYPERLINK("https://fin.land.naver.com/articles/2649342650", "매물Link")</f>
        <v/>
      </c>
      <c r="M3744" s="6">
        <f>HYPERLINK("https://map.naver.com/p/search/세종특별자치시 연서면 쌍전리 140-2", "지도Link")</f>
        <v/>
      </c>
      <c r="N3744" s="6">
        <f>HYPERLINK("http://www.eum.go.kr/web/ar/lu/luLandDet.jsp?pnu=3611036022101400002&amp;isNoScr=script&amp;mode=search", "토지이음")</f>
        <v/>
      </c>
      <c r="O3744" s="3" t="inlineStr">
        <is>
          <t>세종대장</t>
        </is>
      </c>
      <c r="P3744" s="3" t="n">
        <v>2</v>
      </c>
      <c r="Q3744" s="3" t="n">
        <v>510</v>
      </c>
      <c r="R3744" s="3" t="inlineStr">
        <is>
          <t>지정되지않음</t>
        </is>
      </c>
      <c r="S3744" s="3" t="inlineStr">
        <is>
          <t>전</t>
        </is>
      </c>
      <c r="T3744" s="3" t="inlineStr">
        <is>
          <t>완경사</t>
        </is>
      </c>
      <c r="U3744" s="3" t="inlineStr">
        <is>
          <t>부정형</t>
        </is>
      </c>
      <c r="V3744" s="3" t="inlineStr">
        <is>
          <t>세로한면(불)</t>
        </is>
      </c>
    </row>
    <row r="3745">
      <c r="A3745" s="3" t="inlineStr">
        <is>
          <t>세종특별자치시 연서면 쌍전리 150-3</t>
        </is>
      </c>
      <c r="B3745" s="3" t="inlineStr">
        <is>
          <t>자연녹지지역</t>
        </is>
      </c>
      <c r="C3745" s="3" t="inlineStr">
        <is>
          <t>과수원</t>
        </is>
      </c>
      <c r="D3745" s="3" t="inlineStr">
        <is>
          <t>과수원</t>
        </is>
      </c>
      <c r="E3745" s="3" t="inlineStr">
        <is>
          <t>매매</t>
        </is>
      </c>
      <c r="F3745" s="4" t="n">
        <v>60000</v>
      </c>
      <c r="G3745" s="4" t="n">
        <v>1006</v>
      </c>
      <c r="H3745" s="4" t="n">
        <v>304</v>
      </c>
      <c r="I3745" s="5" t="n">
        <v>197.4</v>
      </c>
      <c r="J3745" s="4" t="n">
        <v>55.9</v>
      </c>
      <c r="K3745" s="3" t="inlineStr">
        <is>
          <t>세종국가산단 인접 토지</t>
        </is>
      </c>
      <c r="L3745" s="6">
        <f>HYPERLINK("https://fin.land.naver.com/articles/2645464603", "매물Link")</f>
        <v/>
      </c>
      <c r="M3745" s="6">
        <f>HYPERLINK("https://map.naver.com/p/search/세종특별자치시 연서면 쌍전리 150-3", "지도Link")</f>
        <v/>
      </c>
      <c r="N3745" s="6">
        <f>HYPERLINK("http://www.eum.go.kr/web/ar/lu/luLandDet.jsp?pnu=3611036022101500003&amp;isNoScr=script&amp;mode=search", "토지이음")</f>
        <v/>
      </c>
      <c r="O3745" s="3" t="inlineStr">
        <is>
          <t>강아지풀</t>
        </is>
      </c>
      <c r="P3745" s="3" t="n">
        <v>1</v>
      </c>
      <c r="Q3745" s="3" t="n">
        <v>1006</v>
      </c>
      <c r="R3745" s="3" t="inlineStr">
        <is>
          <t>지정되지않음</t>
        </is>
      </c>
      <c r="S3745" s="3" t="inlineStr">
        <is>
          <t>전</t>
        </is>
      </c>
      <c r="T3745" s="3" t="inlineStr">
        <is>
          <t>완경사</t>
        </is>
      </c>
      <c r="U3745" s="3" t="inlineStr">
        <is>
          <t>부정형</t>
        </is>
      </c>
      <c r="V3745" s="3" t="inlineStr">
        <is>
          <t>세로한면(불)</t>
        </is>
      </c>
    </row>
    <row r="3746">
      <c r="A3746" s="3" t="inlineStr">
        <is>
          <t>세종특별자치시 연서면 쌍전리 151</t>
        </is>
      </c>
      <c r="B3746" s="3" t="inlineStr">
        <is>
          <t>자연녹지지역</t>
        </is>
      </c>
      <c r="C3746" s="3" t="inlineStr">
        <is>
          <t>답</t>
        </is>
      </c>
      <c r="D3746" s="3" t="inlineStr">
        <is>
          <t>답</t>
        </is>
      </c>
      <c r="E3746" s="3" t="inlineStr">
        <is>
          <t>매매</t>
        </is>
      </c>
      <c r="F3746" s="4" t="n">
        <v>67730</v>
      </c>
      <c r="G3746" s="4" t="n">
        <v>1722</v>
      </c>
      <c r="H3746" s="4" t="n">
        <v>521</v>
      </c>
      <c r="I3746" s="5" t="n">
        <v>130</v>
      </c>
      <c r="J3746" s="4" t="n">
        <v>59.5</v>
      </c>
      <c r="K3746" s="3" t="inlineStr">
        <is>
          <t>시세 대비 저렴한 물건으로 대토나 주말농장용 농지로 추천</t>
        </is>
      </c>
      <c r="L3746" s="6">
        <f>HYPERLINK("https://fin.land.naver.com/articles/2647392151", "매물Link")</f>
        <v/>
      </c>
      <c r="M3746" s="6">
        <f>HYPERLINK("https://map.naver.com/p/search/세종특별자치시 연서면 쌍전리 151", "지도Link")</f>
        <v/>
      </c>
      <c r="N3746" s="6">
        <f>HYPERLINK("http://www.eum.go.kr/web/ar/lu/luLandDet.jsp?pnu=3611036022101510000&amp;isNoScr=script&amp;mode=search", "토지이음")</f>
        <v/>
      </c>
      <c r="O3746" s="3" t="inlineStr">
        <is>
          <t>신와촌</t>
        </is>
      </c>
      <c r="P3746" s="3" t="n">
        <v>1</v>
      </c>
      <c r="Q3746" s="3" t="n">
        <v>1722</v>
      </c>
      <c r="R3746" s="3" t="inlineStr">
        <is>
          <t>지정되지않음</t>
        </is>
      </c>
      <c r="S3746" s="3" t="inlineStr">
        <is>
          <t>전</t>
        </is>
      </c>
      <c r="T3746" s="3" t="inlineStr">
        <is>
          <t>완경사</t>
        </is>
      </c>
      <c r="U3746" s="3" t="inlineStr">
        <is>
          <t>부정형</t>
        </is>
      </c>
      <c r="V3746" s="3" t="inlineStr">
        <is>
          <t>세로한면(가)</t>
        </is>
      </c>
    </row>
    <row r="3747">
      <c r="A3747" s="3" t="inlineStr">
        <is>
          <t>세종특별자치시 연서면 쌍전리 154-2</t>
        </is>
      </c>
      <c r="B3747" s="3" t="inlineStr">
        <is>
          <t>자연녹지지역</t>
        </is>
      </c>
      <c r="C3747" s="3" t="inlineStr">
        <is>
          <t>과수원</t>
        </is>
      </c>
      <c r="D3747" s="3" t="inlineStr">
        <is>
          <t>과수원</t>
        </is>
      </c>
      <c r="E3747" s="3" t="inlineStr">
        <is>
          <t>매매</t>
        </is>
      </c>
      <c r="F3747" s="4" t="n">
        <v>20000</v>
      </c>
      <c r="G3747" s="4" t="n">
        <v>522</v>
      </c>
      <c r="H3747" s="4" t="n">
        <v>158</v>
      </c>
      <c r="I3747" s="5" t="n">
        <v>126.6</v>
      </c>
      <c r="J3747" s="4" t="n">
        <v>62.5</v>
      </c>
      <c r="K3747" s="3" t="inlineStr">
        <is>
          <t>nan</t>
        </is>
      </c>
      <c r="L3747" s="6">
        <f>HYPERLINK("https://fin.land.naver.com/articles/2645005219", "매물Link")</f>
        <v/>
      </c>
      <c r="M3747" s="6">
        <f>HYPERLINK("https://map.naver.com/p/search/세종특별자치시 연서면 쌍전리 154-2", "지도Link")</f>
        <v/>
      </c>
      <c r="N3747" s="6">
        <f>HYPERLINK("http://www.eum.go.kr/web/ar/lu/luLandDet.jsp?pnu=3611036022101540002&amp;isNoScr=script&amp;mode=search", "토지이음")</f>
        <v/>
      </c>
      <c r="O3747" s="3" t="inlineStr">
        <is>
          <t>세종가온채</t>
        </is>
      </c>
      <c r="P3747" s="3" t="n">
        <v>2</v>
      </c>
      <c r="Q3747" s="3" t="n">
        <v>522</v>
      </c>
      <c r="R3747" s="3" t="inlineStr">
        <is>
          <t>지정되지않음</t>
        </is>
      </c>
      <c r="S3747" s="3" t="inlineStr">
        <is>
          <t>과수원</t>
        </is>
      </c>
      <c r="T3747" s="3" t="inlineStr">
        <is>
          <t>완경사</t>
        </is>
      </c>
      <c r="U3747" s="3" t="inlineStr">
        <is>
          <t>사다리형</t>
        </is>
      </c>
      <c r="V3747" s="3" t="inlineStr">
        <is>
          <t>세로한면(가)</t>
        </is>
      </c>
    </row>
    <row r="3748">
      <c r="A3748" s="3" t="inlineStr">
        <is>
          <t>세종특별자치시 연서면 쌍전리 175-14</t>
        </is>
      </c>
      <c r="B3748" s="3" t="inlineStr">
        <is>
          <t>자연녹지지역</t>
        </is>
      </c>
      <c r="C3748" s="3" t="inlineStr">
        <is>
          <t>임야</t>
        </is>
      </c>
      <c r="D3748" s="3" t="inlineStr">
        <is>
          <t>임야</t>
        </is>
      </c>
      <c r="E3748" s="3" t="inlineStr">
        <is>
          <t>매매</t>
        </is>
      </c>
      <c r="F3748" s="4" t="n">
        <v>39200</v>
      </c>
      <c r="G3748" s="4" t="n">
        <v>518</v>
      </c>
      <c r="H3748" s="4" t="n">
        <v>157</v>
      </c>
      <c r="I3748" s="5" t="n">
        <v>249.7</v>
      </c>
      <c r="J3748" s="4" t="n">
        <v>66.90000000000001</v>
      </c>
      <c r="K3748" s="3" t="inlineStr">
        <is>
          <t>전원주택단지 최고의 입지  단지조성완료  협의가능  연기군아파트공급호재</t>
        </is>
      </c>
      <c r="L3748" s="6">
        <f>HYPERLINK("https://fin.land.naver.com/articles/2647888422", "매물Link")</f>
        <v/>
      </c>
      <c r="M3748" s="6">
        <f>HYPERLINK("https://map.naver.com/p/search/세종특별자치시 연서면 쌍전리 175-14", "지도Link")</f>
        <v/>
      </c>
      <c r="N3748" s="6">
        <f>HYPERLINK("http://www.eum.go.kr/web/ar/lu/luLandDet.jsp?pnu=3611036022101750014&amp;isNoScr=script&amp;mode=search", "토지이음")</f>
        <v/>
      </c>
      <c r="O3748" s="3" t="inlineStr">
        <is>
          <t>연세</t>
        </is>
      </c>
      <c r="P3748" s="3" t="n">
        <v>1</v>
      </c>
      <c r="Q3748" s="3" t="n">
        <v>518</v>
      </c>
      <c r="R3748" s="3" t="inlineStr">
        <is>
          <t>지정되지않음</t>
        </is>
      </c>
      <c r="S3748" s="3" t="inlineStr">
        <is>
          <t>주거나지</t>
        </is>
      </c>
      <c r="T3748" s="3" t="inlineStr">
        <is>
          <t>완경사</t>
        </is>
      </c>
      <c r="U3748" s="3" t="inlineStr">
        <is>
          <t>사다리형</t>
        </is>
      </c>
      <c r="V3748" s="3" t="inlineStr">
        <is>
          <t>세로한면(가)</t>
        </is>
      </c>
    </row>
    <row r="3749">
      <c r="A3749" s="3" t="inlineStr">
        <is>
          <t>세종특별자치시 연서면 쌍전리 200-1</t>
        </is>
      </c>
      <c r="B3749" s="3" t="inlineStr">
        <is>
          <t>자연녹지지역</t>
        </is>
      </c>
      <c r="C3749" s="3" t="inlineStr">
        <is>
          <t>전</t>
        </is>
      </c>
      <c r="D3749" s="3" t="inlineStr">
        <is>
          <t>전</t>
        </is>
      </c>
      <c r="E3749" s="3" t="inlineStr">
        <is>
          <t>매매</t>
        </is>
      </c>
      <c r="F3749" s="4" t="n">
        <v>105000</v>
      </c>
      <c r="G3749" s="4" t="n">
        <v>1878</v>
      </c>
      <c r="H3749" s="4" t="n">
        <v>568</v>
      </c>
      <c r="I3749" s="5" t="n">
        <v>184.9</v>
      </c>
      <c r="J3749" s="4" t="n">
        <v>64.5</v>
      </c>
      <c r="K3749" s="3" t="inlineStr">
        <is>
          <t>급매,568P 도로접, 연서면 쌍전리 자연녹지</t>
        </is>
      </c>
      <c r="L3749" s="6">
        <f>HYPERLINK("https://fin.land.naver.com/articles/2646815489", "매물Link")</f>
        <v/>
      </c>
      <c r="M3749" s="6">
        <f>HYPERLINK("https://map.naver.com/p/search/세종특별자치시 연서면 쌍전리 200-1", "지도Link")</f>
        <v/>
      </c>
      <c r="N3749" s="6">
        <f>HYPERLINK("http://www.eum.go.kr/web/ar/lu/luLandDet.jsp?pnu=3611036022102000001&amp;isNoScr=script&amp;mode=search", "토지이음")</f>
        <v/>
      </c>
      <c r="O3749" s="3" t="inlineStr">
        <is>
          <t>광장</t>
        </is>
      </c>
      <c r="P3749" s="3" t="n">
        <v>2</v>
      </c>
      <c r="Q3749" s="3" t="n">
        <v>1878</v>
      </c>
      <c r="R3749" s="3" t="inlineStr">
        <is>
          <t>지정되지않음</t>
        </is>
      </c>
      <c r="S3749" s="3" t="inlineStr">
        <is>
          <t>전</t>
        </is>
      </c>
      <c r="T3749" s="3" t="inlineStr">
        <is>
          <t>평지</t>
        </is>
      </c>
      <c r="U3749" s="3" t="inlineStr">
        <is>
          <t>사다리형</t>
        </is>
      </c>
      <c r="V3749" s="3" t="inlineStr">
        <is>
          <t>세로한면(가)</t>
        </is>
      </c>
    </row>
    <row r="3750">
      <c r="A3750" s="3" t="inlineStr">
        <is>
          <t>세종특별자치시 연서면 쌍전리 400</t>
        </is>
      </c>
      <c r="B3750" s="3" t="inlineStr">
        <is>
          <t>자연녹지지역</t>
        </is>
      </c>
      <c r="C3750" s="3" t="inlineStr">
        <is>
          <t>전</t>
        </is>
      </c>
      <c r="D3750" s="3" t="inlineStr">
        <is>
          <t>전</t>
        </is>
      </c>
      <c r="E3750" s="3" t="inlineStr">
        <is>
          <t>매매</t>
        </is>
      </c>
      <c r="F3750" s="4" t="n">
        <v>57000</v>
      </c>
      <c r="G3750" s="4" t="n">
        <v>955</v>
      </c>
      <c r="H3750" s="4" t="n">
        <v>289</v>
      </c>
      <c r="I3750" s="5" t="n">
        <v>197.2</v>
      </c>
      <c r="J3750" s="4" t="n">
        <v>59.5</v>
      </c>
      <c r="K3750" s="3" t="inlineStr">
        <is>
          <t>nan</t>
        </is>
      </c>
      <c r="L3750" s="6">
        <f>HYPERLINK("https://fin.land.naver.com/articles/2646589140", "매물Link")</f>
        <v/>
      </c>
      <c r="M3750" s="6">
        <f>HYPERLINK("https://map.naver.com/p/search/세종특별자치시 연서면 쌍전리 400", "지도Link")</f>
        <v/>
      </c>
      <c r="N3750" s="6">
        <f>HYPERLINK("http://www.eum.go.kr/web/ar/lu/luLandDet.jsp?pnu=3611036022104000000&amp;isNoScr=script&amp;mode=search", "토지이음")</f>
        <v/>
      </c>
      <c r="O3750" s="3" t="inlineStr">
        <is>
          <t>이순이</t>
        </is>
      </c>
      <c r="P3750" s="3" t="n">
        <v>1</v>
      </c>
      <c r="Q3750" s="3" t="n">
        <v>955</v>
      </c>
      <c r="R3750" s="3" t="inlineStr">
        <is>
          <t>지정되지않음</t>
        </is>
      </c>
      <c r="S3750" s="3" t="inlineStr">
        <is>
          <t>전</t>
        </is>
      </c>
      <c r="T3750" s="3" t="inlineStr">
        <is>
          <t>평지</t>
        </is>
      </c>
      <c r="U3750" s="3" t="inlineStr">
        <is>
          <t>부정형</t>
        </is>
      </c>
      <c r="V3750" s="3" t="inlineStr">
        <is>
          <t>세로각지(가)</t>
        </is>
      </c>
    </row>
    <row r="3751">
      <c r="A3751" s="3" t="inlineStr">
        <is>
          <t>세종특별자치시 연서면 쌍전리 405-4</t>
        </is>
      </c>
      <c r="B3751" s="3" t="inlineStr">
        <is>
          <t>자연녹지지역</t>
        </is>
      </c>
      <c r="C3751" s="3" t="inlineStr">
        <is>
          <t>임야</t>
        </is>
      </c>
      <c r="D3751" s="3" t="inlineStr">
        <is>
          <t>임야</t>
        </is>
      </c>
      <c r="E3751" s="3" t="inlineStr">
        <is>
          <t>매매</t>
        </is>
      </c>
      <c r="F3751" s="4" t="n">
        <v>81000</v>
      </c>
      <c r="G3751" s="4" t="n">
        <v>1498</v>
      </c>
      <c r="H3751" s="4" t="n">
        <v>453</v>
      </c>
      <c r="I3751" s="5" t="n">
        <v>178.8</v>
      </c>
      <c r="J3751" s="4" t="n">
        <v>24.2</v>
      </c>
      <c r="K3751" s="3" t="inlineStr">
        <is>
          <t>자연녹지 임야 매매</t>
        </is>
      </c>
      <c r="L3751" s="6">
        <f>HYPERLINK("https://fin.land.naver.com/articles/2648813384", "매물Link")</f>
        <v/>
      </c>
      <c r="M3751" s="6">
        <f>HYPERLINK("https://map.naver.com/p/search/세종특별자치시 연서면 쌍전리 405-4", "지도Link")</f>
        <v/>
      </c>
      <c r="N3751" s="6">
        <f>HYPERLINK("http://www.eum.go.kr/web/ar/lu/luLandDet.jsp?pnu=3611036022104050004&amp;isNoScr=script&amp;mode=search", "토지이음")</f>
        <v/>
      </c>
      <c r="O3751" s="3" t="inlineStr">
        <is>
          <t>세종대박</t>
        </is>
      </c>
      <c r="P3751" s="3" t="n">
        <v>1</v>
      </c>
      <c r="Q3751" s="3" t="n">
        <v>1498</v>
      </c>
      <c r="R3751" s="3" t="inlineStr">
        <is>
          <t>지정되지않음</t>
        </is>
      </c>
      <c r="S3751" s="3" t="inlineStr">
        <is>
          <t>자연림</t>
        </is>
      </c>
      <c r="T3751" s="3" t="inlineStr">
        <is>
          <t>완경사</t>
        </is>
      </c>
      <c r="U3751" s="3" t="inlineStr">
        <is>
          <t>사다리형</t>
        </is>
      </c>
      <c r="V3751" s="3" t="inlineStr">
        <is>
          <t>세로한면(불)</t>
        </is>
      </c>
    </row>
    <row r="3752">
      <c r="A3752" s="3" t="inlineStr">
        <is>
          <t>세종특별자치시 연서면 쌍전리 407-3</t>
        </is>
      </c>
      <c r="B3752" s="3" t="inlineStr">
        <is>
          <t>자연녹지지역</t>
        </is>
      </c>
      <c r="C3752" s="3" t="inlineStr">
        <is>
          <t>과수원</t>
        </is>
      </c>
      <c r="D3752" s="3" t="inlineStr">
        <is>
          <t>과수원</t>
        </is>
      </c>
      <c r="E3752" s="3" t="inlineStr">
        <is>
          <t>매매</t>
        </is>
      </c>
      <c r="F3752" s="4" t="n">
        <v>83000</v>
      </c>
      <c r="G3752" s="4" t="n">
        <v>1831</v>
      </c>
      <c r="H3752" s="4" t="n">
        <v>554</v>
      </c>
      <c r="I3752" s="5" t="n">
        <v>149.8</v>
      </c>
      <c r="J3752" s="4" t="n">
        <v>50.6</v>
      </c>
      <c r="K3752" s="3" t="inlineStr">
        <is>
          <t>본 토지에진입로가 접하고 있으며세종시에는흔치않 은희소성 이 있는토지임</t>
        </is>
      </c>
      <c r="L3752" s="6">
        <f>HYPERLINK("https://fin.land.naver.com/articles/2648740927", "매물Link")</f>
        <v/>
      </c>
      <c r="M3752" s="6">
        <f>HYPERLINK("https://map.naver.com/p/search/세종특별자치시 연서면 쌍전리 407-3", "지도Link")</f>
        <v/>
      </c>
      <c r="N3752" s="6">
        <f>HYPERLINK("http://www.eum.go.kr/web/ar/lu/luLandDet.jsp?pnu=3611036022104070003&amp;isNoScr=script&amp;mode=search", "토지이음")</f>
        <v/>
      </c>
      <c r="O3752" s="3" t="inlineStr">
        <is>
          <t>대흥</t>
        </is>
      </c>
      <c r="P3752" s="3" t="n">
        <v>1</v>
      </c>
      <c r="Q3752" s="3" t="n">
        <v>1831</v>
      </c>
      <c r="R3752" s="3" t="inlineStr">
        <is>
          <t>지정되지않음</t>
        </is>
      </c>
      <c r="S3752" s="3" t="inlineStr">
        <is>
          <t>전기타</t>
        </is>
      </c>
      <c r="T3752" s="3" t="inlineStr">
        <is>
          <t>평지</t>
        </is>
      </c>
      <c r="U3752" s="3" t="inlineStr">
        <is>
          <t>자루형</t>
        </is>
      </c>
      <c r="V3752" s="3" t="inlineStr">
        <is>
          <t>맹지</t>
        </is>
      </c>
    </row>
    <row r="3753">
      <c r="A3753" s="3" t="inlineStr">
        <is>
          <t>세종특별자치시 연서면 쌍전리 419-2</t>
        </is>
      </c>
      <c r="B3753" s="3" t="inlineStr">
        <is>
          <t>자연녹지지역</t>
        </is>
      </c>
      <c r="C3753" s="3" t="inlineStr">
        <is>
          <t>과수원</t>
        </is>
      </c>
      <c r="D3753" s="3" t="inlineStr">
        <is>
          <t>과수원</t>
        </is>
      </c>
      <c r="E3753" s="3" t="inlineStr">
        <is>
          <t>매매</t>
        </is>
      </c>
      <c r="F3753" s="4" t="n">
        <v>92500</v>
      </c>
      <c r="G3753" s="4" t="n">
        <v>2043</v>
      </c>
      <c r="H3753" s="4" t="n">
        <v>618</v>
      </c>
      <c r="I3753" s="5" t="n">
        <v>149.7</v>
      </c>
      <c r="J3753" s="4" t="n">
        <v>46.5</v>
      </c>
      <c r="K3753" s="3" t="inlineStr">
        <is>
          <t>급매 지대가 높아 조망이 좋은 전원주택지 및 과수원으로 활용</t>
        </is>
      </c>
      <c r="L3753" s="6">
        <f>HYPERLINK("https://fin.land.naver.com/articles/2649203247", "매물Link")</f>
        <v/>
      </c>
      <c r="M3753" s="6">
        <f>HYPERLINK("https://map.naver.com/p/search/세종특별자치시 연서면 쌍전리 419-2", "지도Link")</f>
        <v/>
      </c>
      <c r="N3753" s="6">
        <f>HYPERLINK("http://www.eum.go.kr/web/ar/lu/luLandDet.jsp?pnu=3611036022104190002&amp;isNoScr=script&amp;mode=search", "토지이음")</f>
        <v/>
      </c>
      <c r="O3753" s="3" t="inlineStr">
        <is>
          <t>스마일세종</t>
        </is>
      </c>
      <c r="P3753" s="3" t="n">
        <v>1</v>
      </c>
      <c r="Q3753" s="3" t="n">
        <v>2043</v>
      </c>
      <c r="R3753" s="3" t="inlineStr">
        <is>
          <t>지정되지않음</t>
        </is>
      </c>
      <c r="S3753" s="3" t="inlineStr">
        <is>
          <t>전</t>
        </is>
      </c>
      <c r="T3753" s="3" t="inlineStr">
        <is>
          <t>완경사</t>
        </is>
      </c>
      <c r="U3753" s="3" t="inlineStr">
        <is>
          <t>부정형</t>
        </is>
      </c>
      <c r="V3753" s="3" t="inlineStr">
        <is>
          <t>세로한면(불)</t>
        </is>
      </c>
    </row>
    <row r="3754">
      <c r="A3754" s="3" t="inlineStr">
        <is>
          <t>세종특별자치시 연서면 쌍전리 433-1</t>
        </is>
      </c>
      <c r="B3754" s="3" t="inlineStr">
        <is>
          <t>자연녹지지역</t>
        </is>
      </c>
      <c r="C3754" s="3" t="inlineStr">
        <is>
          <t>대</t>
        </is>
      </c>
      <c r="D3754" s="3" t="inlineStr">
        <is>
          <t>대</t>
        </is>
      </c>
      <c r="E3754" s="3" t="inlineStr">
        <is>
          <t>매매</t>
        </is>
      </c>
      <c r="F3754" s="4" t="n">
        <v>36000</v>
      </c>
      <c r="G3754" s="4" t="n">
        <v>1230</v>
      </c>
      <c r="H3754" s="4" t="n">
        <v>372</v>
      </c>
      <c r="I3754" s="5" t="n">
        <v>96.8</v>
      </c>
      <c r="J3754" s="4" t="n">
        <v>86.3</v>
      </c>
      <c r="K3754" s="3" t="inlineStr">
        <is>
          <t>nan</t>
        </is>
      </c>
      <c r="L3754" s="6">
        <f>HYPERLINK("https://fin.land.naver.com/articles/2648997031", "매물Link")</f>
        <v/>
      </c>
      <c r="M3754" s="6">
        <f>HYPERLINK("https://map.naver.com/p/search/세종특별자치시 연서면 쌍전리 433-1", "지도Link")</f>
        <v/>
      </c>
      <c r="N3754" s="6">
        <f>HYPERLINK("http://www.eum.go.kr/web/ar/lu/luLandDet.jsp?pnu=3611036022104330001&amp;isNoScr=script&amp;mode=search", "토지이음")</f>
        <v/>
      </c>
      <c r="O3754" s="3" t="inlineStr">
        <is>
          <t>KB세종</t>
        </is>
      </c>
      <c r="P3754" s="3" t="n">
        <v>1</v>
      </c>
      <c r="Q3754" s="3" t="n">
        <v>1230</v>
      </c>
      <c r="R3754" s="3" t="inlineStr">
        <is>
          <t>지정되지않음</t>
        </is>
      </c>
      <c r="S3754" s="3" t="inlineStr">
        <is>
          <t>단독</t>
        </is>
      </c>
      <c r="T3754" s="3" t="inlineStr">
        <is>
          <t>평지</t>
        </is>
      </c>
      <c r="U3754" s="3" t="inlineStr">
        <is>
          <t>부정형</t>
        </is>
      </c>
      <c r="V3754" s="3" t="inlineStr">
        <is>
          <t>세로한면(가)</t>
        </is>
      </c>
    </row>
    <row r="3755">
      <c r="A3755" s="3" t="inlineStr">
        <is>
          <t>세종특별자치시 연서면 쌍전리 463-1</t>
        </is>
      </c>
      <c r="B3755" s="3" t="inlineStr">
        <is>
          <t>계획관리지역</t>
        </is>
      </c>
      <c r="C3755" s="3" t="inlineStr">
        <is>
          <t>전</t>
        </is>
      </c>
      <c r="D3755" s="3" t="inlineStr">
        <is>
          <t>전</t>
        </is>
      </c>
      <c r="E3755" s="3" t="inlineStr">
        <is>
          <t>매매</t>
        </is>
      </c>
      <c r="F3755" s="4" t="n">
        <v>86700</v>
      </c>
      <c r="G3755" s="4" t="n">
        <v>957</v>
      </c>
      <c r="H3755" s="4" t="n">
        <v>289</v>
      </c>
      <c r="I3755" s="5" t="n">
        <v>300</v>
      </c>
      <c r="J3755" s="4" t="n">
        <v>44.1</v>
      </c>
      <c r="K3755" s="3" t="inlineStr">
        <is>
          <t>매매합니다</t>
        </is>
      </c>
      <c r="L3755" s="6">
        <f>HYPERLINK("https://fin.land.naver.com/articles/2649833628", "매물Link")</f>
        <v/>
      </c>
      <c r="M3755" s="6">
        <f>HYPERLINK("https://map.naver.com/p/search/세종특별자치시 연서면 쌍전리 463-1", "지도Link")</f>
        <v/>
      </c>
      <c r="N3755" s="6">
        <f>HYPERLINK("http://www.eum.go.kr/web/ar/lu/luLandDet.jsp?pnu=3611036022104630001&amp;isNoScr=script&amp;mode=search", "토지이음")</f>
        <v/>
      </c>
      <c r="O3755" s="3" t="inlineStr">
        <is>
          <t>마니</t>
        </is>
      </c>
      <c r="P3755" s="3" t="n">
        <v>1</v>
      </c>
      <c r="Q3755" s="3" t="n">
        <v>957</v>
      </c>
      <c r="R3755" s="3" t="inlineStr">
        <is>
          <t>지정되지않음</t>
        </is>
      </c>
      <c r="S3755" s="3" t="inlineStr">
        <is>
          <t>전</t>
        </is>
      </c>
      <c r="T3755" s="3" t="inlineStr">
        <is>
          <t>평지</t>
        </is>
      </c>
      <c r="U3755" s="3" t="inlineStr">
        <is>
          <t>사다리형</t>
        </is>
      </c>
      <c r="V3755" s="3" t="inlineStr">
        <is>
          <t>세로한면(불)</t>
        </is>
      </c>
    </row>
    <row r="3756">
      <c r="A3756" s="3" t="inlineStr">
        <is>
          <t>세종특별자치시 연서면 쌍전리 464-3</t>
        </is>
      </c>
      <c r="B3756" s="3" t="inlineStr">
        <is>
          <t>계획관리지역</t>
        </is>
      </c>
      <c r="C3756" s="3" t="inlineStr">
        <is>
          <t>답</t>
        </is>
      </c>
      <c r="D3756" s="3" t="inlineStr">
        <is>
          <t>답</t>
        </is>
      </c>
      <c r="E3756" s="3" t="inlineStr">
        <is>
          <t>매매</t>
        </is>
      </c>
      <c r="F3756" s="4" t="n">
        <v>135000</v>
      </c>
      <c r="G3756" s="4" t="n">
        <v>2626</v>
      </c>
      <c r="H3756" s="4" t="n">
        <v>794</v>
      </c>
      <c r="I3756" s="5" t="n">
        <v>170</v>
      </c>
      <c r="J3756" s="4" t="n">
        <v>44.1</v>
      </c>
      <c r="K3756" s="3" t="inlineStr">
        <is>
          <t>2차선도로와 본 토지 사이에 국유지가 있어 점용허가를 받아 넓게 사용가능</t>
        </is>
      </c>
      <c r="L3756" s="6">
        <f>HYPERLINK("https://fin.land.naver.com/articles/2648695807", "매물Link")</f>
        <v/>
      </c>
      <c r="M3756" s="6">
        <f>HYPERLINK("https://map.naver.com/p/search/세종특별자치시 연서면 쌍전리 464-3", "지도Link")</f>
        <v/>
      </c>
      <c r="N3756" s="6">
        <f>HYPERLINK("http://www.eum.go.kr/web/ar/lu/luLandDet.jsp?pnu=3611036022104640003&amp;isNoScr=script&amp;mode=search", "토지이음")</f>
        <v/>
      </c>
      <c r="O3756" s="3" t="inlineStr">
        <is>
          <t>스마일세종</t>
        </is>
      </c>
      <c r="P3756" s="3" t="n">
        <v>1</v>
      </c>
      <c r="Q3756" s="3" t="n">
        <v>2626</v>
      </c>
      <c r="R3756" s="3" t="inlineStr">
        <is>
          <t>지정되지않음</t>
        </is>
      </c>
      <c r="S3756" s="3" t="inlineStr">
        <is>
          <t>과수원</t>
        </is>
      </c>
      <c r="T3756" s="3" t="inlineStr">
        <is>
          <t>평지</t>
        </is>
      </c>
      <c r="U3756" s="3" t="inlineStr">
        <is>
          <t>사다리형</t>
        </is>
      </c>
      <c r="V3756" s="3" t="inlineStr">
        <is>
          <t>세로한면(불)</t>
        </is>
      </c>
    </row>
    <row r="3757">
      <c r="A3757" s="3" t="inlineStr">
        <is>
          <t>세종특별자치시 연서면 쌍전리 513</t>
        </is>
      </c>
      <c r="B3757" s="3" t="inlineStr">
        <is>
          <t>농림지역</t>
        </is>
      </c>
      <c r="C3757" s="3" t="inlineStr">
        <is>
          <t>답</t>
        </is>
      </c>
      <c r="D3757" s="3" t="inlineStr">
        <is>
          <t>답</t>
        </is>
      </c>
      <c r="E3757" s="3" t="inlineStr">
        <is>
          <t>매매</t>
        </is>
      </c>
      <c r="F3757" s="4" t="n">
        <v>83000</v>
      </c>
      <c r="G3757" s="4" t="n">
        <v>3454</v>
      </c>
      <c r="H3757" s="4" t="n">
        <v>1045</v>
      </c>
      <c r="I3757" s="5" t="n">
        <v>79.40000000000001</v>
      </c>
      <c r="J3757" s="4" t="n">
        <v>27.2</v>
      </c>
      <c r="K3757" s="3" t="inlineStr">
        <is>
          <t>북세종IC 인근 농림지역으로 투자가치 높고 저렴한 가격인 대토로 추천.</t>
        </is>
      </c>
      <c r="L3757" s="6">
        <f>HYPERLINK("https://fin.land.naver.com/articles/2644819956", "매물Link")</f>
        <v/>
      </c>
      <c r="M3757" s="6">
        <f>HYPERLINK("https://map.naver.com/p/search/세종특별자치시 연서면 쌍전리 513", "지도Link")</f>
        <v/>
      </c>
      <c r="N3757" s="6">
        <f>HYPERLINK("http://www.eum.go.kr/web/ar/lu/luLandDet.jsp?pnu=3611036022105130000&amp;isNoScr=script&amp;mode=search", "토지이음")</f>
        <v/>
      </c>
      <c r="O3757" s="3" t="inlineStr">
        <is>
          <t>세종대장</t>
        </is>
      </c>
      <c r="P3757" s="3" t="n">
        <v>1</v>
      </c>
      <c r="Q3757" s="3" t="n">
        <v>3454.8</v>
      </c>
      <c r="R3757" s="3" t="inlineStr">
        <is>
          <t>지정되지않음</t>
        </is>
      </c>
      <c r="S3757" s="3" t="inlineStr">
        <is>
          <t>답</t>
        </is>
      </c>
      <c r="T3757" s="3" t="inlineStr">
        <is>
          <t>평지</t>
        </is>
      </c>
      <c r="U3757" s="3" t="inlineStr">
        <is>
          <t>세로장방</t>
        </is>
      </c>
      <c r="V3757" s="3" t="inlineStr">
        <is>
          <t>세로한면(가)</t>
        </is>
      </c>
    </row>
    <row r="3758">
      <c r="A3758" s="3" t="inlineStr">
        <is>
          <t>세종특별자치시 연서면 쌍전리 580</t>
        </is>
      </c>
      <c r="B3758" s="3" t="inlineStr">
        <is>
          <t>농림지역</t>
        </is>
      </c>
      <c r="C3758" s="3" t="inlineStr">
        <is>
          <t>답</t>
        </is>
      </c>
      <c r="D3758" s="3" t="inlineStr">
        <is>
          <t>답</t>
        </is>
      </c>
      <c r="E3758" s="3" t="inlineStr">
        <is>
          <t>매매</t>
        </is>
      </c>
      <c r="F3758" s="4" t="n">
        <v>58000</v>
      </c>
      <c r="G3758" s="4" t="n">
        <v>2557</v>
      </c>
      <c r="H3758" s="4" t="n">
        <v>773</v>
      </c>
      <c r="I3758" s="5" t="n">
        <v>75</v>
      </c>
      <c r="J3758" s="4" t="n">
        <v>28.3</v>
      </c>
      <c r="K3758" s="3" t="inlineStr">
        <is>
          <t>도로접한 농림지역, 인근 북세종IC예정</t>
        </is>
      </c>
      <c r="L3758" s="6">
        <f>HYPERLINK("https://fin.land.naver.com/articles/2648813360", "매물Link")</f>
        <v/>
      </c>
      <c r="M3758" s="6">
        <f>HYPERLINK("https://map.naver.com/p/search/세종특별자치시 연서면 쌍전리 580", "지도Link")</f>
        <v/>
      </c>
      <c r="N3758" s="6">
        <f>HYPERLINK("http://www.eum.go.kr/web/ar/lu/luLandDet.jsp?pnu=3611036022105800000&amp;isNoScr=script&amp;mode=search", "토지이음")</f>
        <v/>
      </c>
      <c r="O3758" s="3" t="inlineStr">
        <is>
          <t>세종대박</t>
        </is>
      </c>
      <c r="P3758" s="3" t="n">
        <v>1</v>
      </c>
      <c r="Q3758" s="3" t="n">
        <v>2557.2</v>
      </c>
      <c r="R3758" s="3" t="inlineStr">
        <is>
          <t>지정되지않음</t>
        </is>
      </c>
      <c r="S3758" s="3" t="inlineStr">
        <is>
          <t>답</t>
        </is>
      </c>
      <c r="T3758" s="3" t="inlineStr">
        <is>
          <t>평지</t>
        </is>
      </c>
      <c r="U3758" s="3" t="inlineStr">
        <is>
          <t>세로장방</t>
        </is>
      </c>
      <c r="V3758" s="3" t="inlineStr">
        <is>
          <t>세로한면(가)</t>
        </is>
      </c>
    </row>
    <row r="3759">
      <c r="A3759" s="3" t="inlineStr">
        <is>
          <t>세종특별자치시 연서면 쌍전리 584</t>
        </is>
      </c>
      <c r="B3759" s="3" t="inlineStr">
        <is>
          <t>농림지역</t>
        </is>
      </c>
      <c r="C3759" s="3" t="inlineStr">
        <is>
          <t>답</t>
        </is>
      </c>
      <c r="D3759" s="3" t="inlineStr">
        <is>
          <t>답</t>
        </is>
      </c>
      <c r="E3759" s="3" t="inlineStr">
        <is>
          <t>매매</t>
        </is>
      </c>
      <c r="F3759" s="4" t="n">
        <v>136000</v>
      </c>
      <c r="G3759" s="4" t="n">
        <v>5295</v>
      </c>
      <c r="H3759" s="4" t="n">
        <v>1602</v>
      </c>
      <c r="I3759" s="5" t="n">
        <v>84.90000000000001</v>
      </c>
      <c r="J3759" s="4" t="n">
        <v>28.3</v>
      </c>
      <c r="K3759" s="3" t="inlineStr">
        <is>
          <t>대토로도 좋은 도로접한 농지입니다</t>
        </is>
      </c>
      <c r="L3759" s="6">
        <f>HYPERLINK("https://fin.land.naver.com/articles/2645603430", "매물Link")</f>
        <v/>
      </c>
      <c r="M3759" s="6">
        <f>HYPERLINK("https://map.naver.com/p/search/세종특별자치시 연서면 쌍전리 584", "지도Link")</f>
        <v/>
      </c>
      <c r="N3759" s="6">
        <f>HYPERLINK("http://www.eum.go.kr/web/ar/lu/luLandDet.jsp?pnu=3611036022105840000&amp;isNoScr=script&amp;mode=search", "토지이음")</f>
        <v/>
      </c>
      <c r="O3759" s="3" t="inlineStr">
        <is>
          <t>미스터홈즈강남지사</t>
        </is>
      </c>
      <c r="P3759" s="3" t="n">
        <v>2</v>
      </c>
      <c r="Q3759" s="3" t="n">
        <v>5295.3</v>
      </c>
      <c r="R3759" s="3" t="inlineStr">
        <is>
          <t>지정되지않음</t>
        </is>
      </c>
      <c r="S3759" s="3" t="inlineStr">
        <is>
          <t>답</t>
        </is>
      </c>
      <c r="T3759" s="3" t="inlineStr">
        <is>
          <t>평지</t>
        </is>
      </c>
      <c r="U3759" s="3" t="inlineStr">
        <is>
          <t>세로장방</t>
        </is>
      </c>
      <c r="V3759" s="3" t="inlineStr">
        <is>
          <t>세로한면(가)</t>
        </is>
      </c>
    </row>
    <row r="3760">
      <c r="A3760" s="3" t="inlineStr">
        <is>
          <t>세종특별자치시 연서면 쌍전리 619</t>
        </is>
      </c>
      <c r="B3760" s="3" t="inlineStr">
        <is>
          <t>농림지역</t>
        </is>
      </c>
      <c r="C3760" s="3" t="inlineStr">
        <is>
          <t>답</t>
        </is>
      </c>
      <c r="D3760" s="3" t="inlineStr">
        <is>
          <t>답</t>
        </is>
      </c>
      <c r="E3760" s="3" t="inlineStr">
        <is>
          <t>매매</t>
        </is>
      </c>
      <c r="F3760" s="4" t="n">
        <v>110000</v>
      </c>
      <c r="G3760" s="4" t="n">
        <v>3607</v>
      </c>
      <c r="H3760" s="4" t="n">
        <v>1091</v>
      </c>
      <c r="I3760" s="5" t="n">
        <v>100.8</v>
      </c>
      <c r="J3760" s="4" t="n">
        <v>30.3</v>
      </c>
      <c r="K3760" s="3" t="inlineStr">
        <is>
          <t>2차선 도로에접한 토지로 현재가보다 매우 저렴하게 나온 매물임.</t>
        </is>
      </c>
      <c r="L3760" s="6">
        <f>HYPERLINK("https://fin.land.naver.com/articles/2648518171", "매물Link")</f>
        <v/>
      </c>
      <c r="M3760" s="6">
        <f>HYPERLINK("https://map.naver.com/p/search/세종특별자치시 연서면 쌍전리 619", "지도Link")</f>
        <v/>
      </c>
      <c r="N3760" s="6">
        <f>HYPERLINK("http://www.eum.go.kr/web/ar/lu/luLandDet.jsp?pnu=3611036022106190000&amp;isNoScr=script&amp;mode=search", "토지이음")</f>
        <v/>
      </c>
      <c r="O3760" s="3" t="inlineStr">
        <is>
          <t>세종리츠</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세종특별자치시 연서면 쌍전리 619</t>
        </is>
      </c>
      <c r="B3761" s="3" t="inlineStr">
        <is>
          <t>농림지역</t>
        </is>
      </c>
      <c r="C3761" s="3" t="inlineStr">
        <is>
          <t>답</t>
        </is>
      </c>
      <c r="D3761" s="3" t="inlineStr">
        <is>
          <t>답</t>
        </is>
      </c>
      <c r="E3761" s="3" t="inlineStr">
        <is>
          <t>매매</t>
        </is>
      </c>
      <c r="F3761" s="4" t="n">
        <v>120000</v>
      </c>
      <c r="G3761" s="4" t="n">
        <v>3607</v>
      </c>
      <c r="H3761" s="4" t="n">
        <v>1091</v>
      </c>
      <c r="I3761" s="5" t="n">
        <v>110</v>
      </c>
      <c r="J3761" s="4" t="n">
        <v>30.3</v>
      </c>
      <c r="K3761" s="3" t="inlineStr">
        <is>
          <t>도로 접한 코너 답 토지 접근성 우수</t>
        </is>
      </c>
      <c r="L3761" s="6">
        <f>HYPERLINK("https://fin.land.naver.com/articles/2648379661", "매물Link")</f>
        <v/>
      </c>
      <c r="M3761" s="6">
        <f>HYPERLINK("https://map.naver.com/p/search/세종특별자치시 연서면 쌍전리 619", "지도Link")</f>
        <v/>
      </c>
      <c r="N3761" s="6">
        <f>HYPERLINK("http://www.eum.go.kr/web/ar/lu/luLandDet.jsp?pnu=3611036022106190000&amp;isNoScr=script&amp;mode=search", "토지이음")</f>
        <v/>
      </c>
      <c r="O3761" s="3" t="inlineStr">
        <is>
          <t>몬스터</t>
        </is>
      </c>
      <c r="P3761" s="3" t="n">
        <v>1</v>
      </c>
      <c r="Q3761" s="3" t="n">
        <v>3607.3</v>
      </c>
      <c r="R3761" s="3" t="inlineStr">
        <is>
          <t>지정되지않음</t>
        </is>
      </c>
      <c r="S3761" s="3" t="inlineStr">
        <is>
          <t>답</t>
        </is>
      </c>
      <c r="T3761" s="3" t="inlineStr">
        <is>
          <t>평지</t>
        </is>
      </c>
      <c r="U3761" s="3" t="inlineStr">
        <is>
          <t>세로장방</t>
        </is>
      </c>
      <c r="V3761" s="3" t="inlineStr">
        <is>
          <t>소로한면</t>
        </is>
      </c>
    </row>
    <row r="3762">
      <c r="A3762" s="3" t="inlineStr">
        <is>
          <t>세종특별자치시 연서면 쌍전리 638</t>
        </is>
      </c>
      <c r="B3762" s="3" t="inlineStr">
        <is>
          <t>농림지역</t>
        </is>
      </c>
      <c r="C3762" s="3" t="inlineStr">
        <is>
          <t>답</t>
        </is>
      </c>
      <c r="D3762" s="3" t="inlineStr">
        <is>
          <t>답</t>
        </is>
      </c>
      <c r="E3762" s="3" t="inlineStr">
        <is>
          <t>매매</t>
        </is>
      </c>
      <c r="F3762" s="4" t="n">
        <v>103800</v>
      </c>
      <c r="G3762" s="4" t="n">
        <v>3431</v>
      </c>
      <c r="H3762" s="4" t="n">
        <v>1038</v>
      </c>
      <c r="I3762" s="5" t="n">
        <v>100</v>
      </c>
      <c r="J3762" s="4" t="n">
        <v>28.3</v>
      </c>
      <c r="K3762" s="3" t="inlineStr">
        <is>
          <t>쌍전리 2차선도로 가까운 토지 북세종톨게이트 예정지 수혜지</t>
        </is>
      </c>
      <c r="L3762" s="6">
        <f>HYPERLINK("https://fin.land.naver.com/articles/2649964374", "매물Link")</f>
        <v/>
      </c>
      <c r="M3762" s="6">
        <f>HYPERLINK("https://map.naver.com/p/search/세종특별자치시 연서면 쌍전리 638", "지도Link")</f>
        <v/>
      </c>
      <c r="N3762" s="6">
        <f>HYPERLINK("http://www.eum.go.kr/web/ar/lu/luLandDet.jsp?pnu=3611036022106380000&amp;isNoScr=script&amp;mode=search", "토지이음")</f>
        <v/>
      </c>
      <c r="O3762" s="3" t="inlineStr">
        <is>
          <t>지성</t>
        </is>
      </c>
      <c r="P3762" s="3" t="n">
        <v>1</v>
      </c>
      <c r="Q3762" s="3" t="n">
        <v>3431.4</v>
      </c>
      <c r="R3762" s="3" t="inlineStr">
        <is>
          <t>지정되지않음</t>
        </is>
      </c>
      <c r="S3762" s="3" t="inlineStr">
        <is>
          <t>답</t>
        </is>
      </c>
      <c r="T3762" s="3" t="inlineStr">
        <is>
          <t>평지</t>
        </is>
      </c>
      <c r="U3762" s="3" t="inlineStr">
        <is>
          <t>세로장방</t>
        </is>
      </c>
      <c r="V3762" s="3" t="inlineStr">
        <is>
          <t>세로한면(가)</t>
        </is>
      </c>
    </row>
    <row r="3763">
      <c r="A3763" s="3" t="inlineStr">
        <is>
          <t>세종특별자치시 연서면 쌍전리 654</t>
        </is>
      </c>
      <c r="B3763" s="3" t="inlineStr">
        <is>
          <t>농림지역</t>
        </is>
      </c>
      <c r="C3763" s="3" t="inlineStr">
        <is>
          <t>답</t>
        </is>
      </c>
      <c r="D3763" s="3" t="inlineStr">
        <is>
          <t>답</t>
        </is>
      </c>
      <c r="E3763" s="3" t="inlineStr">
        <is>
          <t>매매</t>
        </is>
      </c>
      <c r="F3763" s="4" t="n">
        <v>132000</v>
      </c>
      <c r="G3763" s="4" t="n">
        <v>3980</v>
      </c>
      <c r="H3763" s="4" t="n">
        <v>1204</v>
      </c>
      <c r="I3763" s="5" t="n">
        <v>109.6</v>
      </c>
      <c r="J3763" s="4" t="n">
        <v>28</v>
      </c>
      <c r="K3763" s="3" t="inlineStr">
        <is>
          <t>도로접한 농림지역 농지. 대토추천</t>
        </is>
      </c>
      <c r="L3763" s="6">
        <f>HYPERLINK("https://fin.land.naver.com/articles/2649890122", "매물Link")</f>
        <v/>
      </c>
      <c r="M3763" s="6">
        <f>HYPERLINK("https://map.naver.com/p/search/세종특별자치시 연서면 쌍전리 654", "지도Link")</f>
        <v/>
      </c>
      <c r="N3763" s="6">
        <f>HYPERLINK("http://www.eum.go.kr/web/ar/lu/luLandDet.jsp?pnu=3611036022106540000&amp;isNoScr=script&amp;mode=search", "토지이음")</f>
        <v/>
      </c>
      <c r="O3763" s="3" t="inlineStr">
        <is>
          <t>미스터홈즈강남지사</t>
        </is>
      </c>
      <c r="P3763" s="3" t="n">
        <v>1</v>
      </c>
      <c r="Q3763" s="3" t="n">
        <v>3980.6</v>
      </c>
      <c r="R3763" s="3" t="inlineStr">
        <is>
          <t>지정되지않음</t>
        </is>
      </c>
      <c r="S3763" s="3" t="inlineStr">
        <is>
          <t>답</t>
        </is>
      </c>
      <c r="T3763" s="3" t="inlineStr">
        <is>
          <t>평지</t>
        </is>
      </c>
      <c r="U3763" s="3" t="inlineStr">
        <is>
          <t>부정형</t>
        </is>
      </c>
      <c r="V3763" s="3" t="inlineStr">
        <is>
          <t>세로한면(가)</t>
        </is>
      </c>
    </row>
    <row r="3764">
      <c r="A3764" s="3" t="inlineStr">
        <is>
          <t>세종특별자치시 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HYPERLINK("https://map.naver.com/p/search/세종특별자치시 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세종특별자치시 연서면 쌍전리 684</t>
        </is>
      </c>
      <c r="B3765" s="3" t="inlineStr">
        <is>
          <t>농림지역</t>
        </is>
      </c>
      <c r="C3765" s="3" t="inlineStr">
        <is>
          <t>답</t>
        </is>
      </c>
      <c r="D3765" s="3" t="inlineStr">
        <is>
          <t>답</t>
        </is>
      </c>
      <c r="E3765" s="3" t="inlineStr">
        <is>
          <t>매매</t>
        </is>
      </c>
      <c r="F3765" s="4" t="n">
        <v>70000</v>
      </c>
      <c r="G3765" s="4" t="n">
        <v>1015</v>
      </c>
      <c r="H3765" s="4" t="n">
        <v>307</v>
      </c>
      <c r="I3765" s="5" t="n">
        <v>228</v>
      </c>
      <c r="J3765" s="4" t="n">
        <v>30.3</v>
      </c>
      <c r="K3765" s="3" t="inlineStr">
        <is>
          <t>2차선접,대토강추,투자가치최고</t>
        </is>
      </c>
      <c r="L3765" s="6">
        <f>HYPERLINK("https://fin.land.naver.com/articles/2648102972", "매물Link")</f>
        <v/>
      </c>
      <c r="M3765" s="6">
        <f>HYPERLINK("https://map.naver.com/p/search/세종특별자치시 연서면 쌍전리 684", "지도Link")</f>
        <v/>
      </c>
      <c r="N3765" s="6">
        <f>HYPERLINK("http://www.eum.go.kr/web/ar/lu/luLandDet.jsp?pnu=3611036022106840000&amp;isNoScr=script&amp;mode=search", "토지이음")</f>
        <v/>
      </c>
      <c r="O3765" s="3" t="inlineStr">
        <is>
          <t>힐스테이트행복</t>
        </is>
      </c>
      <c r="P3765" s="3" t="n">
        <v>2</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세종특별자치시 연서면 쌍전리 684</t>
        </is>
      </c>
      <c r="B3766" s="3" t="inlineStr">
        <is>
          <t>농림지역</t>
        </is>
      </c>
      <c r="C3766" s="3" t="inlineStr">
        <is>
          <t>답</t>
        </is>
      </c>
      <c r="D3766" s="3" t="inlineStr">
        <is>
          <t>답</t>
        </is>
      </c>
      <c r="E3766" s="3" t="inlineStr">
        <is>
          <t>매매</t>
        </is>
      </c>
      <c r="F3766" s="4" t="n">
        <v>70000</v>
      </c>
      <c r="G3766" s="4" t="n">
        <v>1016</v>
      </c>
      <c r="H3766" s="4" t="n">
        <v>307</v>
      </c>
      <c r="I3766" s="5" t="n">
        <v>228</v>
      </c>
      <c r="J3766" s="4" t="n">
        <v>30.3</v>
      </c>
      <c r="K3766" s="3" t="inlineStr">
        <is>
          <t>nan</t>
        </is>
      </c>
      <c r="L3766" s="6">
        <f>HYPERLINK("https://fin.land.naver.com/articles/2644414723", "매물Link")</f>
        <v/>
      </c>
      <c r="M3766" s="6">
        <f>HYPERLINK("https://map.naver.com/p/search/세종특별자치시 연서면 쌍전리 684", "지도Link")</f>
        <v/>
      </c>
      <c r="N3766" s="6">
        <f>HYPERLINK("http://www.eum.go.kr/web/ar/lu/luLandDet.jsp?pnu=3611036022106840000&amp;isNoScr=script&amp;mode=search", "토지이음")</f>
        <v/>
      </c>
      <c r="O3766" s="3" t="inlineStr">
        <is>
          <t>로데오상가</t>
        </is>
      </c>
      <c r="P3766" s="3" t="n">
        <v>1</v>
      </c>
      <c r="Q3766" s="3" t="n">
        <v>1015.5</v>
      </c>
      <c r="R3766" s="3" t="inlineStr">
        <is>
          <t>지정되지않음</t>
        </is>
      </c>
      <c r="S3766" s="3" t="inlineStr">
        <is>
          <t>답</t>
        </is>
      </c>
      <c r="T3766" s="3" t="inlineStr">
        <is>
          <t>평지</t>
        </is>
      </c>
      <c r="U3766" s="3" t="inlineStr">
        <is>
          <t>세로장방</t>
        </is>
      </c>
      <c r="V3766" s="3" t="inlineStr">
        <is>
          <t>소로한면</t>
        </is>
      </c>
    </row>
    <row r="3767">
      <c r="A3767" s="3" t="inlineStr">
        <is>
          <t>세종특별자치시 연서면 쌍전리 78</t>
        </is>
      </c>
      <c r="B3767" s="3" t="inlineStr">
        <is>
          <t>자연녹지지역</t>
        </is>
      </c>
      <c r="C3767" s="3" t="inlineStr">
        <is>
          <t>대</t>
        </is>
      </c>
      <c r="D3767" s="3" t="inlineStr">
        <is>
          <t>대</t>
        </is>
      </c>
      <c r="E3767" s="3" t="inlineStr">
        <is>
          <t>매매</t>
        </is>
      </c>
      <c r="F3767" s="4" t="n">
        <v>24500</v>
      </c>
      <c r="G3767" s="4" t="n">
        <v>324</v>
      </c>
      <c r="H3767" s="4" t="n">
        <v>98</v>
      </c>
      <c r="I3767" s="5" t="n">
        <v>250</v>
      </c>
      <c r="J3767" s="4" t="n">
        <v>106.9</v>
      </c>
      <c r="K3767" s="3" t="inlineStr">
        <is>
          <t>자연녹지, 자연취락지구 내 대지. 현재는 나대지임. 건폐율 60</t>
        </is>
      </c>
      <c r="L3767" s="6">
        <f>HYPERLINK("https://fin.land.naver.com/articles/2649900081", "매물Link")</f>
        <v/>
      </c>
      <c r="M3767" s="6">
        <f>HYPERLINK("https://map.naver.com/p/search/세종특별자치시 연서면 쌍전리 78", "지도Link")</f>
        <v/>
      </c>
      <c r="N3767" s="6">
        <f>HYPERLINK("http://www.eum.go.kr/web/ar/lu/luLandDet.jsp?pnu=3611036022100780000&amp;isNoScr=script&amp;mode=search", "토지이음")</f>
        <v/>
      </c>
      <c r="O3767" s="3" t="inlineStr">
        <is>
          <t>미스터홈즈강남지사</t>
        </is>
      </c>
      <c r="P3767" s="3" t="n">
        <v>1</v>
      </c>
      <c r="Q3767" s="3" t="n">
        <v>324</v>
      </c>
      <c r="R3767" s="3" t="inlineStr">
        <is>
          <t>지정되지않음</t>
        </is>
      </c>
      <c r="S3767" s="3" t="inlineStr">
        <is>
          <t>주거나지</t>
        </is>
      </c>
      <c r="T3767" s="3" t="inlineStr">
        <is>
          <t>평지</t>
        </is>
      </c>
      <c r="U3767" s="3" t="inlineStr">
        <is>
          <t>부정형</t>
        </is>
      </c>
      <c r="V3767" s="3" t="inlineStr">
        <is>
          <t>세로한면(가)</t>
        </is>
      </c>
    </row>
    <row r="3768">
      <c r="A3768" s="3" t="inlineStr">
        <is>
          <t>세종특별자치시 연서면 쌍전리 산18-6</t>
        </is>
      </c>
      <c r="B3768" s="3" t="inlineStr">
        <is>
          <t>자연녹지지역</t>
        </is>
      </c>
      <c r="C3768" s="3" t="inlineStr">
        <is>
          <t>임야</t>
        </is>
      </c>
      <c r="D3768" s="3" t="inlineStr">
        <is>
          <t>임야</t>
        </is>
      </c>
      <c r="E3768" s="3" t="inlineStr">
        <is>
          <t>매매</t>
        </is>
      </c>
      <c r="F3768" s="4" t="n">
        <v>196000</v>
      </c>
      <c r="G3768" s="4" t="n">
        <v>6318</v>
      </c>
      <c r="H3768" s="4" t="n">
        <v>1911</v>
      </c>
      <c r="I3768" s="5" t="n">
        <v>102.6</v>
      </c>
      <c r="J3768" s="4" t="n">
        <v>21.7</v>
      </c>
      <c r="K3768" s="3" t="inlineStr">
        <is>
          <t>연서면 쌍전리 임야와 과수원을 일괄하여 급매로 매매합니다</t>
        </is>
      </c>
      <c r="L3768" s="6">
        <f>HYPERLINK("https://fin.land.naver.com/articles/2649203413", "매물Link")</f>
        <v/>
      </c>
      <c r="M3768" s="6">
        <f>HYPERLINK("https://map.naver.com/p/search/세종특별자치시 연서면 쌍전리 산18-6", "지도Link")</f>
        <v/>
      </c>
      <c r="N3768" s="6">
        <f>HYPERLINK("http://www.eum.go.kr/web/ar/lu/luLandDet.jsp?pnu=3611036022200180006&amp;isNoScr=script&amp;mode=search", "토지이음")</f>
        <v/>
      </c>
      <c r="O3768" s="3" t="inlineStr">
        <is>
          <t>스마일세종</t>
        </is>
      </c>
      <c r="P3768" s="3" t="n">
        <v>1</v>
      </c>
      <c r="Q3768" s="3" t="n">
        <v>1463</v>
      </c>
      <c r="R3768" s="3" t="inlineStr">
        <is>
          <t>지정되지않음</t>
        </is>
      </c>
      <c r="S3768" s="3" t="inlineStr">
        <is>
          <t>자연림</t>
        </is>
      </c>
      <c r="T3768" s="3" t="inlineStr">
        <is>
          <t>완경사</t>
        </is>
      </c>
      <c r="U3768" s="3" t="inlineStr">
        <is>
          <t>부정형</t>
        </is>
      </c>
      <c r="V3768" s="3" t="inlineStr">
        <is>
          <t>맹지</t>
        </is>
      </c>
    </row>
    <row r="3769">
      <c r="A3769" s="3" t="inlineStr">
        <is>
          <t>세종특별자치시 연서면 와촌리 1075</t>
        </is>
      </c>
      <c r="B3769" s="3" t="inlineStr">
        <is>
          <t>보전관리지역</t>
        </is>
      </c>
      <c r="C3769" s="3" t="inlineStr">
        <is>
          <t>전</t>
        </is>
      </c>
      <c r="D3769" s="3" t="inlineStr">
        <is>
          <t>전</t>
        </is>
      </c>
      <c r="E3769" s="3" t="inlineStr">
        <is>
          <t>매매</t>
        </is>
      </c>
      <c r="F3769" s="4" t="n">
        <v>73000</v>
      </c>
      <c r="G3769" s="4" t="n">
        <v>1600</v>
      </c>
      <c r="H3769" s="4" t="n">
        <v>484</v>
      </c>
      <c r="I3769" s="5" t="n">
        <v>150.8</v>
      </c>
      <c r="J3769" s="4" t="n">
        <v>41.7</v>
      </c>
      <c r="K3769" s="3" t="inlineStr">
        <is>
          <t>세종 연서면 와촌리 토지</t>
        </is>
      </c>
      <c r="L3769" s="6">
        <f>HYPERLINK("https://fin.land.naver.com/articles/2649772695", "매물Link")</f>
        <v/>
      </c>
      <c r="M3769" s="6">
        <f>HYPERLINK("https://map.naver.com/p/search/세종특별자치시 연서면 와촌리 1075", "지도Link")</f>
        <v/>
      </c>
      <c r="N3769" s="6">
        <f>HYPERLINK("http://www.eum.go.kr/web/ar/lu/luLandDet.jsp?pnu=3611036031110750000&amp;isNoScr=script&amp;mode=search", "토지이음")</f>
        <v/>
      </c>
      <c r="O3769" s="3" t="inlineStr">
        <is>
          <t>세종몽땅</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세종특별자치시 연서면 와촌리 1075</t>
        </is>
      </c>
      <c r="B3770" s="3" t="inlineStr">
        <is>
          <t>보전관리지역</t>
        </is>
      </c>
      <c r="C3770" s="3" t="inlineStr">
        <is>
          <t>전</t>
        </is>
      </c>
      <c r="D3770" s="3" t="inlineStr">
        <is>
          <t>전</t>
        </is>
      </c>
      <c r="E3770" s="3" t="inlineStr">
        <is>
          <t>매매</t>
        </is>
      </c>
      <c r="F3770" s="4" t="n">
        <v>72600</v>
      </c>
      <c r="G3770" s="4" t="n">
        <v>1600</v>
      </c>
      <c r="H3770" s="4" t="n">
        <v>484</v>
      </c>
      <c r="I3770" s="5" t="n">
        <v>150</v>
      </c>
      <c r="J3770" s="4" t="n">
        <v>41.7</v>
      </c>
      <c r="K3770" s="3" t="inlineStr">
        <is>
          <t>주말농장 및 투자용</t>
        </is>
      </c>
      <c r="L3770" s="6">
        <f>HYPERLINK("https://fin.land.naver.com/articles/2647763444", "매물Link")</f>
        <v/>
      </c>
      <c r="M3770" s="6">
        <f>HYPERLINK("https://map.naver.com/p/search/세종특별자치시 연서면 와촌리 1075", "지도Link")</f>
        <v/>
      </c>
      <c r="N3770" s="6">
        <f>HYPERLINK("http://www.eum.go.kr/web/ar/lu/luLandDet.jsp?pnu=3611036031110750000&amp;isNoScr=script&amp;mode=search", "토지이음")</f>
        <v/>
      </c>
      <c r="O3770" s="3" t="inlineStr">
        <is>
          <t>지호주식회사</t>
        </is>
      </c>
      <c r="P3770" s="3" t="n">
        <v>1</v>
      </c>
      <c r="Q3770" s="3" t="n">
        <v>1600</v>
      </c>
      <c r="R3770" s="3" t="inlineStr">
        <is>
          <t>지정되지않음</t>
        </is>
      </c>
      <c r="S3770" s="3" t="inlineStr">
        <is>
          <t>전</t>
        </is>
      </c>
      <c r="T3770" s="3" t="inlineStr">
        <is>
          <t>완경사</t>
        </is>
      </c>
      <c r="U3770" s="3" t="inlineStr">
        <is>
          <t>부정형</t>
        </is>
      </c>
      <c r="V3770" s="3" t="inlineStr">
        <is>
          <t>세로한면(가)</t>
        </is>
      </c>
    </row>
    <row r="3771">
      <c r="A3771" s="3" t="inlineStr">
        <is>
          <t>세종특별자치시 연서면 와촌리 1092-4</t>
        </is>
      </c>
      <c r="B3771" s="3" t="inlineStr">
        <is>
          <t>계획관리지역</t>
        </is>
      </c>
      <c r="C3771" s="3" t="inlineStr">
        <is>
          <t>전</t>
        </is>
      </c>
      <c r="D3771" s="3" t="inlineStr">
        <is>
          <t>전</t>
        </is>
      </c>
      <c r="E3771" s="3" t="inlineStr">
        <is>
          <t>매매</t>
        </is>
      </c>
      <c r="F3771" s="4" t="n">
        <v>150000</v>
      </c>
      <c r="G3771" s="4" t="n">
        <v>1661</v>
      </c>
      <c r="H3771" s="4" t="n">
        <v>502</v>
      </c>
      <c r="I3771" s="5" t="n">
        <v>298.8</v>
      </c>
      <c r="J3771" s="4" t="n">
        <v>59.2</v>
      </c>
      <c r="K3771" s="3" t="inlineStr">
        <is>
          <t>지방도 접해 있고 다양한 용도로 활용성 높은 투자가치 높은 용지</t>
        </is>
      </c>
      <c r="L3771" s="6">
        <f>HYPERLINK("https://fin.land.naver.com/articles/2649282774", "매물Link")</f>
        <v/>
      </c>
      <c r="M3771" s="6">
        <f>HYPERLINK("https://map.naver.com/p/search/세종특별자치시 연서면 와촌리 1092-4", "지도Link")</f>
        <v/>
      </c>
      <c r="N3771" s="6">
        <f>HYPERLINK("http://www.eum.go.kr/web/ar/lu/luLandDet.jsp?pnu=3611036031110920004&amp;isNoScr=script&amp;mode=search", "토지이음")</f>
        <v/>
      </c>
      <c r="O3771" s="3" t="inlineStr">
        <is>
          <t>반곡황금더샵</t>
        </is>
      </c>
      <c r="P3771" s="3" t="n">
        <v>2</v>
      </c>
      <c r="Q3771" s="3" t="n">
        <v>1661</v>
      </c>
      <c r="R3771" s="3" t="inlineStr">
        <is>
          <t>지정되지않음</t>
        </is>
      </c>
      <c r="S3771" s="3" t="inlineStr">
        <is>
          <t>전기타</t>
        </is>
      </c>
      <c r="T3771" s="3" t="inlineStr">
        <is>
          <t>평지</t>
        </is>
      </c>
      <c r="U3771" s="3" t="inlineStr">
        <is>
          <t>부정형</t>
        </is>
      </c>
      <c r="V3771" s="3" t="inlineStr">
        <is>
          <t>소로한면</t>
        </is>
      </c>
    </row>
    <row r="3772">
      <c r="A3772" s="3" t="inlineStr">
        <is>
          <t>세종특별자치시 연서면 와촌리 1094</t>
        </is>
      </c>
      <c r="B3772" s="3" t="inlineStr">
        <is>
          <t>계획관리지역</t>
        </is>
      </c>
      <c r="C3772" s="3" t="inlineStr">
        <is>
          <t>전</t>
        </is>
      </c>
      <c r="D3772" s="3" t="inlineStr">
        <is>
          <t>전</t>
        </is>
      </c>
      <c r="E3772" s="3" t="inlineStr">
        <is>
          <t>매매</t>
        </is>
      </c>
      <c r="F3772" s="4" t="n">
        <v>34400</v>
      </c>
      <c r="G3772" s="4" t="n">
        <v>284</v>
      </c>
      <c r="H3772" s="4" t="n">
        <v>86</v>
      </c>
      <c r="I3772" s="5" t="n">
        <v>400</v>
      </c>
      <c r="J3772" s="4" t="n">
        <v>80.09999999999999</v>
      </c>
      <c r="K3772" s="3" t="inlineStr">
        <is>
          <t>상가 신축에 아주 적합한 2차선변에 길게 접한 소액투자 토지</t>
        </is>
      </c>
      <c r="L3772" s="6">
        <f>HYPERLINK("https://fin.land.naver.com/articles/2644523576", "매물Link")</f>
        <v/>
      </c>
      <c r="M3772" s="6">
        <f>HYPERLINK("https://map.naver.com/p/search/세종특별자치시 연서면 와촌리 1094", "지도Link")</f>
        <v/>
      </c>
      <c r="N3772" s="6">
        <f>HYPERLINK("http://www.eum.go.kr/web/ar/lu/luLandDet.jsp?pnu=3611036031110940000&amp;isNoScr=script&amp;mode=search", "토지이음")</f>
        <v/>
      </c>
      <c r="O3772" s="3" t="inlineStr">
        <is>
          <t>용궁</t>
        </is>
      </c>
      <c r="P3772" s="3" t="n">
        <v>1</v>
      </c>
      <c r="Q3772" s="3" t="n">
        <v>285</v>
      </c>
      <c r="R3772" s="3" t="inlineStr">
        <is>
          <t>지정되지않음</t>
        </is>
      </c>
      <c r="S3772" s="3" t="inlineStr">
        <is>
          <t>전</t>
        </is>
      </c>
      <c r="T3772" s="3" t="inlineStr">
        <is>
          <t>평지</t>
        </is>
      </c>
      <c r="U3772" s="3" t="inlineStr">
        <is>
          <t>부정형</t>
        </is>
      </c>
      <c r="V3772" s="3" t="inlineStr">
        <is>
          <t>소로한면</t>
        </is>
      </c>
    </row>
    <row r="3773">
      <c r="A3773" s="3" t="inlineStr">
        <is>
          <t>세종특별자치시 연서면 와촌리 1109-1</t>
        </is>
      </c>
      <c r="B3773" s="3" t="inlineStr">
        <is>
          <t>계획관리지역</t>
        </is>
      </c>
      <c r="C3773" s="3" t="inlineStr">
        <is>
          <t>전</t>
        </is>
      </c>
      <c r="D3773" s="3" t="inlineStr">
        <is>
          <t>전</t>
        </is>
      </c>
      <c r="E3773" s="3" t="inlineStr">
        <is>
          <t>매매</t>
        </is>
      </c>
      <c r="F3773" s="4" t="n">
        <v>87000</v>
      </c>
      <c r="G3773" s="4" t="n">
        <v>960</v>
      </c>
      <c r="H3773" s="4" t="n">
        <v>290</v>
      </c>
      <c r="I3773" s="5" t="n">
        <v>300</v>
      </c>
      <c r="J3773" s="4" t="n">
        <v>80.09999999999999</v>
      </c>
      <c r="K3773" s="3" t="inlineStr">
        <is>
          <t>도로접한 근생 건축 가능 토지</t>
        </is>
      </c>
      <c r="L3773" s="6">
        <f>HYPERLINK("https://fin.land.naver.com/articles/2647548610", "매물Link")</f>
        <v/>
      </c>
      <c r="M3773" s="6">
        <f>HYPERLINK("https://map.naver.com/p/search/세종특별자치시 연서면 와촌리 1109-1", "지도Link")</f>
        <v/>
      </c>
      <c r="N3773" s="6">
        <f>HYPERLINK("http://www.eum.go.kr/web/ar/lu/luLandDet.jsp?pnu=3611036031111090001&amp;isNoScr=script&amp;mode=search", "토지이음")</f>
        <v/>
      </c>
      <c r="O3773" s="3" t="inlineStr">
        <is>
          <t>강우림</t>
        </is>
      </c>
      <c r="P3773" s="3" t="n">
        <v>1</v>
      </c>
      <c r="Q3773" s="3" t="n">
        <v>960</v>
      </c>
      <c r="R3773" s="3" t="inlineStr">
        <is>
          <t>지정되지않음</t>
        </is>
      </c>
      <c r="S3773" s="3" t="inlineStr">
        <is>
          <t>전</t>
        </is>
      </c>
      <c r="T3773" s="3" t="inlineStr">
        <is>
          <t>평지</t>
        </is>
      </c>
      <c r="U3773" s="3" t="inlineStr">
        <is>
          <t>부정형</t>
        </is>
      </c>
      <c r="V3773" s="3" t="inlineStr">
        <is>
          <t>소로한면</t>
        </is>
      </c>
    </row>
    <row r="3774">
      <c r="A3774" s="3" t="inlineStr">
        <is>
          <t>세종특별자치시 연서면 와촌리 1175</t>
        </is>
      </c>
      <c r="B3774" s="3" t="inlineStr">
        <is>
          <t>보전관리지역</t>
        </is>
      </c>
      <c r="C3774" s="3" t="inlineStr">
        <is>
          <t>과수원</t>
        </is>
      </c>
      <c r="D3774" s="3" t="inlineStr">
        <is>
          <t>과수원</t>
        </is>
      </c>
      <c r="E3774" s="3" t="inlineStr">
        <is>
          <t>매매</t>
        </is>
      </c>
      <c r="F3774" s="4" t="n">
        <v>18000</v>
      </c>
      <c r="G3774" s="4" t="n">
        <v>744</v>
      </c>
      <c r="H3774" s="4" t="n">
        <v>225</v>
      </c>
      <c r="I3774" s="5" t="n">
        <v>80</v>
      </c>
      <c r="J3774" s="4" t="n">
        <v>23.7</v>
      </c>
      <c r="K3774" s="3" t="inlineStr">
        <is>
          <t>소액 투자나 농막 체류형쉼터용 농지</t>
        </is>
      </c>
      <c r="L3774" s="6">
        <f>HYPERLINK("https://fin.land.naver.com/articles/2644526737", "매물Link")</f>
        <v/>
      </c>
      <c r="M3774" s="6">
        <f>HYPERLINK("https://map.naver.com/p/search/세종특별자치시 연서면 와촌리 1175", "지도Link")</f>
        <v/>
      </c>
      <c r="N3774" s="6">
        <f>HYPERLINK("http://www.eum.go.kr/web/ar/lu/luLandDet.jsp?pnu=3611036031111750000&amp;isNoScr=script&amp;mode=search", "토지이음")</f>
        <v/>
      </c>
      <c r="O3774" s="3" t="inlineStr">
        <is>
          <t>용궁</t>
        </is>
      </c>
      <c r="P3774" s="3" t="n">
        <v>1</v>
      </c>
      <c r="Q3774" s="3" t="n">
        <v>744</v>
      </c>
      <c r="R3774" s="3" t="inlineStr">
        <is>
          <t>지정되지않음</t>
        </is>
      </c>
      <c r="S3774" s="3" t="inlineStr">
        <is>
          <t>과수원</t>
        </is>
      </c>
      <c r="T3774" s="3" t="inlineStr">
        <is>
          <t>완경사</t>
        </is>
      </c>
      <c r="U3774" s="3" t="inlineStr">
        <is>
          <t>부정형</t>
        </is>
      </c>
      <c r="V3774" s="3" t="inlineStr">
        <is>
          <t>맹지</t>
        </is>
      </c>
    </row>
    <row r="3775">
      <c r="A3775" s="3" t="inlineStr">
        <is>
          <t>세종특별자치시 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HYPERLINK("https://map.naver.com/p/search/세종특별자치시 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세종특별자치시 연서면 와촌리 1180</t>
        </is>
      </c>
      <c r="B3776" s="3" t="inlineStr">
        <is>
          <t>계획관리지역</t>
        </is>
      </c>
      <c r="C3776" s="3" t="inlineStr">
        <is>
          <t>대</t>
        </is>
      </c>
      <c r="D3776" s="3" t="inlineStr">
        <is>
          <t>대</t>
        </is>
      </c>
      <c r="E3776" s="3" t="inlineStr">
        <is>
          <t>매매</t>
        </is>
      </c>
      <c r="F3776" s="4" t="n">
        <v>180000</v>
      </c>
      <c r="G3776" s="4" t="n">
        <v>2380</v>
      </c>
      <c r="H3776" s="4" t="n">
        <v>720</v>
      </c>
      <c r="I3776" s="5" t="n">
        <v>250</v>
      </c>
      <c r="J3776" s="4" t="n">
        <v>84.8</v>
      </c>
      <c r="K3776" s="3" t="inlineStr">
        <is>
          <t>세종시 인기지역, 국가산업단지 인근, 현재 축사건물있음 , 투자가치높음</t>
        </is>
      </c>
      <c r="L3776" s="6">
        <f>HYPERLINK("https://fin.land.naver.com/articles/2646426712", "매물Link")</f>
        <v/>
      </c>
      <c r="M3776" s="6">
        <f>HYPERLINK("https://map.naver.com/p/search/세종특별자치시 연서면 와촌리 1180", "지도Link")</f>
        <v/>
      </c>
      <c r="N3776" s="6">
        <f>HYPERLINK("http://www.eum.go.kr/web/ar/lu/luLandDet.jsp?pnu=3611036031111800000&amp;isNoScr=script&amp;mode=search", "토지이음")</f>
        <v/>
      </c>
      <c r="O3776" s="3" t="inlineStr">
        <is>
          <t>세종특별시</t>
        </is>
      </c>
      <c r="P3776" s="3" t="n">
        <v>1</v>
      </c>
      <c r="Q3776" s="3" t="n">
        <v>2380</v>
      </c>
      <c r="R3776" s="3" t="inlineStr">
        <is>
          <t>지정되지않음</t>
        </is>
      </c>
      <c r="S3776" s="3" t="inlineStr">
        <is>
          <t>주거기타</t>
        </is>
      </c>
      <c r="T3776" s="3" t="inlineStr">
        <is>
          <t>평지</t>
        </is>
      </c>
      <c r="U3776" s="3" t="inlineStr">
        <is>
          <t>사다리형</t>
        </is>
      </c>
      <c r="V3776" s="3" t="inlineStr">
        <is>
          <t>세로한면(불)</t>
        </is>
      </c>
    </row>
    <row r="3777">
      <c r="A3777" s="3" t="inlineStr">
        <is>
          <t>세종특별자치시 연서면 와촌리 1182</t>
        </is>
      </c>
      <c r="B3777" s="3" t="inlineStr">
        <is>
          <t>계획관리지역</t>
        </is>
      </c>
      <c r="C3777" s="3" t="inlineStr">
        <is>
          <t>대</t>
        </is>
      </c>
      <c r="D3777" s="3" t="inlineStr">
        <is>
          <t>대</t>
        </is>
      </c>
      <c r="E3777" s="3" t="inlineStr">
        <is>
          <t>매매</t>
        </is>
      </c>
      <c r="F3777" s="4" t="n">
        <v>140000</v>
      </c>
      <c r="G3777" s="4" t="n">
        <v>1689</v>
      </c>
      <c r="H3777" s="4" t="n">
        <v>511</v>
      </c>
      <c r="I3777" s="5" t="n">
        <v>274</v>
      </c>
      <c r="J3777" s="4" t="n">
        <v>85.59999999999999</v>
      </c>
      <c r="K3777" s="3" t="inlineStr">
        <is>
          <t>복숭아 나무 식재 중, 토지모양 굿, 자연취락지구, 성장관리계획구역</t>
        </is>
      </c>
      <c r="L3777" s="6">
        <f>HYPERLINK("https://fin.land.naver.com/articles/2647190456", "매물Link")</f>
        <v/>
      </c>
      <c r="M3777" s="6">
        <f>HYPERLINK("https://map.naver.com/p/search/세종특별자치시 연서면 와촌리 1182", "지도Link")</f>
        <v/>
      </c>
      <c r="N3777" s="6">
        <f>HYPERLINK("http://www.eum.go.kr/web/ar/lu/luLandDet.jsp?pnu=3611036031111820000&amp;isNoScr=script&amp;mode=search", "토지이음")</f>
        <v/>
      </c>
      <c r="O3777" s="3" t="inlineStr">
        <is>
          <t>올바른</t>
        </is>
      </c>
      <c r="P3777" s="3" t="n">
        <v>1</v>
      </c>
      <c r="Q3777" s="3" t="n">
        <v>1689</v>
      </c>
      <c r="R3777" s="3" t="inlineStr">
        <is>
          <t>지정되지않음</t>
        </is>
      </c>
      <c r="S3777" s="3" t="inlineStr">
        <is>
          <t>주거나지</t>
        </is>
      </c>
      <c r="T3777" s="3" t="inlineStr">
        <is>
          <t>평지</t>
        </is>
      </c>
      <c r="U3777" s="3" t="inlineStr">
        <is>
          <t>사다리형</t>
        </is>
      </c>
      <c r="V3777" s="3" t="inlineStr">
        <is>
          <t>세로한면(불)</t>
        </is>
      </c>
    </row>
    <row r="3778">
      <c r="A3778" s="3" t="inlineStr">
        <is>
          <t>세종특별자치시 연서면 와촌리 1185-1</t>
        </is>
      </c>
      <c r="B3778" s="3" t="inlineStr">
        <is>
          <t>계획관리지역</t>
        </is>
      </c>
      <c r="C3778" s="3" t="inlineStr">
        <is>
          <t>전</t>
        </is>
      </c>
      <c r="D3778" s="3" t="inlineStr">
        <is>
          <t>전</t>
        </is>
      </c>
      <c r="E3778" s="3" t="inlineStr">
        <is>
          <t>매매</t>
        </is>
      </c>
      <c r="F3778" s="4" t="n">
        <v>240000</v>
      </c>
      <c r="G3778" s="4" t="n">
        <v>2432</v>
      </c>
      <c r="H3778" s="4" t="n">
        <v>736</v>
      </c>
      <c r="I3778" s="5" t="n">
        <v>326.1</v>
      </c>
      <c r="J3778" s="4" t="n">
        <v>77.09999999999999</v>
      </c>
      <c r="K3778" s="3" t="inlineStr">
        <is>
          <t>계획관리, 성장관리 지역, 2차선 도로 바로 옆 토지, 국가산단 5분거리</t>
        </is>
      </c>
      <c r="L3778" s="6">
        <f>HYPERLINK("https://fin.land.naver.com/articles/2647190264", "매물Link")</f>
        <v/>
      </c>
      <c r="M3778" s="6">
        <f>HYPERLINK("https://map.naver.com/p/search/세종특별자치시 연서면 와촌리 1185-1", "지도Link")</f>
        <v/>
      </c>
      <c r="N3778" s="6">
        <f>HYPERLINK("http://www.eum.go.kr/web/ar/lu/luLandDet.jsp?pnu=3611036031111850001&amp;isNoScr=script&amp;mode=search", "토지이음")</f>
        <v/>
      </c>
      <c r="O3778" s="3" t="inlineStr">
        <is>
          <t>올바른</t>
        </is>
      </c>
      <c r="P3778" s="3" t="n">
        <v>1</v>
      </c>
      <c r="Q3778" s="3" t="n">
        <v>1660</v>
      </c>
      <c r="R3778" s="3" t="inlineStr">
        <is>
          <t>지정되지않음</t>
        </is>
      </c>
      <c r="S3778" s="3" t="inlineStr">
        <is>
          <t>전</t>
        </is>
      </c>
      <c r="T3778" s="3" t="inlineStr">
        <is>
          <t>평지</t>
        </is>
      </c>
      <c r="U3778" s="3" t="inlineStr">
        <is>
          <t>부정형</t>
        </is>
      </c>
      <c r="V3778" s="3" t="inlineStr">
        <is>
          <t>소로한면</t>
        </is>
      </c>
    </row>
    <row r="3779">
      <c r="A3779" s="3" t="inlineStr">
        <is>
          <t>세종특별자치시 연서면 와촌리 1194</t>
        </is>
      </c>
      <c r="B3779" s="3" t="inlineStr">
        <is>
          <t>계획관리지역</t>
        </is>
      </c>
      <c r="C3779" s="3" t="inlineStr">
        <is>
          <t>답</t>
        </is>
      </c>
      <c r="D3779" s="3" t="inlineStr">
        <is>
          <t>답</t>
        </is>
      </c>
      <c r="E3779" s="3" t="inlineStr">
        <is>
          <t>매매</t>
        </is>
      </c>
      <c r="F3779" s="4" t="n">
        <v>260000</v>
      </c>
      <c r="G3779" s="4" t="n">
        <v>3554</v>
      </c>
      <c r="H3779" s="4" t="n">
        <v>1075</v>
      </c>
      <c r="I3779" s="5" t="n">
        <v>241.9</v>
      </c>
      <c r="J3779" s="4" t="n">
        <v>58.8</v>
      </c>
      <c r="K3779" s="3" t="inlineStr">
        <is>
          <t>스마트국가산업단지 초근접위치</t>
        </is>
      </c>
      <c r="L3779" s="6">
        <f>HYPERLINK("https://fin.land.naver.com/articles/2645271688", "매물Link")</f>
        <v/>
      </c>
      <c r="M3779" s="6">
        <f>HYPERLINK("https://map.naver.com/p/search/세종특별자치시 연서면 와촌리 1194", "지도Link")</f>
        <v/>
      </c>
      <c r="N3779" s="6">
        <f>HYPERLINK("http://www.eum.go.kr/web/ar/lu/luLandDet.jsp?pnu=3611036031111940000&amp;isNoScr=script&amp;mode=search", "토지이음")</f>
        <v/>
      </c>
      <c r="O3779" s="3" t="inlineStr">
        <is>
          <t>우장산역스타</t>
        </is>
      </c>
      <c r="P3779" s="3" t="n">
        <v>1</v>
      </c>
      <c r="Q3779" s="3" t="n">
        <v>3554</v>
      </c>
      <c r="R3779" s="3" t="inlineStr">
        <is>
          <t>지정되지않음</t>
        </is>
      </c>
      <c r="S3779" s="3" t="inlineStr">
        <is>
          <t>답</t>
        </is>
      </c>
      <c r="T3779" s="3" t="inlineStr">
        <is>
          <t>평지</t>
        </is>
      </c>
      <c r="U3779" s="3" t="inlineStr">
        <is>
          <t>자루형</t>
        </is>
      </c>
      <c r="V3779" s="3" t="inlineStr">
        <is>
          <t>맹지</t>
        </is>
      </c>
    </row>
    <row r="3780">
      <c r="A3780" s="3" t="inlineStr">
        <is>
          <t>세종특별자치시 연서면 와촌리 172-1</t>
        </is>
      </c>
      <c r="B3780" s="3" t="inlineStr">
        <is>
          <t>계획관리지역</t>
        </is>
      </c>
      <c r="C3780" s="3" t="inlineStr">
        <is>
          <t>과수원</t>
        </is>
      </c>
      <c r="D3780" s="3" t="inlineStr">
        <is>
          <t>과수원</t>
        </is>
      </c>
      <c r="E3780" s="3" t="inlineStr">
        <is>
          <t>매매</t>
        </is>
      </c>
      <c r="F3780" s="4" t="n">
        <v>270000</v>
      </c>
      <c r="G3780" s="4" t="n">
        <v>2749</v>
      </c>
      <c r="H3780" s="4" t="n">
        <v>832</v>
      </c>
      <c r="I3780" s="5" t="n">
        <v>324.5</v>
      </c>
      <c r="J3780" s="4" t="n">
        <v>57.5</v>
      </c>
      <c r="K3780" s="3" t="inlineStr">
        <is>
          <t>세종 스마트 국가산업단지 길건너 발전가능성 높은 귀한 토지 매도</t>
        </is>
      </c>
      <c r="L3780" s="6">
        <f>HYPERLINK("https://fin.land.naver.com/articles/2648901026", "매물Link")</f>
        <v/>
      </c>
      <c r="M3780" s="6">
        <f>HYPERLINK("https://map.naver.com/p/search/세종특별자치시 연서면 와촌리 172-1", "지도Link")</f>
        <v/>
      </c>
      <c r="N3780" s="6">
        <f>HYPERLINK("http://www.eum.go.kr/web/ar/lu/luLandDet.jsp?pnu=3611036031101720001&amp;isNoScr=script&amp;mode=search", "토지이음")</f>
        <v/>
      </c>
      <c r="O3780" s="3" t="inlineStr">
        <is>
          <t>번영</t>
        </is>
      </c>
      <c r="P3780" s="3" t="n">
        <v>1</v>
      </c>
      <c r="Q3780" s="3" t="n">
        <v>2749</v>
      </c>
      <c r="R3780" s="3" t="inlineStr">
        <is>
          <t>지정되지않음</t>
        </is>
      </c>
      <c r="S3780" s="3" t="inlineStr">
        <is>
          <t>과수원</t>
        </is>
      </c>
      <c r="T3780" s="3" t="inlineStr">
        <is>
          <t>완경사</t>
        </is>
      </c>
      <c r="U3780" s="3" t="inlineStr">
        <is>
          <t>자루형</t>
        </is>
      </c>
      <c r="V3780" s="3" t="inlineStr">
        <is>
          <t>맹지</t>
        </is>
      </c>
    </row>
    <row r="3781">
      <c r="A3781" s="3" t="inlineStr">
        <is>
          <t>세종특별자치시 연서면 와촌리 314-2</t>
        </is>
      </c>
      <c r="B3781" s="3" t="inlineStr">
        <is>
          <t>계획관리지역</t>
        </is>
      </c>
      <c r="C3781" s="3" t="inlineStr">
        <is>
          <t>전</t>
        </is>
      </c>
      <c r="D3781" s="3" t="inlineStr">
        <is>
          <t>전</t>
        </is>
      </c>
      <c r="E3781" s="3" t="inlineStr">
        <is>
          <t>매매</t>
        </is>
      </c>
      <c r="F3781" s="4" t="n">
        <v>91683</v>
      </c>
      <c r="G3781" s="4" t="n">
        <v>1656</v>
      </c>
      <c r="H3781" s="4" t="n">
        <v>501</v>
      </c>
      <c r="I3781" s="5" t="n">
        <v>183</v>
      </c>
      <c r="J3781" s="4" t="n">
        <v>63.1</v>
      </c>
      <c r="K3781" s="3" t="inlineStr">
        <is>
          <t>와촌리 급매 투자 및 국가산단 보상 대토 강력 추천 계획관리</t>
        </is>
      </c>
      <c r="L3781" s="6">
        <f>HYPERLINK("https://fin.land.naver.com/articles/2646956103", "매물Link")</f>
        <v/>
      </c>
      <c r="M3781" s="6">
        <f>HYPERLINK("https://map.naver.com/p/search/세종특별자치시 연서면 와촌리 314-2", "지도Link")</f>
        <v/>
      </c>
      <c r="N3781" s="6">
        <f>HYPERLINK("http://www.eum.go.kr/web/ar/lu/luLandDet.jsp?pnu=3611036031103140002&amp;isNoScr=script&amp;mode=search", "토지이음")</f>
        <v/>
      </c>
      <c r="O3781" s="3" t="inlineStr">
        <is>
          <t>연서</t>
        </is>
      </c>
      <c r="P3781" s="3" t="n">
        <v>1</v>
      </c>
      <c r="Q3781" s="3" t="n">
        <v>1656</v>
      </c>
      <c r="R3781" s="3" t="inlineStr">
        <is>
          <t>지정되지않음</t>
        </is>
      </c>
      <c r="S3781" s="3" t="inlineStr">
        <is>
          <t>전</t>
        </is>
      </c>
      <c r="T3781" s="3" t="inlineStr">
        <is>
          <t>평지</t>
        </is>
      </c>
      <c r="U3781" s="3" t="inlineStr">
        <is>
          <t>부정형</t>
        </is>
      </c>
      <c r="V3781" s="3" t="inlineStr">
        <is>
          <t>세로한면(가)</t>
        </is>
      </c>
    </row>
    <row r="3782">
      <c r="A3782" s="3" t="inlineStr">
        <is>
          <t>세종특별자치시 연서면 와촌리 430-9</t>
        </is>
      </c>
      <c r="B3782" s="3" t="inlineStr">
        <is>
          <t>농림지역</t>
        </is>
      </c>
      <c r="C3782" s="3" t="inlineStr">
        <is>
          <t>답</t>
        </is>
      </c>
      <c r="D3782" s="3" t="inlineStr">
        <is>
          <t>답</t>
        </is>
      </c>
      <c r="E3782" s="3" t="inlineStr">
        <is>
          <t>매매</t>
        </is>
      </c>
      <c r="F3782" s="4" t="n">
        <v>109500</v>
      </c>
      <c r="G3782" s="4" t="n">
        <v>3017</v>
      </c>
      <c r="H3782" s="4" t="n">
        <v>913</v>
      </c>
      <c r="I3782" s="5" t="n">
        <v>119.9</v>
      </c>
      <c r="J3782" s="4" t="n">
        <v>40.4</v>
      </c>
      <c r="K3782" s="3" t="inlineStr">
        <is>
          <t>세종국가산업단지 인접한 토지</t>
        </is>
      </c>
      <c r="L3782" s="6">
        <f>HYPERLINK("https://fin.land.naver.com/articles/2646007789", "매물Link")</f>
        <v/>
      </c>
      <c r="M3782" s="6">
        <f>HYPERLINK("https://map.naver.com/p/search/세종특별자치시 연서면 와촌리 430-9", "지도Link")</f>
        <v/>
      </c>
      <c r="N3782" s="6">
        <f>HYPERLINK("http://www.eum.go.kr/web/ar/lu/luLandDet.jsp?pnu=3611036031104300009&amp;isNoScr=script&amp;mode=search", "토지이음")</f>
        <v/>
      </c>
      <c r="O3782" s="3" t="inlineStr">
        <is>
          <t>세종대박</t>
        </is>
      </c>
      <c r="P3782" s="3" t="n">
        <v>3</v>
      </c>
      <c r="Q3782" s="3" t="n">
        <v>3017</v>
      </c>
      <c r="R3782" s="3" t="inlineStr">
        <is>
          <t>지정되지않음</t>
        </is>
      </c>
      <c r="S3782" s="3" t="inlineStr">
        <is>
          <t>답</t>
        </is>
      </c>
      <c r="T3782" s="3" t="inlineStr">
        <is>
          <t>평지</t>
        </is>
      </c>
      <c r="U3782" s="3" t="inlineStr">
        <is>
          <t>가로장방</t>
        </is>
      </c>
      <c r="V3782" s="3" t="inlineStr">
        <is>
          <t>세로한면(가)</t>
        </is>
      </c>
    </row>
    <row r="3783">
      <c r="A3783" s="3" t="inlineStr">
        <is>
          <t>세종특별자치시 연서면 와촌리 437-2</t>
        </is>
      </c>
      <c r="B3783" s="3" t="inlineStr">
        <is>
          <t>농림지역</t>
        </is>
      </c>
      <c r="C3783" s="3" t="inlineStr">
        <is>
          <t>답</t>
        </is>
      </c>
      <c r="D3783" s="3" t="inlineStr">
        <is>
          <t>답</t>
        </is>
      </c>
      <c r="E3783" s="3" t="inlineStr">
        <is>
          <t>매매</t>
        </is>
      </c>
      <c r="F3783" s="4" t="n">
        <v>33000</v>
      </c>
      <c r="G3783" s="4" t="n">
        <v>1092</v>
      </c>
      <c r="H3783" s="4" t="n">
        <v>330</v>
      </c>
      <c r="I3783" s="5" t="n">
        <v>100</v>
      </c>
      <c r="J3783" s="4" t="n">
        <v>40.8</v>
      </c>
      <c r="K3783" s="3" t="inlineStr">
        <is>
          <t>세종스마트 국가산업단지 옆 와촌리 토지 급매.</t>
        </is>
      </c>
      <c r="L3783" s="6">
        <f>HYPERLINK("https://fin.land.naver.com/articles/2644836588", "매물Link")</f>
        <v/>
      </c>
      <c r="M3783" s="6">
        <f>HYPERLINK("https://map.naver.com/p/search/세종특별자치시 연서면 와촌리 437-2", "지도Link")</f>
        <v/>
      </c>
      <c r="N3783" s="6">
        <f>HYPERLINK("http://www.eum.go.kr/web/ar/lu/luLandDet.jsp?pnu=3611036031104370002&amp;isNoScr=script&amp;mode=search", "토지이음")</f>
        <v/>
      </c>
      <c r="O3783" s="3" t="inlineStr">
        <is>
          <t>세종대장</t>
        </is>
      </c>
      <c r="P3783" s="3" t="n">
        <v>1</v>
      </c>
      <c r="Q3783" s="3" t="n">
        <v>1092</v>
      </c>
      <c r="R3783" s="3" t="inlineStr">
        <is>
          <t>지정되지않음</t>
        </is>
      </c>
      <c r="S3783" s="3" t="inlineStr">
        <is>
          <t>답</t>
        </is>
      </c>
      <c r="T3783" s="3" t="inlineStr">
        <is>
          <t>평지</t>
        </is>
      </c>
      <c r="U3783" s="3" t="inlineStr">
        <is>
          <t>세로장방</t>
        </is>
      </c>
      <c r="V3783" s="3" t="inlineStr">
        <is>
          <t>세로한면(가)</t>
        </is>
      </c>
    </row>
    <row r="3784">
      <c r="A3784" s="3" t="inlineStr">
        <is>
          <t>세종특별자치시 연서면 와촌리 437-3</t>
        </is>
      </c>
      <c r="B3784" s="3" t="inlineStr">
        <is>
          <t>농림지역</t>
        </is>
      </c>
      <c r="C3784" s="3" t="inlineStr">
        <is>
          <t>답</t>
        </is>
      </c>
      <c r="D3784" s="3" t="inlineStr">
        <is>
          <t>답</t>
        </is>
      </c>
      <c r="E3784" s="3" t="inlineStr">
        <is>
          <t>매매</t>
        </is>
      </c>
      <c r="F3784" s="4" t="n">
        <v>150000</v>
      </c>
      <c r="G3784" s="4" t="n">
        <v>2991</v>
      </c>
      <c r="H3784" s="4" t="n">
        <v>905</v>
      </c>
      <c r="I3784" s="5" t="n">
        <v>165.7</v>
      </c>
      <c r="J3784" s="4" t="n">
        <v>40.8</v>
      </c>
      <c r="K3784" s="3" t="inlineStr">
        <is>
          <t>조치원산단 인근 농지. 투자용으로 추천</t>
        </is>
      </c>
      <c r="L3784" s="6">
        <f>HYPERLINK("https://fin.land.naver.com/articles/2644444541", "매물Link")</f>
        <v/>
      </c>
      <c r="M3784" s="6">
        <f>HYPERLINK("https://map.naver.com/p/search/세종특별자치시 연서면 와촌리 437-3", "지도Link")</f>
        <v/>
      </c>
      <c r="N3784" s="6">
        <f>HYPERLINK("http://www.eum.go.kr/web/ar/lu/luLandDet.jsp?pnu=3611036031104370003&amp;isNoScr=script&amp;mode=search", "토지이음")</f>
        <v/>
      </c>
      <c r="O3784" s="3" t="inlineStr">
        <is>
          <t>세종대박</t>
        </is>
      </c>
      <c r="P3784" s="3" t="n">
        <v>1</v>
      </c>
      <c r="Q3784" s="3" t="n">
        <v>2992</v>
      </c>
      <c r="R3784" s="3" t="inlineStr">
        <is>
          <t>지정되지않음</t>
        </is>
      </c>
      <c r="S3784" s="3" t="inlineStr">
        <is>
          <t>답</t>
        </is>
      </c>
      <c r="T3784" s="3" t="inlineStr">
        <is>
          <t>평지</t>
        </is>
      </c>
      <c r="U3784" s="3" t="inlineStr">
        <is>
          <t>세로장방</t>
        </is>
      </c>
      <c r="V3784" s="3" t="inlineStr">
        <is>
          <t>세로한면(가)</t>
        </is>
      </c>
    </row>
    <row r="3785">
      <c r="A3785" s="3" t="inlineStr">
        <is>
          <t>세종특별자치시 연서면 와촌리 438-3</t>
        </is>
      </c>
      <c r="B3785" s="3" t="inlineStr">
        <is>
          <t>농림지역</t>
        </is>
      </c>
      <c r="C3785" s="3" t="inlineStr">
        <is>
          <t>답</t>
        </is>
      </c>
      <c r="D3785" s="3" t="inlineStr">
        <is>
          <t>답</t>
        </is>
      </c>
      <c r="E3785" s="3" t="inlineStr">
        <is>
          <t>매매</t>
        </is>
      </c>
      <c r="F3785" s="4" t="n">
        <v>82000</v>
      </c>
      <c r="G3785" s="4" t="n">
        <v>1687</v>
      </c>
      <c r="H3785" s="4" t="n">
        <v>510</v>
      </c>
      <c r="I3785" s="5" t="n">
        <v>160.8</v>
      </c>
      <c r="J3785" s="4" t="n">
        <v>40.4</v>
      </c>
      <c r="K3785" s="3" t="inlineStr">
        <is>
          <t>성토된 농지, 도로접한 전현황</t>
        </is>
      </c>
      <c r="L3785" s="6">
        <f>HYPERLINK("https://fin.land.naver.com/articles/2648813655", "매물Link")</f>
        <v/>
      </c>
      <c r="M3785" s="6">
        <f>HYPERLINK("https://map.naver.com/p/search/세종특별자치시 연서면 와촌리 438-3", "지도Link")</f>
        <v/>
      </c>
      <c r="N3785" s="6">
        <f>HYPERLINK("http://www.eum.go.kr/web/ar/lu/luLandDet.jsp?pnu=3611036031104380003&amp;isNoScr=script&amp;mode=search", "토지이음")</f>
        <v/>
      </c>
      <c r="O3785" s="3" t="inlineStr">
        <is>
          <t>세종대박</t>
        </is>
      </c>
      <c r="P3785" s="3" t="n">
        <v>1</v>
      </c>
      <c r="Q3785" s="3" t="n">
        <v>1687</v>
      </c>
      <c r="R3785" s="3" t="inlineStr">
        <is>
          <t>지정되지않음</t>
        </is>
      </c>
      <c r="S3785" s="3" t="inlineStr">
        <is>
          <t>답</t>
        </is>
      </c>
      <c r="T3785" s="3" t="inlineStr">
        <is>
          <t>평지</t>
        </is>
      </c>
      <c r="U3785" s="3" t="inlineStr">
        <is>
          <t>세로장방</t>
        </is>
      </c>
      <c r="V3785" s="3" t="inlineStr">
        <is>
          <t>세로한면(가)</t>
        </is>
      </c>
    </row>
    <row r="3786">
      <c r="A3786" s="3" t="inlineStr">
        <is>
          <t>세종특별자치시 연서면 와촌리 858-1</t>
        </is>
      </c>
      <c r="B3786" s="3" t="inlineStr">
        <is>
          <t>계획관리지역</t>
        </is>
      </c>
      <c r="C3786" s="3" t="inlineStr">
        <is>
          <t>대</t>
        </is>
      </c>
      <c r="D3786" s="3" t="inlineStr">
        <is>
          <t>대</t>
        </is>
      </c>
      <c r="E3786" s="3" t="inlineStr">
        <is>
          <t>매매</t>
        </is>
      </c>
      <c r="F3786" s="4" t="n">
        <v>230000</v>
      </c>
      <c r="G3786" s="4" t="n">
        <v>1264</v>
      </c>
      <c r="H3786" s="4" t="n">
        <v>382</v>
      </c>
      <c r="I3786" s="5" t="n">
        <v>602.1</v>
      </c>
      <c r="J3786" s="4" t="n">
        <v>134.5</v>
      </c>
      <c r="K3786" s="3" t="inlineStr">
        <is>
          <t>세종산업단지인근 2차선도로 계획관리지역 토지매매</t>
        </is>
      </c>
      <c r="L3786" s="6">
        <f>HYPERLINK("https://fin.land.naver.com/articles/2645513821", "매물Link")</f>
        <v/>
      </c>
      <c r="M3786" s="6">
        <f>HYPERLINK("https://map.naver.com/p/search/세종특별자치시 연서면 와촌리 858-1", "지도Link")</f>
        <v/>
      </c>
      <c r="N3786" s="6">
        <f>HYPERLINK("http://www.eum.go.kr/web/ar/lu/luLandDet.jsp?pnu=3611036031108580001&amp;isNoScr=script&amp;mode=search", "토지이음")</f>
        <v/>
      </c>
      <c r="O3786" s="3" t="inlineStr">
        <is>
          <t>에이스</t>
        </is>
      </c>
      <c r="P3786" s="3" t="n">
        <v>1</v>
      </c>
      <c r="Q3786" s="3" t="n">
        <v>548</v>
      </c>
      <c r="R3786" s="3" t="inlineStr">
        <is>
          <t>지정되지않음</t>
        </is>
      </c>
      <c r="S3786" s="3" t="inlineStr">
        <is>
          <t>주거기타</t>
        </is>
      </c>
      <c r="T3786" s="3" t="inlineStr">
        <is>
          <t>평지</t>
        </is>
      </c>
      <c r="U3786" s="3" t="inlineStr">
        <is>
          <t>사다리형</t>
        </is>
      </c>
      <c r="V3786" s="3" t="inlineStr">
        <is>
          <t>소로한면</t>
        </is>
      </c>
    </row>
    <row r="3787">
      <c r="A3787" s="3" t="inlineStr">
        <is>
          <t>세종특별자치시 연서면 와촌리 862-3</t>
        </is>
      </c>
      <c r="B3787" s="3" t="inlineStr">
        <is>
          <t>생산관리지역</t>
        </is>
      </c>
      <c r="C3787" s="3" t="inlineStr">
        <is>
          <t>답</t>
        </is>
      </c>
      <c r="D3787" s="3" t="inlineStr">
        <is>
          <t>답</t>
        </is>
      </c>
      <c r="E3787" s="3" t="inlineStr">
        <is>
          <t>매매</t>
        </is>
      </c>
      <c r="F3787" s="4" t="n">
        <v>90000</v>
      </c>
      <c r="G3787" s="4" t="n">
        <v>661</v>
      </c>
      <c r="H3787" s="4" t="n">
        <v>200</v>
      </c>
      <c r="I3787" s="5" t="n">
        <v>450</v>
      </c>
      <c r="J3787" s="4" t="n">
        <v>63.1</v>
      </c>
      <c r="K3787" s="3" t="inlineStr">
        <is>
          <t>연서면 와촌리 와촌보건소 인근 2차선 도로에 접한 농지 분할 매매 합니다</t>
        </is>
      </c>
      <c r="L3787" s="6">
        <f>HYPERLINK("https://fin.land.naver.com/articles/2646999752", "매물Link")</f>
        <v/>
      </c>
      <c r="M3787" s="6">
        <f>HYPERLINK("https://map.naver.com/p/search/세종특별자치시 연서면 와촌리 862-3", "지도Link")</f>
        <v/>
      </c>
      <c r="N3787" s="6">
        <f>HYPERLINK("http://www.eum.go.kr/web/ar/lu/luLandDet.jsp?pnu=3611036031108620003&amp;isNoScr=script&amp;mode=search", "토지이음")</f>
        <v/>
      </c>
      <c r="O3787" s="3" t="inlineStr">
        <is>
          <t>스마일세종</t>
        </is>
      </c>
      <c r="P3787" s="3" t="n">
        <v>1</v>
      </c>
      <c r="Q3787" s="3" t="n">
        <v>3171</v>
      </c>
      <c r="R3787" s="3" t="inlineStr">
        <is>
          <t>보전관리지역</t>
        </is>
      </c>
      <c r="S3787" s="3" t="inlineStr">
        <is>
          <t>답</t>
        </is>
      </c>
      <c r="T3787" s="3" t="inlineStr">
        <is>
          <t>평지</t>
        </is>
      </c>
      <c r="U3787" s="3" t="inlineStr">
        <is>
          <t>사다리형</t>
        </is>
      </c>
      <c r="V3787" s="3" t="inlineStr">
        <is>
          <t>소로한면</t>
        </is>
      </c>
    </row>
    <row r="3788">
      <c r="A3788" s="3" t="inlineStr">
        <is>
          <t>세종특별자치시 연서면 와촌리 866-4</t>
        </is>
      </c>
      <c r="B3788" s="3" t="inlineStr">
        <is>
          <t>생산관리지역</t>
        </is>
      </c>
      <c r="C3788" s="3" t="inlineStr">
        <is>
          <t>답</t>
        </is>
      </c>
      <c r="D3788" s="3" t="inlineStr">
        <is>
          <t>답</t>
        </is>
      </c>
      <c r="E3788" s="3" t="inlineStr">
        <is>
          <t>매매</t>
        </is>
      </c>
      <c r="F3788" s="4" t="n">
        <v>40000</v>
      </c>
      <c r="G3788" s="4" t="n">
        <v>662</v>
      </c>
      <c r="H3788" s="4" t="n">
        <v>200</v>
      </c>
      <c r="I3788" s="5" t="n">
        <v>200</v>
      </c>
      <c r="J3788" s="4" t="n">
        <v>60.6</v>
      </c>
      <c r="K3788" s="3" t="inlineStr">
        <is>
          <t>스마트국가산단 인근 생산관리 토지</t>
        </is>
      </c>
      <c r="L3788" s="6">
        <f>HYPERLINK("https://fin.land.naver.com/articles/2649915561", "매물Link")</f>
        <v/>
      </c>
      <c r="M3788" s="6">
        <f>HYPERLINK("https://map.naver.com/p/search/세종특별자치시 연서면 와촌리 866-4", "지도Link")</f>
        <v/>
      </c>
      <c r="N3788" s="6">
        <f>HYPERLINK("http://www.eum.go.kr/web/ar/lu/luLandDet.jsp?pnu=3611036031108660004&amp;isNoScr=script&amp;mode=search", "토지이음")</f>
        <v/>
      </c>
      <c r="O3788" s="3" t="inlineStr">
        <is>
          <t>미스터홈즈강남지사</t>
        </is>
      </c>
      <c r="P3788" s="3" t="n">
        <v>1</v>
      </c>
      <c r="Q3788" s="3" t="n">
        <v>214</v>
      </c>
      <c r="R3788" s="3" t="inlineStr">
        <is>
          <t>지정되지않음</t>
        </is>
      </c>
      <c r="S3788" s="3" t="inlineStr">
        <is>
          <t>답</t>
        </is>
      </c>
      <c r="T3788" s="3" t="inlineStr">
        <is>
          <t>평지</t>
        </is>
      </c>
      <c r="U3788" s="3" t="inlineStr">
        <is>
          <t>부정형</t>
        </is>
      </c>
      <c r="V3788" s="3" t="inlineStr">
        <is>
          <t>소로한면</t>
        </is>
      </c>
    </row>
    <row r="3789">
      <c r="A3789" s="3" t="inlineStr">
        <is>
          <t>세종특별자치시 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HYPERLINK("https://map.naver.com/p/search/세종특별자치시 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세종특별자치시 연서면 와촌리 955-2</t>
        </is>
      </c>
      <c r="B3790" s="3" t="inlineStr">
        <is>
          <t>생산관리지역</t>
        </is>
      </c>
      <c r="C3790" s="3" t="inlineStr">
        <is>
          <t>과수원</t>
        </is>
      </c>
      <c r="D3790" s="3" t="inlineStr">
        <is>
          <t>과수원</t>
        </is>
      </c>
      <c r="E3790" s="3" t="inlineStr">
        <is>
          <t>매매</t>
        </is>
      </c>
      <c r="F3790" s="4" t="n">
        <v>238100</v>
      </c>
      <c r="G3790" s="4" t="n">
        <v>7871</v>
      </c>
      <c r="H3790" s="4" t="n">
        <v>2381</v>
      </c>
      <c r="I3790" s="5" t="n">
        <v>100</v>
      </c>
      <c r="J3790" s="4" t="n">
        <v>40.5</v>
      </c>
      <c r="K3790" s="3" t="inlineStr">
        <is>
          <t>국가산업단지 인근의 가장 저렴한 과수원</t>
        </is>
      </c>
      <c r="L3790" s="6">
        <f>HYPERLINK("https://fin.land.naver.com/articles/2644527068", "매물Link")</f>
        <v/>
      </c>
      <c r="M3790" s="6">
        <f>HYPERLINK("https://map.naver.com/p/search/세종특별자치시 연서면 와촌리 955-2", "지도Link")</f>
        <v/>
      </c>
      <c r="N3790" s="6">
        <f>HYPERLINK("http://www.eum.go.kr/web/ar/lu/luLandDet.jsp?pnu=3611036031109550002&amp;isNoScr=script&amp;mode=search", "토지이음")</f>
        <v/>
      </c>
      <c r="O3790" s="3" t="inlineStr">
        <is>
          <t>용궁</t>
        </is>
      </c>
      <c r="P3790" s="3" t="n">
        <v>1</v>
      </c>
      <c r="Q3790" s="3" t="n">
        <v>2364</v>
      </c>
      <c r="R3790" s="3" t="inlineStr">
        <is>
          <t>지정되지않음</t>
        </is>
      </c>
      <c r="S3790" s="3" t="inlineStr">
        <is>
          <t>전기타</t>
        </is>
      </c>
      <c r="T3790" s="3" t="inlineStr">
        <is>
          <t>완경사</t>
        </is>
      </c>
      <c r="U3790" s="3" t="inlineStr">
        <is>
          <t>부정형</t>
        </is>
      </c>
      <c r="V3790" s="3" t="inlineStr">
        <is>
          <t>맹지</t>
        </is>
      </c>
    </row>
    <row r="3791">
      <c r="A3791" s="3" t="inlineStr">
        <is>
          <t>세종특별자치시 연서면 와촌리 963</t>
        </is>
      </c>
      <c r="B3791" s="3" t="inlineStr">
        <is>
          <t>생산관리지역</t>
        </is>
      </c>
      <c r="C3791" s="3" t="inlineStr">
        <is>
          <t>답</t>
        </is>
      </c>
      <c r="D3791" s="3" t="inlineStr">
        <is>
          <t>답</t>
        </is>
      </c>
      <c r="E3791" s="3" t="inlineStr">
        <is>
          <t>매매</t>
        </is>
      </c>
      <c r="F3791" s="4" t="n">
        <v>943200</v>
      </c>
      <c r="G3791" s="4" t="n">
        <v>15593</v>
      </c>
      <c r="H3791" s="4" t="n">
        <v>4717</v>
      </c>
      <c r="I3791" s="5" t="n">
        <v>200</v>
      </c>
      <c r="J3791" s="4" t="n">
        <v>50.3</v>
      </c>
      <c r="K3791" s="3" t="inlineStr">
        <is>
          <t>새종 국가산업단지  길목, 수혜지역.투자용,상업용,산업용 용도 다양</t>
        </is>
      </c>
      <c r="L3791" s="6">
        <f>HYPERLINK("https://fin.land.naver.com/articles/2644487553", "매물Link")</f>
        <v/>
      </c>
      <c r="M3791" s="6">
        <f>HYPERLINK("https://map.naver.com/p/search/세종특별자치시 연서면 와촌리 963", "지도Link")</f>
        <v/>
      </c>
      <c r="N3791" s="6">
        <f>HYPERLINK("http://www.eum.go.kr/web/ar/lu/luLandDet.jsp?pnu=3611036031109630000&amp;isNoScr=script&amp;mode=search", "토지이음")</f>
        <v/>
      </c>
      <c r="O3791" s="3" t="inlineStr">
        <is>
          <t>세종시해냄</t>
        </is>
      </c>
      <c r="P3791" s="3" t="n">
        <v>1</v>
      </c>
      <c r="Q3791" s="3" t="n">
        <v>2199</v>
      </c>
      <c r="R3791" s="3" t="inlineStr">
        <is>
          <t>지정되지않음</t>
        </is>
      </c>
      <c r="S3791" s="3" t="inlineStr">
        <is>
          <t>답</t>
        </is>
      </c>
      <c r="T3791" s="3" t="inlineStr">
        <is>
          <t>평지</t>
        </is>
      </c>
      <c r="U3791" s="3" t="inlineStr">
        <is>
          <t>부정형</t>
        </is>
      </c>
      <c r="V3791" s="3" t="inlineStr">
        <is>
          <t>소로한면</t>
        </is>
      </c>
    </row>
    <row r="3792">
      <c r="A3792" s="3" t="inlineStr">
        <is>
          <t>세종특별자치시 연서면 와촌리 산 80-1</t>
        </is>
      </c>
      <c r="B3792" s="3" t="inlineStr">
        <is>
          <t>농림지역</t>
        </is>
      </c>
      <c r="C3792" s="3" t="inlineStr">
        <is>
          <t>임야</t>
        </is>
      </c>
      <c r="D3792" s="3" t="inlineStr">
        <is>
          <t>임야</t>
        </is>
      </c>
      <c r="E3792" s="3" t="inlineStr">
        <is>
          <t>매매</t>
        </is>
      </c>
      <c r="F3792" s="4" t="n">
        <v>192000</v>
      </c>
      <c r="G3792" s="4" t="n">
        <v>41058</v>
      </c>
      <c r="H3792" s="4" t="n">
        <v>12420</v>
      </c>
      <c r="I3792" s="5" t="n">
        <v>15.5</v>
      </c>
      <c r="J3792" s="4" t="n">
        <v>3.7</v>
      </c>
      <c r="K3792" s="3" t="inlineStr">
        <is>
          <t>연서면 와촌리 농림지역 임야, 국가산단 인근</t>
        </is>
      </c>
      <c r="L3792" s="6">
        <f>HYPERLINK("https://fin.land.naver.com/articles/2645316124", "매물Link")</f>
        <v/>
      </c>
      <c r="M3792" s="6">
        <f>HYPERLINK("https://map.naver.com/p/search/세종특별자치시 연서면 와촌리 산 80-1", "지도Link")</f>
        <v/>
      </c>
      <c r="N3792" s="6">
        <f>HYPERLINK("http://www.eum.go.kr/web/ar/lu/luLandDet.jsp?pnu=3611036031200800001&amp;isNoScr=script&amp;mode=search", "토지이음")</f>
        <v/>
      </c>
      <c r="O3792" s="3" t="inlineStr">
        <is>
          <t>스카이</t>
        </is>
      </c>
      <c r="P3792" s="3" t="n">
        <v>1</v>
      </c>
      <c r="Q3792" s="3" t="n">
        <v>41058</v>
      </c>
      <c r="R3792" s="3" t="inlineStr">
        <is>
          <t>보전관리지역</t>
        </is>
      </c>
      <c r="S3792" s="3" t="inlineStr">
        <is>
          <t>자연림</t>
        </is>
      </c>
      <c r="T3792" s="3" t="inlineStr">
        <is>
          <t>급경사</t>
        </is>
      </c>
      <c r="U3792" s="3" t="inlineStr">
        <is>
          <t>부정형</t>
        </is>
      </c>
      <c r="V3792" s="3" t="inlineStr">
        <is>
          <t>세로한면(불)</t>
        </is>
      </c>
    </row>
    <row r="3793">
      <c r="A3793" s="3" t="inlineStr">
        <is>
          <t>세종특별자치시 연서면 와촌리 산112-3</t>
        </is>
      </c>
      <c r="B3793" s="3" t="inlineStr">
        <is>
          <t>농림지역</t>
        </is>
      </c>
      <c r="C3793" s="3" t="inlineStr">
        <is>
          <t>임야</t>
        </is>
      </c>
      <c r="D3793" s="3" t="inlineStr">
        <is>
          <t>임야</t>
        </is>
      </c>
      <c r="E3793" s="3" t="inlineStr">
        <is>
          <t>매매</t>
        </is>
      </c>
      <c r="F3793" s="4" t="n">
        <v>140000</v>
      </c>
      <c r="G3793" s="4" t="n">
        <v>23140</v>
      </c>
      <c r="H3793" s="4" t="n">
        <v>7000</v>
      </c>
      <c r="I3793" s="5" t="n">
        <v>20</v>
      </c>
      <c r="J3793" s="4" t="n">
        <v>3.9</v>
      </c>
      <c r="K3793" s="3" t="inlineStr">
        <is>
          <t>장기투자 개발 하기 좋은 세종시 토지 매매</t>
        </is>
      </c>
      <c r="L3793" s="6">
        <f>HYPERLINK("https://fin.land.naver.com/articles/2646721829", "매물Link")</f>
        <v/>
      </c>
      <c r="M3793" s="6">
        <f>HYPERLINK("https://map.naver.com/p/search/세종특별자치시 연서면 와촌리 산112-3", "지도Link")</f>
        <v/>
      </c>
      <c r="N3793" s="6">
        <f>HYPERLINK("http://www.eum.go.kr/web/ar/lu/luLandDet.jsp?pnu=3611036031201120003&amp;isNoScr=script&amp;mode=search", "토지이음")</f>
        <v/>
      </c>
      <c r="O3793" s="3" t="inlineStr">
        <is>
          <t>(주)정민근</t>
        </is>
      </c>
      <c r="P3793" s="3" t="n">
        <v>1</v>
      </c>
      <c r="Q3793" s="3" t="n">
        <v>16528</v>
      </c>
      <c r="R3793" s="3" t="inlineStr">
        <is>
          <t>보전관리지역</t>
        </is>
      </c>
      <c r="S3793" s="3" t="inlineStr">
        <is>
          <t>자연림</t>
        </is>
      </c>
      <c r="T3793" s="3" t="inlineStr">
        <is>
          <t>급경사</t>
        </is>
      </c>
      <c r="U3793" s="3" t="inlineStr">
        <is>
          <t>부정형</t>
        </is>
      </c>
      <c r="V3793" s="3" t="inlineStr">
        <is>
          <t>맹지</t>
        </is>
      </c>
    </row>
    <row r="3794">
      <c r="A3794" s="3" t="inlineStr">
        <is>
          <t>세종특별자치시 연서면 와촌리 산135</t>
        </is>
      </c>
      <c r="B3794" s="3" t="inlineStr">
        <is>
          <t>농림지역</t>
        </is>
      </c>
      <c r="C3794" s="3" t="inlineStr">
        <is>
          <t>임야</t>
        </is>
      </c>
      <c r="D3794" s="3" t="inlineStr">
        <is>
          <t>임야</t>
        </is>
      </c>
      <c r="E3794" s="3" t="inlineStr">
        <is>
          <t>매매</t>
        </is>
      </c>
      <c r="F3794" s="4" t="n">
        <v>19500</v>
      </c>
      <c r="G3794" s="4" t="n">
        <v>6446</v>
      </c>
      <c r="H3794" s="4" t="n">
        <v>1950</v>
      </c>
      <c r="I3794" s="5" t="n">
        <v>10</v>
      </c>
      <c r="J3794" s="4" t="n">
        <v>3.5</v>
      </c>
      <c r="K3794" s="3" t="inlineStr">
        <is>
          <t>임업용산지</t>
        </is>
      </c>
      <c r="L3794" s="6">
        <f>HYPERLINK("https://fin.land.naver.com/articles/2645530400", "매물Link")</f>
        <v/>
      </c>
      <c r="M3794" s="6">
        <f>HYPERLINK("https://map.naver.com/p/search/세종특별자치시 연서면 와촌리 산135", "지도Link")</f>
        <v/>
      </c>
      <c r="N3794" s="6">
        <f>HYPERLINK("http://www.eum.go.kr/web/ar/lu/luLandDet.jsp?pnu=3611036031201350000&amp;isNoScr=script&amp;mode=search", "토지이음")</f>
        <v/>
      </c>
      <c r="O3794" s="3" t="inlineStr">
        <is>
          <t>세종소담114</t>
        </is>
      </c>
      <c r="P3794" s="3" t="n">
        <v>1</v>
      </c>
      <c r="Q3794" s="3" t="n">
        <v>6446</v>
      </c>
      <c r="R3794" s="3" t="inlineStr">
        <is>
          <t>지정되지않음</t>
        </is>
      </c>
      <c r="S3794" s="3" t="inlineStr">
        <is>
          <t>자연림</t>
        </is>
      </c>
      <c r="T3794" s="3" t="inlineStr">
        <is>
          <t>급경사</t>
        </is>
      </c>
      <c r="U3794" s="3" t="inlineStr">
        <is>
          <t>부정형</t>
        </is>
      </c>
      <c r="V3794" s="3" t="inlineStr">
        <is>
          <t>맹지</t>
        </is>
      </c>
    </row>
    <row r="3795">
      <c r="A3795" s="3" t="inlineStr">
        <is>
          <t>세종특별자치시 연서면 와촌리 산136-2</t>
        </is>
      </c>
      <c r="B3795" s="3" t="inlineStr">
        <is>
          <t>농림지역</t>
        </is>
      </c>
      <c r="C3795" s="3" t="inlineStr">
        <is>
          <t>임야</t>
        </is>
      </c>
      <c r="D3795" s="3" t="inlineStr">
        <is>
          <t>임야</t>
        </is>
      </c>
      <c r="E3795" s="3" t="inlineStr">
        <is>
          <t>매매</t>
        </is>
      </c>
      <c r="F3795" s="4" t="n">
        <v>5400</v>
      </c>
      <c r="G3795" s="4" t="n">
        <v>2347</v>
      </c>
      <c r="H3795" s="4" t="n">
        <v>710</v>
      </c>
      <c r="I3795" s="5" t="n">
        <v>7.6</v>
      </c>
      <c r="J3795" s="4" t="n">
        <v>3.2</v>
      </c>
      <c r="K3795" s="3" t="inlineStr">
        <is>
          <t>nan</t>
        </is>
      </c>
      <c r="L3795" s="6">
        <f>HYPERLINK("https://fin.land.naver.com/articles/2646485649", "매물Link")</f>
        <v/>
      </c>
      <c r="M3795" s="6">
        <f>HYPERLINK("https://map.naver.com/p/search/세종특별자치시 연서면 와촌리 산136-2", "지도Link")</f>
        <v/>
      </c>
      <c r="N3795" s="6">
        <f>HYPERLINK("http://www.eum.go.kr/web/ar/lu/luLandDet.jsp?pnu=3611036031201360002&amp;isNoScr=script&amp;mode=search", "토지이음")</f>
        <v/>
      </c>
      <c r="O3795" s="3" t="inlineStr">
        <is>
          <t>땅부자 사무소</t>
        </is>
      </c>
      <c r="P3795" s="3" t="n">
        <v>1</v>
      </c>
      <c r="Q3795" s="3" t="n">
        <v>7041</v>
      </c>
      <c r="R3795" s="3" t="inlineStr">
        <is>
          <t>지정되지않음</t>
        </is>
      </c>
      <c r="S3795" s="3" t="inlineStr">
        <is>
          <t>자연림</t>
        </is>
      </c>
      <c r="T3795" s="3" t="inlineStr">
        <is>
          <t>고지</t>
        </is>
      </c>
      <c r="U3795" s="3" t="inlineStr">
        <is>
          <t>부정형</t>
        </is>
      </c>
      <c r="V3795" s="3" t="inlineStr">
        <is>
          <t>맹지</t>
        </is>
      </c>
    </row>
    <row r="3796">
      <c r="A3796" s="3" t="inlineStr">
        <is>
          <t>세종특별자치시 연서면 와촌리 산161</t>
        </is>
      </c>
      <c r="B3796" s="3" t="inlineStr">
        <is>
          <t>보전관리지역</t>
        </is>
      </c>
      <c r="C3796" s="3" t="inlineStr">
        <is>
          <t>임야</t>
        </is>
      </c>
      <c r="D3796" s="3" t="inlineStr">
        <is>
          <t>임야</t>
        </is>
      </c>
      <c r="E3796" s="3" t="inlineStr">
        <is>
          <t>매매</t>
        </is>
      </c>
      <c r="F3796" s="4" t="n">
        <v>60000</v>
      </c>
      <c r="G3796" s="4" t="n">
        <v>5752</v>
      </c>
      <c r="H3796" s="4" t="n">
        <v>1740</v>
      </c>
      <c r="I3796" s="5" t="n">
        <v>34.5</v>
      </c>
      <c r="J3796" s="4" t="n">
        <v>5.7</v>
      </c>
      <c r="K3796" s="3" t="inlineStr">
        <is>
          <t>세종시 연서면 와촌리 임야매매.35만원</t>
        </is>
      </c>
      <c r="L3796" s="6">
        <f>HYPERLINK("https://fin.land.naver.com/articles/2645257534", "매물Link")</f>
        <v/>
      </c>
      <c r="M3796" s="6">
        <f>HYPERLINK("https://map.naver.com/p/search/세종특별자치시 연서면 와촌리 산161", "지도Link")</f>
        <v/>
      </c>
      <c r="N3796" s="6">
        <f>HYPERLINK("http://www.eum.go.kr/web/ar/lu/luLandDet.jsp?pnu=3611036031201610000&amp;isNoScr=script&amp;mode=search", "토지이음")</f>
        <v/>
      </c>
      <c r="O3796" s="3" t="inlineStr">
        <is>
          <t>동원</t>
        </is>
      </c>
      <c r="P3796" s="3" t="n">
        <v>1</v>
      </c>
      <c r="Q3796" s="3" t="n">
        <v>5752</v>
      </c>
      <c r="R3796" s="3" t="inlineStr">
        <is>
          <t>지정되지않음</t>
        </is>
      </c>
      <c r="S3796" s="3" t="inlineStr">
        <is>
          <t>자연림</t>
        </is>
      </c>
      <c r="T3796" s="3" t="inlineStr">
        <is>
          <t>완경사</t>
        </is>
      </c>
      <c r="U3796" s="3" t="inlineStr">
        <is>
          <t>부정형</t>
        </is>
      </c>
      <c r="V3796" s="3" t="inlineStr">
        <is>
          <t>맹지</t>
        </is>
      </c>
    </row>
    <row r="3797">
      <c r="A3797" s="3" t="inlineStr">
        <is>
          <t>세종특별자치시 연서면 와촌리 산96-15</t>
        </is>
      </c>
      <c r="B3797" s="3" t="inlineStr">
        <is>
          <t>보전관리지역</t>
        </is>
      </c>
      <c r="C3797" s="3" t="inlineStr">
        <is>
          <t>임야</t>
        </is>
      </c>
      <c r="D3797" s="3" t="inlineStr">
        <is>
          <t>임야</t>
        </is>
      </c>
      <c r="E3797" s="3" t="inlineStr">
        <is>
          <t>매매</t>
        </is>
      </c>
      <c r="F3797" s="4" t="n">
        <v>178790</v>
      </c>
      <c r="G3797" s="4" t="n">
        <v>6221</v>
      </c>
      <c r="H3797" s="4" t="n">
        <v>1882</v>
      </c>
      <c r="I3797" s="5" t="n">
        <v>95</v>
      </c>
      <c r="J3797" s="4" t="n">
        <v>5.6</v>
      </c>
      <c r="K3797" s="3" t="inlineStr">
        <is>
          <t>세종국가산업단지 예정지와 근접하며 향후 개발가능성 높은 임야,6생활권인접</t>
        </is>
      </c>
      <c r="L3797" s="6">
        <f>HYPERLINK("https://fin.land.naver.com/articles/2648678203", "매물Link")</f>
        <v/>
      </c>
      <c r="M3797" s="6">
        <f>HYPERLINK("https://map.naver.com/p/search/세종특별자치시 연서면 와촌리 산96-15", "지도Link")</f>
        <v/>
      </c>
      <c r="N3797" s="6">
        <f>HYPERLINK("http://www.eum.go.kr/web/ar/lu/luLandDet.jsp?pnu=3611036031200960015&amp;isNoScr=script&amp;mode=search", "토지이음")</f>
        <v/>
      </c>
      <c r="O3797" s="3" t="inlineStr">
        <is>
          <t>담뜰</t>
        </is>
      </c>
      <c r="P3797" s="3" t="n">
        <v>1</v>
      </c>
      <c r="Q3797" s="3" t="n">
        <v>6221</v>
      </c>
      <c r="R3797" s="3" t="inlineStr">
        <is>
          <t>지정되지않음</t>
        </is>
      </c>
      <c r="S3797" s="3" t="inlineStr">
        <is>
          <t>자연림</t>
        </is>
      </c>
      <c r="T3797" s="3" t="inlineStr">
        <is>
          <t>완경사</t>
        </is>
      </c>
      <c r="U3797" s="3" t="inlineStr">
        <is>
          <t>부정형</t>
        </is>
      </c>
      <c r="V3797" s="3" t="inlineStr">
        <is>
          <t>맹지</t>
        </is>
      </c>
    </row>
    <row r="3798">
      <c r="A3798" s="3" t="inlineStr">
        <is>
          <t>세종특별자치시 연서면 용암리 157-6</t>
        </is>
      </c>
      <c r="B3798" s="3" t="inlineStr">
        <is>
          <t>농림지역</t>
        </is>
      </c>
      <c r="C3798" s="3" t="inlineStr">
        <is>
          <t>답</t>
        </is>
      </c>
      <c r="D3798" s="3" t="inlineStr">
        <is>
          <t>답</t>
        </is>
      </c>
      <c r="E3798" s="3" t="inlineStr">
        <is>
          <t>매매</t>
        </is>
      </c>
      <c r="F3798" s="4" t="n">
        <v>60000</v>
      </c>
      <c r="G3798" s="4" t="n">
        <v>1775</v>
      </c>
      <c r="H3798" s="4" t="n">
        <v>537</v>
      </c>
      <c r="I3798" s="5" t="n">
        <v>111.7</v>
      </c>
      <c r="J3798" s="4" t="n">
        <v>35</v>
      </c>
      <c r="K3798" s="3" t="inlineStr">
        <is>
          <t>고복저수지의 투자용 농지</t>
        </is>
      </c>
      <c r="L3798" s="6">
        <f>HYPERLINK("https://fin.land.naver.com/articles/2644518278", "매물Link")</f>
        <v/>
      </c>
      <c r="M3798" s="6">
        <f>HYPERLINK("https://map.naver.com/p/search/세종특별자치시 연서면 용암리 157-6", "지도Link")</f>
        <v/>
      </c>
      <c r="N3798" s="6">
        <f>HYPERLINK("http://www.eum.go.kr/web/ar/lu/luLandDet.jsp?pnu=3611036025101570006&amp;isNoScr=script&amp;mode=search", "토지이음")</f>
        <v/>
      </c>
      <c r="O3798" s="3" t="inlineStr">
        <is>
          <t>용궁</t>
        </is>
      </c>
      <c r="P3798" s="3" t="n">
        <v>1</v>
      </c>
      <c r="Q3798" s="3" t="n">
        <v>1775</v>
      </c>
      <c r="R3798" s="3" t="inlineStr">
        <is>
          <t>지정되지않음</t>
        </is>
      </c>
      <c r="S3798" s="3" t="inlineStr">
        <is>
          <t>답</t>
        </is>
      </c>
      <c r="T3798" s="3" t="inlineStr">
        <is>
          <t>평지</t>
        </is>
      </c>
      <c r="U3798" s="3" t="inlineStr">
        <is>
          <t>부정형</t>
        </is>
      </c>
      <c r="V3798" s="3" t="inlineStr">
        <is>
          <t>세로한면(가)</t>
        </is>
      </c>
    </row>
    <row r="3799">
      <c r="A3799" s="3" t="inlineStr">
        <is>
          <t>세종특별자치시 연서면 용암리 166-5</t>
        </is>
      </c>
      <c r="B3799" s="3" t="inlineStr">
        <is>
          <t>계획관리지역</t>
        </is>
      </c>
      <c r="C3799" s="3" t="inlineStr">
        <is>
          <t>대</t>
        </is>
      </c>
      <c r="D3799" s="3" t="inlineStr">
        <is>
          <t>대</t>
        </is>
      </c>
      <c r="E3799" s="3" t="inlineStr">
        <is>
          <t>매매</t>
        </is>
      </c>
      <c r="F3799" s="4" t="n">
        <v>304800</v>
      </c>
      <c r="G3799" s="4" t="n">
        <v>869</v>
      </c>
      <c r="H3799" s="4" t="n">
        <v>263</v>
      </c>
      <c r="I3799" s="5" t="n">
        <v>1158.9</v>
      </c>
      <c r="J3799" s="4" t="n">
        <v>220.9</v>
      </c>
      <c r="K3799" s="3" t="inlineStr">
        <is>
          <t>와촌리 국가산업단지와 가까움, 2차선변 주차용이,투자로최고</t>
        </is>
      </c>
      <c r="L3799" s="6">
        <f>HYPERLINK("https://fin.land.naver.com/articles/2647982475", "매물Link")</f>
        <v/>
      </c>
      <c r="M3799" s="6">
        <f>HYPERLINK("https://map.naver.com/p/search/세종특별자치시 연서면 용암리 166-5", "지도Link")</f>
        <v/>
      </c>
      <c r="N3799" s="6">
        <f>HYPERLINK("http://www.eum.go.kr/web/ar/lu/luLandDet.jsp?pnu=3611036025101660005&amp;isNoScr=script&amp;mode=search", "토지이음")</f>
        <v/>
      </c>
      <c r="O3799" s="3" t="inlineStr">
        <is>
          <t>세종공주제일</t>
        </is>
      </c>
      <c r="P3799" s="3" t="n">
        <v>1</v>
      </c>
      <c r="Q3799" s="3" t="n">
        <v>869</v>
      </c>
      <c r="R3799" s="3" t="inlineStr">
        <is>
          <t>지정되지않음</t>
        </is>
      </c>
      <c r="S3799" s="3" t="inlineStr">
        <is>
          <t>상업용</t>
        </is>
      </c>
      <c r="T3799" s="3" t="inlineStr">
        <is>
          <t>평지</t>
        </is>
      </c>
      <c r="U3799" s="3" t="inlineStr">
        <is>
          <t>부정형</t>
        </is>
      </c>
      <c r="V3799" s="3" t="inlineStr">
        <is>
          <t>소로한면</t>
        </is>
      </c>
    </row>
    <row r="3800">
      <c r="A3800" s="3" t="inlineStr">
        <is>
          <t>세종특별자치시 연서면 용암리 212-11</t>
        </is>
      </c>
      <c r="B3800" s="3" t="inlineStr">
        <is>
          <t>자연환경보전지역</t>
        </is>
      </c>
      <c r="C3800" s="3" t="inlineStr">
        <is>
          <t>과수원</t>
        </is>
      </c>
      <c r="D3800" s="3" t="inlineStr">
        <is>
          <t>과수원</t>
        </is>
      </c>
      <c r="E3800" s="3" t="inlineStr">
        <is>
          <t>매매</t>
        </is>
      </c>
      <c r="F3800" s="4" t="n">
        <v>89000</v>
      </c>
      <c r="G3800" s="4" t="n">
        <v>1484</v>
      </c>
      <c r="H3800" s="4" t="n">
        <v>449</v>
      </c>
      <c r="I3800" s="5" t="n">
        <v>198.2</v>
      </c>
      <c r="J3800" s="4" t="n">
        <v>42.3</v>
      </c>
      <c r="K3800" s="3" t="inlineStr">
        <is>
          <t>고복저수지 월하천변 농지. 경치좋은 지역. 서울세종간고속도로인근</t>
        </is>
      </c>
      <c r="L3800" s="6">
        <f>HYPERLINK("https://fin.land.naver.com/articles/2649914984", "매물Link")</f>
        <v/>
      </c>
      <c r="M3800" s="6">
        <f>HYPERLINK("https://map.naver.com/p/search/세종특별자치시 연서면 용암리 212-11", "지도Link")</f>
        <v/>
      </c>
      <c r="N3800" s="6">
        <f>HYPERLINK("http://www.eum.go.kr/web/ar/lu/luLandDet.jsp?pnu=3611036025102120011&amp;isNoScr=script&amp;mode=search", "토지이음")</f>
        <v/>
      </c>
      <c r="O3800" s="3" t="inlineStr">
        <is>
          <t>미스터홈즈강남지사</t>
        </is>
      </c>
      <c r="P3800" s="3" t="n">
        <v>1</v>
      </c>
      <c r="Q3800" s="3" t="n">
        <v>1484</v>
      </c>
      <c r="R3800" s="3" t="inlineStr">
        <is>
          <t>지정되지않음</t>
        </is>
      </c>
      <c r="S3800" s="3" t="inlineStr">
        <is>
          <t>전</t>
        </is>
      </c>
      <c r="T3800" s="3" t="inlineStr">
        <is>
          <t>평지</t>
        </is>
      </c>
      <c r="U3800" s="3" t="inlineStr">
        <is>
          <t>사다리형</t>
        </is>
      </c>
      <c r="V3800" s="3" t="inlineStr">
        <is>
          <t>세로한면(가)</t>
        </is>
      </c>
    </row>
    <row r="3801">
      <c r="A3801" s="3" t="inlineStr">
        <is>
          <t>세종특별자치시 연서면 용암리 216-5</t>
        </is>
      </c>
      <c r="B3801" s="3" t="inlineStr">
        <is>
          <t>생산관리지역</t>
        </is>
      </c>
      <c r="C3801" s="3" t="inlineStr">
        <is>
          <t>대</t>
        </is>
      </c>
      <c r="D3801" s="3" t="inlineStr">
        <is>
          <t>대</t>
        </is>
      </c>
      <c r="E3801" s="3" t="inlineStr">
        <is>
          <t>매매</t>
        </is>
      </c>
      <c r="F3801" s="4" t="n">
        <v>58000</v>
      </c>
      <c r="G3801" s="4" t="n">
        <v>1059</v>
      </c>
      <c r="H3801" s="4" t="n">
        <v>320</v>
      </c>
      <c r="I3801" s="5" t="n">
        <v>181.2</v>
      </c>
      <c r="J3801" s="4" t="n">
        <v>116.5</v>
      </c>
      <c r="K3801" s="3" t="inlineStr">
        <is>
          <t>급매, 조율도가능, 건축 휴게음식점 가능</t>
        </is>
      </c>
      <c r="L3801" s="6">
        <f>HYPERLINK("https://fin.land.naver.com/articles/2644543912", "매물Link")</f>
        <v/>
      </c>
      <c r="M3801" s="6">
        <f>HYPERLINK("https://map.naver.com/p/search/세종특별자치시 연서면 용암리 216-5", "지도Link")</f>
        <v/>
      </c>
      <c r="N3801" s="6">
        <f>HYPERLINK("http://www.eum.go.kr/web/ar/lu/luLandDet.jsp?pnu=3611036025102160005&amp;isNoScr=script&amp;mode=search", "토지이음")</f>
        <v/>
      </c>
      <c r="O3801" s="3" t="inlineStr">
        <is>
          <t>세종무지개</t>
        </is>
      </c>
      <c r="P3801" s="3" t="n">
        <v>1</v>
      </c>
      <c r="Q3801" s="3" t="n">
        <v>858</v>
      </c>
      <c r="R3801" s="3" t="inlineStr">
        <is>
          <t>자연환경보전지역</t>
        </is>
      </c>
      <c r="S3801" s="3" t="inlineStr">
        <is>
          <t>주상기타</t>
        </is>
      </c>
      <c r="T3801" s="3" t="inlineStr">
        <is>
          <t>평지</t>
        </is>
      </c>
      <c r="U3801" s="3" t="inlineStr">
        <is>
          <t>부정형</t>
        </is>
      </c>
      <c r="V3801" s="3" t="inlineStr">
        <is>
          <t>소로한면</t>
        </is>
      </c>
    </row>
    <row r="3802">
      <c r="A3802" s="3" t="inlineStr">
        <is>
          <t>세종특별자치시 연서면 용암리 217-46</t>
        </is>
      </c>
      <c r="B3802" s="3" t="inlineStr">
        <is>
          <t>생산관리지역</t>
        </is>
      </c>
      <c r="C3802" s="3" t="inlineStr">
        <is>
          <t>과수원</t>
        </is>
      </c>
      <c r="D3802" s="3" t="inlineStr">
        <is>
          <t>과수원</t>
        </is>
      </c>
      <c r="E3802" s="3" t="inlineStr">
        <is>
          <t>매매</t>
        </is>
      </c>
      <c r="F3802" s="4" t="n">
        <v>44600</v>
      </c>
      <c r="G3802" s="4" t="n">
        <v>1489</v>
      </c>
      <c r="H3802" s="4" t="n">
        <v>450</v>
      </c>
      <c r="I3802" s="5" t="n">
        <v>99.09999999999999</v>
      </c>
      <c r="J3802" s="4" t="n">
        <v>26.6</v>
      </c>
      <c r="K3802" s="3" t="inlineStr">
        <is>
          <t>생산관리지역 2필지 포함 매매</t>
        </is>
      </c>
      <c r="L3802" s="6">
        <f>HYPERLINK("https://fin.land.naver.com/articles/2644543986", "매물Link")</f>
        <v/>
      </c>
      <c r="M3802" s="6">
        <f>HYPERLINK("https://map.naver.com/p/search/세종특별자치시 연서면 용암리 217-46", "지도Link")</f>
        <v/>
      </c>
      <c r="N3802" s="6">
        <f>HYPERLINK("http://www.eum.go.kr/web/ar/lu/luLandDet.jsp?pnu=3611036025102170046&amp;isNoScr=script&amp;mode=search", "토지이음")</f>
        <v/>
      </c>
      <c r="O3802" s="3" t="inlineStr">
        <is>
          <t>세종무지개</t>
        </is>
      </c>
      <c r="P3802" s="3" t="n">
        <v>1</v>
      </c>
      <c r="Q3802" s="3" t="n">
        <v>813</v>
      </c>
      <c r="R3802" s="3" t="inlineStr">
        <is>
          <t>지정되지않음</t>
        </is>
      </c>
      <c r="S3802" s="3" t="inlineStr">
        <is>
          <t>과수원</t>
        </is>
      </c>
      <c r="T3802" s="3" t="inlineStr">
        <is>
          <t>완경사</t>
        </is>
      </c>
      <c r="U3802" s="3" t="inlineStr">
        <is>
          <t>사다리형</t>
        </is>
      </c>
      <c r="V3802" s="3" t="inlineStr">
        <is>
          <t>맹지</t>
        </is>
      </c>
    </row>
    <row r="3803">
      <c r="A3803" s="3" t="inlineStr">
        <is>
          <t>세종특별자치시 연서면 용암리 225-12</t>
        </is>
      </c>
      <c r="B3803" s="3" t="inlineStr">
        <is>
          <t>농림지역</t>
        </is>
      </c>
      <c r="C3803" s="3" t="inlineStr">
        <is>
          <t>과수원</t>
        </is>
      </c>
      <c r="D3803" s="3" t="inlineStr">
        <is>
          <t>과수원</t>
        </is>
      </c>
      <c r="E3803" s="3" t="inlineStr">
        <is>
          <t>매매</t>
        </is>
      </c>
      <c r="F3803" s="4" t="n">
        <v>151000</v>
      </c>
      <c r="G3803" s="4" t="n">
        <v>6254</v>
      </c>
      <c r="H3803" s="4" t="n">
        <v>1892</v>
      </c>
      <c r="I3803" s="5" t="n">
        <v>79.8</v>
      </c>
      <c r="J3803" s="4" t="n">
        <v>30</v>
      </c>
      <c r="K3803" s="3" t="inlineStr">
        <is>
          <t>고복저수지 인근 용암리 도로접한 농업보호구역 토지 급매.</t>
        </is>
      </c>
      <c r="L3803" s="6">
        <f>HYPERLINK("https://fin.land.naver.com/articles/2648906608", "매물Link")</f>
        <v/>
      </c>
      <c r="M3803" s="6">
        <f>HYPERLINK("https://map.naver.com/p/search/세종특별자치시 연서면 용암리 225-12", "지도Link")</f>
        <v/>
      </c>
      <c r="N3803" s="6">
        <f>HYPERLINK("http://www.eum.go.kr/web/ar/lu/luLandDet.jsp?pnu=3611036025102250012&amp;isNoScr=script&amp;mode=search", "토지이음")</f>
        <v/>
      </c>
      <c r="O3803" s="3" t="inlineStr">
        <is>
          <t>세종대장</t>
        </is>
      </c>
      <c r="P3803" s="3" t="n">
        <v>1</v>
      </c>
      <c r="Q3803" s="3" t="n">
        <v>3198</v>
      </c>
      <c r="R3803" s="3" t="inlineStr">
        <is>
          <t>지정되지않음</t>
        </is>
      </c>
      <c r="S3803" s="3" t="inlineStr">
        <is>
          <t>답</t>
        </is>
      </c>
      <c r="T3803" s="3" t="inlineStr">
        <is>
          <t>평지</t>
        </is>
      </c>
      <c r="U3803" s="3" t="inlineStr">
        <is>
          <t>부정형</t>
        </is>
      </c>
      <c r="V3803" s="3" t="inlineStr">
        <is>
          <t>세로한면(가)</t>
        </is>
      </c>
    </row>
    <row r="3804">
      <c r="A3804" s="3" t="inlineStr">
        <is>
          <t>세종특별자치시 연서면 용암리 229-1</t>
        </is>
      </c>
      <c r="B3804" s="3" t="inlineStr">
        <is>
          <t>농림지역</t>
        </is>
      </c>
      <c r="C3804" s="3" t="inlineStr">
        <is>
          <t>목장용지</t>
        </is>
      </c>
      <c r="D3804" s="3" t="inlineStr">
        <is>
          <t>목장용지</t>
        </is>
      </c>
      <c r="E3804" s="3" t="inlineStr">
        <is>
          <t>매매</t>
        </is>
      </c>
      <c r="F3804" s="4" t="n">
        <v>42000</v>
      </c>
      <c r="G3804" s="4" t="n">
        <v>929</v>
      </c>
      <c r="H3804" s="4" t="n">
        <v>281</v>
      </c>
      <c r="I3804" s="5" t="n">
        <v>149.5</v>
      </c>
      <c r="J3804" s="4" t="n">
        <v>35</v>
      </c>
      <c r="K3804" s="3" t="inlineStr">
        <is>
          <t>고복저수지 인근, 연기휴게소 근처임. 넓은국유지접함</t>
        </is>
      </c>
      <c r="L3804" s="6">
        <f>HYPERLINK("https://fin.land.naver.com/articles/2645604122", "매물Link")</f>
        <v/>
      </c>
      <c r="M3804" s="6">
        <f>HYPERLINK("https://map.naver.com/p/search/세종특별자치시 연서면 용암리 229-1", "지도Link")</f>
        <v/>
      </c>
      <c r="N3804" s="6">
        <f>HYPERLINK("http://www.eum.go.kr/web/ar/lu/luLandDet.jsp?pnu=3611036025102290001&amp;isNoScr=script&amp;mode=search", "토지이음")</f>
        <v/>
      </c>
      <c r="O3804" s="3" t="inlineStr">
        <is>
          <t>미스터홈즈강남지사</t>
        </is>
      </c>
      <c r="P3804" s="3" t="n">
        <v>1</v>
      </c>
      <c r="Q3804" s="3" t="n">
        <v>929</v>
      </c>
      <c r="R3804" s="3" t="inlineStr">
        <is>
          <t>생산관리지역</t>
        </is>
      </c>
      <c r="S3804" s="3" t="inlineStr">
        <is>
          <t>전기타</t>
        </is>
      </c>
      <c r="T3804" s="3" t="inlineStr">
        <is>
          <t>평지</t>
        </is>
      </c>
      <c r="U3804" s="3" t="inlineStr">
        <is>
          <t>부정형</t>
        </is>
      </c>
      <c r="V3804" s="3" t="inlineStr">
        <is>
          <t>세로한면(가)</t>
        </is>
      </c>
    </row>
    <row r="3805">
      <c r="A3805" s="3" t="inlineStr">
        <is>
          <t>세종특별자치시 연서면 용암리 239-11</t>
        </is>
      </c>
      <c r="B3805" s="3" t="inlineStr">
        <is>
          <t>생산관리지역</t>
        </is>
      </c>
      <c r="C3805" s="3" t="inlineStr">
        <is>
          <t>과수원</t>
        </is>
      </c>
      <c r="D3805" s="3" t="inlineStr">
        <is>
          <t>과수원</t>
        </is>
      </c>
      <c r="E3805" s="3" t="inlineStr">
        <is>
          <t>매매</t>
        </is>
      </c>
      <c r="F3805" s="4" t="n">
        <v>25000</v>
      </c>
      <c r="G3805" s="4" t="n">
        <v>654</v>
      </c>
      <c r="H3805" s="4" t="n">
        <v>198</v>
      </c>
      <c r="I3805" s="5" t="n">
        <v>126.3</v>
      </c>
      <c r="J3805" s="4" t="n">
        <v>43.2</v>
      </c>
      <c r="K3805" s="3" t="inlineStr">
        <is>
          <t>도로지분포함매매,남향토지.</t>
        </is>
      </c>
      <c r="L3805" s="6">
        <f>HYPERLINK("https://fin.land.naver.com/articles/2649852384", "매물Link")</f>
        <v/>
      </c>
      <c r="M3805" s="6">
        <f>HYPERLINK("https://map.naver.com/p/search/세종특별자치시 연서면 용암리 239-11", "지도Link")</f>
        <v/>
      </c>
      <c r="N3805" s="6">
        <f>HYPERLINK("http://www.eum.go.kr/web/ar/lu/luLandDet.jsp?pnu=3611036025102390011&amp;isNoScr=script&amp;mode=search", "토지이음")</f>
        <v/>
      </c>
      <c r="O3805" s="3" t="inlineStr">
        <is>
          <t>담뜰</t>
        </is>
      </c>
      <c r="P3805" s="3" t="n">
        <v>2</v>
      </c>
      <c r="Q3805" s="3" t="n">
        <v>577</v>
      </c>
      <c r="R3805" s="3" t="inlineStr">
        <is>
          <t>지정되지않음</t>
        </is>
      </c>
      <c r="S3805" s="3" t="inlineStr">
        <is>
          <t>과수원</t>
        </is>
      </c>
      <c r="T3805" s="3" t="inlineStr">
        <is>
          <t>평지</t>
        </is>
      </c>
      <c r="U3805" s="3" t="inlineStr">
        <is>
          <t>부정형</t>
        </is>
      </c>
      <c r="V3805" s="3" t="inlineStr">
        <is>
          <t>세로한면(불)</t>
        </is>
      </c>
    </row>
    <row r="3806">
      <c r="A3806" s="3" t="inlineStr">
        <is>
          <t>세종특별자치시 연서면 용암리 239-3</t>
        </is>
      </c>
      <c r="B3806" s="3" t="inlineStr">
        <is>
          <t>생산관리지역</t>
        </is>
      </c>
      <c r="C3806" s="3" t="inlineStr">
        <is>
          <t>과수원</t>
        </is>
      </c>
      <c r="D3806" s="3" t="inlineStr">
        <is>
          <t>과수원</t>
        </is>
      </c>
      <c r="E3806" s="3" t="inlineStr">
        <is>
          <t>매매</t>
        </is>
      </c>
      <c r="F3806" s="4" t="n">
        <v>59000</v>
      </c>
      <c r="G3806" s="4" t="n">
        <v>1443</v>
      </c>
      <c r="H3806" s="4" t="n">
        <v>437</v>
      </c>
      <c r="I3806" s="5" t="n">
        <v>135</v>
      </c>
      <c r="J3806" s="4" t="n">
        <v>45.4</v>
      </c>
      <c r="K3806" s="3" t="inlineStr">
        <is>
          <t>nan</t>
        </is>
      </c>
      <c r="L3806" s="6">
        <f>HYPERLINK("https://fin.land.naver.com/articles/2645406875", "매물Link")</f>
        <v/>
      </c>
      <c r="M3806" s="6">
        <f>HYPERLINK("https://map.naver.com/p/search/세종특별자치시 연서면 용암리 239-3", "지도Link")</f>
        <v/>
      </c>
      <c r="N3806" s="6">
        <f>HYPERLINK("http://www.eum.go.kr/web/ar/lu/luLandDet.jsp?pnu=3611036025102390003&amp;isNoScr=script&amp;mode=search", "토지이음")</f>
        <v/>
      </c>
      <c r="O3806" s="3" t="inlineStr">
        <is>
          <t>그래그</t>
        </is>
      </c>
      <c r="P3806" s="3" t="n">
        <v>1</v>
      </c>
      <c r="Q3806" s="3" t="n">
        <v>1443</v>
      </c>
      <c r="R3806" s="3" t="inlineStr">
        <is>
          <t>지정되지않음</t>
        </is>
      </c>
      <c r="S3806" s="3" t="inlineStr">
        <is>
          <t>과수원</t>
        </is>
      </c>
      <c r="T3806" s="3" t="inlineStr">
        <is>
          <t>평지</t>
        </is>
      </c>
      <c r="U3806" s="3" t="inlineStr">
        <is>
          <t>사다리형</t>
        </is>
      </c>
      <c r="V3806" s="3" t="inlineStr">
        <is>
          <t>세로한면(불)</t>
        </is>
      </c>
    </row>
    <row r="3807">
      <c r="A3807" s="3" t="inlineStr">
        <is>
          <t>세종특별자치시 연서면 용암리 245-2</t>
        </is>
      </c>
      <c r="B3807" s="3" t="inlineStr">
        <is>
          <t>농림지역</t>
        </is>
      </c>
      <c r="C3807" s="3" t="inlineStr">
        <is>
          <t>잡종지</t>
        </is>
      </c>
      <c r="D3807" s="3" t="inlineStr">
        <is>
          <t>잡종지</t>
        </is>
      </c>
      <c r="E3807" s="3" t="inlineStr">
        <is>
          <t>매매</t>
        </is>
      </c>
      <c r="F3807" s="4" t="n">
        <v>323000</v>
      </c>
      <c r="G3807" s="4" t="n">
        <v>17797</v>
      </c>
      <c r="H3807" s="4" t="n">
        <v>5384</v>
      </c>
      <c r="I3807" s="5" t="n">
        <v>60</v>
      </c>
      <c r="J3807" s="4" t="n">
        <v>37.9</v>
      </c>
      <c r="K3807" s="3" t="inlineStr">
        <is>
          <t>태양광 시설 및 경사도 없는 야산으로 태양광 시설을 확장할 수 있는 임야</t>
        </is>
      </c>
      <c r="L3807" s="6">
        <f>HYPERLINK("https://fin.land.naver.com/articles/2646127462", "매물Link")</f>
        <v/>
      </c>
      <c r="M3807" s="6">
        <f>HYPERLINK("https://map.naver.com/p/search/세종특별자치시 연서면 용암리 245-2", "지도Link")</f>
        <v/>
      </c>
      <c r="N3807" s="6">
        <f>HYPERLINK("http://www.eum.go.kr/web/ar/lu/luLandDet.jsp?pnu=3611036025102450002&amp;isNoScr=script&amp;mode=search", "토지이음")</f>
        <v/>
      </c>
      <c r="O3807" s="3" t="inlineStr">
        <is>
          <t>스마일세종</t>
        </is>
      </c>
      <c r="P3807" s="3" t="n">
        <v>1</v>
      </c>
      <c r="Q3807" s="3" t="n">
        <v>4332</v>
      </c>
      <c r="R3807" s="3" t="inlineStr">
        <is>
          <t>지정되지않음</t>
        </is>
      </c>
      <c r="S3807" s="3" t="inlineStr">
        <is>
          <t>태양광발전소부지</t>
        </is>
      </c>
      <c r="T3807" s="3" t="inlineStr">
        <is>
          <t>완경사</t>
        </is>
      </c>
      <c r="U3807" s="3" t="inlineStr">
        <is>
          <t>부정형</t>
        </is>
      </c>
      <c r="V3807" s="3" t="inlineStr">
        <is>
          <t>세로한면(가)</t>
        </is>
      </c>
    </row>
    <row r="3808">
      <c r="A3808" s="3" t="inlineStr">
        <is>
          <t>세종특별자치시 연서면 용암리 259-1</t>
        </is>
      </c>
      <c r="B3808" s="3" t="inlineStr">
        <is>
          <t>계획관리지역</t>
        </is>
      </c>
      <c r="C3808" s="3" t="inlineStr">
        <is>
          <t>과수원</t>
        </is>
      </c>
      <c r="D3808" s="3" t="inlineStr">
        <is>
          <t>과수원</t>
        </is>
      </c>
      <c r="E3808" s="3" t="inlineStr">
        <is>
          <t>매매</t>
        </is>
      </c>
      <c r="F3808" s="4" t="n">
        <v>45000</v>
      </c>
      <c r="G3808" s="4" t="n">
        <v>1305</v>
      </c>
      <c r="H3808" s="4" t="n">
        <v>395</v>
      </c>
      <c r="I3808" s="5" t="n">
        <v>113.9</v>
      </c>
      <c r="J3808" s="4" t="n">
        <v>55.7</v>
      </c>
      <c r="K3808" s="3" t="inlineStr">
        <is>
          <t>연서면 용암리 고복저수지 인근 계획관리 토지, 국가산단 인근</t>
        </is>
      </c>
      <c r="L3808" s="6">
        <f>HYPERLINK("https://fin.land.naver.com/articles/2648394462", "매물Link")</f>
        <v/>
      </c>
      <c r="M3808" s="6">
        <f>HYPERLINK("https://map.naver.com/p/search/세종특별자치시 연서면 용암리 259-1", "지도Link")</f>
        <v/>
      </c>
      <c r="N3808" s="6">
        <f>HYPERLINK("http://www.eum.go.kr/web/ar/lu/luLandDet.jsp?pnu=3611036025102590001&amp;isNoScr=script&amp;mode=search", "토지이음")</f>
        <v/>
      </c>
      <c r="O3808" s="3" t="inlineStr">
        <is>
          <t>스카이</t>
        </is>
      </c>
      <c r="P3808" s="3" t="n">
        <v>1</v>
      </c>
      <c r="Q3808" s="3" t="n">
        <v>826</v>
      </c>
      <c r="R3808" s="3" t="inlineStr">
        <is>
          <t>지정되지않음</t>
        </is>
      </c>
      <c r="S3808" s="3" t="inlineStr">
        <is>
          <t>과수원</t>
        </is>
      </c>
      <c r="T3808" s="3" t="inlineStr">
        <is>
          <t>평지</t>
        </is>
      </c>
      <c r="U3808" s="3" t="inlineStr">
        <is>
          <t>부정형</t>
        </is>
      </c>
      <c r="V3808" s="3" t="inlineStr">
        <is>
          <t>세로한면(가)</t>
        </is>
      </c>
    </row>
    <row r="3809">
      <c r="A3809" s="3" t="inlineStr">
        <is>
          <t>세종특별자치시 연서면 용암리 283</t>
        </is>
      </c>
      <c r="B3809" s="3" t="inlineStr">
        <is>
          <t>생산관리지역</t>
        </is>
      </c>
      <c r="C3809" s="3" t="inlineStr">
        <is>
          <t>과수원</t>
        </is>
      </c>
      <c r="D3809" s="3" t="inlineStr">
        <is>
          <t>과수원</t>
        </is>
      </c>
      <c r="E3809" s="3" t="inlineStr">
        <is>
          <t>매매</t>
        </is>
      </c>
      <c r="F3809" s="4" t="n">
        <v>16300</v>
      </c>
      <c r="G3809" s="4" t="n">
        <v>770</v>
      </c>
      <c r="H3809" s="4" t="n">
        <v>233</v>
      </c>
      <c r="I3809" s="5" t="n">
        <v>70</v>
      </c>
      <c r="J3809" s="4" t="n">
        <v>20.7</v>
      </c>
      <c r="K3809" s="3" t="inlineStr">
        <is>
          <t>세종시 휴게소 예정지 인근 토지매매, 과수원매매</t>
        </is>
      </c>
      <c r="L3809" s="6">
        <f>HYPERLINK("https://fin.land.naver.com/articles/2645317868", "매물Link")</f>
        <v/>
      </c>
      <c r="M3809" s="6">
        <f>HYPERLINK("https://map.naver.com/p/search/세종특별자치시 연서면 용암리 283", "지도Link")</f>
        <v/>
      </c>
      <c r="N3809" s="6">
        <f>HYPERLINK("http://www.eum.go.kr/web/ar/lu/luLandDet.jsp?pnu=3611036025102830000&amp;isNoScr=script&amp;mode=search", "토지이음")</f>
        <v/>
      </c>
      <c r="O3809" s="3" t="inlineStr">
        <is>
          <t>유성대박</t>
        </is>
      </c>
      <c r="P3809" s="3" t="n">
        <v>1</v>
      </c>
      <c r="Q3809" s="3" t="n">
        <v>770</v>
      </c>
      <c r="R3809" s="3" t="inlineStr">
        <is>
          <t>지정되지않음</t>
        </is>
      </c>
      <c r="S3809" s="3" t="inlineStr">
        <is>
          <t>과수원</t>
        </is>
      </c>
      <c r="T3809" s="3" t="inlineStr">
        <is>
          <t>완경사</t>
        </is>
      </c>
      <c r="U3809" s="3" t="inlineStr">
        <is>
          <t>부정형</t>
        </is>
      </c>
      <c r="V3809" s="3" t="inlineStr">
        <is>
          <t>세로한면(가)</t>
        </is>
      </c>
    </row>
    <row r="3810">
      <c r="A3810" s="3" t="inlineStr">
        <is>
          <t>세종특별자치시 연서면 용암리 295</t>
        </is>
      </c>
      <c r="B3810" s="3" t="inlineStr">
        <is>
          <t>생산관리지역</t>
        </is>
      </c>
      <c r="C3810" s="3" t="inlineStr">
        <is>
          <t>전</t>
        </is>
      </c>
      <c r="D3810" s="3" t="inlineStr">
        <is>
          <t>전</t>
        </is>
      </c>
      <c r="E3810" s="3" t="inlineStr">
        <is>
          <t>매매</t>
        </is>
      </c>
      <c r="F3810" s="4" t="n">
        <v>31150</v>
      </c>
      <c r="G3810" s="4" t="n">
        <v>1471</v>
      </c>
      <c r="H3810" s="4" t="n">
        <v>445</v>
      </c>
      <c r="I3810" s="5" t="n">
        <v>70</v>
      </c>
      <c r="J3810" s="4" t="n">
        <v>17.6</v>
      </c>
      <c r="K3810" s="3" t="inlineStr">
        <is>
          <t>세종시 고속도로 휴게소 예정지 인근 토지매매</t>
        </is>
      </c>
      <c r="L3810" s="6">
        <f>HYPERLINK("https://fin.land.naver.com/articles/2645317862", "매물Link")</f>
        <v/>
      </c>
      <c r="M3810" s="6">
        <f>HYPERLINK("https://map.naver.com/p/search/세종특별자치시 연서면 용암리 295", "지도Link")</f>
        <v/>
      </c>
      <c r="N3810" s="6">
        <f>HYPERLINK("http://www.eum.go.kr/web/ar/lu/luLandDet.jsp?pnu=3611036025102950000&amp;isNoScr=script&amp;mode=search", "토지이음")</f>
        <v/>
      </c>
      <c r="O3810" s="3" t="inlineStr">
        <is>
          <t>유성대박</t>
        </is>
      </c>
      <c r="P3810" s="3" t="n">
        <v>1</v>
      </c>
      <c r="Q3810" s="3" t="n">
        <v>1471</v>
      </c>
      <c r="R3810" s="3" t="inlineStr">
        <is>
          <t>지정되지않음</t>
        </is>
      </c>
      <c r="S3810" s="3" t="inlineStr">
        <is>
          <t>전</t>
        </is>
      </c>
      <c r="T3810" s="3" t="inlineStr">
        <is>
          <t>완경사</t>
        </is>
      </c>
      <c r="U3810" s="3" t="inlineStr">
        <is>
          <t>부정형</t>
        </is>
      </c>
      <c r="V3810" s="3" t="inlineStr">
        <is>
          <t>맹지</t>
        </is>
      </c>
    </row>
    <row r="3811">
      <c r="A3811" s="3" t="inlineStr">
        <is>
          <t>세종특별자치시 연서면 용암리 296</t>
        </is>
      </c>
      <c r="B3811" s="3" t="inlineStr">
        <is>
          <t>생산관리지역</t>
        </is>
      </c>
      <c r="C3811" s="3" t="inlineStr">
        <is>
          <t>전</t>
        </is>
      </c>
      <c r="D3811" s="3" t="inlineStr">
        <is>
          <t>전</t>
        </is>
      </c>
      <c r="E3811" s="3" t="inlineStr">
        <is>
          <t>매매</t>
        </is>
      </c>
      <c r="F3811" s="4" t="n">
        <v>41000</v>
      </c>
      <c r="G3811" s="4" t="n">
        <v>1921</v>
      </c>
      <c r="H3811" s="4" t="n">
        <v>581</v>
      </c>
      <c r="I3811" s="5" t="n">
        <v>70.59999999999999</v>
      </c>
      <c r="J3811" s="4" t="n">
        <v>20.7</v>
      </c>
      <c r="K3811" s="3" t="inlineStr">
        <is>
          <t>세종시 토지매매. 휴게소 예정지 인근</t>
        </is>
      </c>
      <c r="L3811" s="6">
        <f>HYPERLINK("https://fin.land.naver.com/articles/2645317252", "매물Link")</f>
        <v/>
      </c>
      <c r="M3811" s="6">
        <f>HYPERLINK("https://map.naver.com/p/search/세종특별자치시 연서면 용암리 296", "지도Link")</f>
        <v/>
      </c>
      <c r="N3811" s="6">
        <f>HYPERLINK("http://www.eum.go.kr/web/ar/lu/luLandDet.jsp?pnu=3611036025102960000&amp;isNoScr=script&amp;mode=search", "토지이음")</f>
        <v/>
      </c>
      <c r="O3811" s="3" t="inlineStr">
        <is>
          <t>유성대박</t>
        </is>
      </c>
      <c r="P3811" s="3" t="n">
        <v>1</v>
      </c>
      <c r="Q3811" s="3" t="n">
        <v>1921</v>
      </c>
      <c r="R3811" s="3" t="inlineStr">
        <is>
          <t>지정되지않음</t>
        </is>
      </c>
      <c r="S3811" s="3" t="inlineStr">
        <is>
          <t>전</t>
        </is>
      </c>
      <c r="T3811" s="3" t="inlineStr">
        <is>
          <t>완경사</t>
        </is>
      </c>
      <c r="U3811" s="3" t="inlineStr">
        <is>
          <t>부정형</t>
        </is>
      </c>
      <c r="V3811" s="3" t="inlineStr">
        <is>
          <t>세로한면(가)</t>
        </is>
      </c>
    </row>
    <row r="3812">
      <c r="A3812" s="3" t="inlineStr">
        <is>
          <t>세종특별자치시 연서면 용암리 45-23</t>
        </is>
      </c>
      <c r="B3812" s="3" t="inlineStr">
        <is>
          <t>농림지역</t>
        </is>
      </c>
      <c r="C3812" s="3" t="inlineStr">
        <is>
          <t>전</t>
        </is>
      </c>
      <c r="D3812" s="3" t="inlineStr">
        <is>
          <t>전</t>
        </is>
      </c>
      <c r="E3812" s="3" t="inlineStr">
        <is>
          <t>매매</t>
        </is>
      </c>
      <c r="F3812" s="4" t="n">
        <v>40000</v>
      </c>
      <c r="G3812" s="4" t="n">
        <v>335</v>
      </c>
      <c r="H3812" s="4" t="n">
        <v>101</v>
      </c>
      <c r="I3812" s="5" t="n">
        <v>396</v>
      </c>
      <c r="J3812" s="4" t="n">
        <v>35.7</v>
      </c>
      <c r="K3812" s="3" t="inlineStr">
        <is>
          <t>고복저수지 뷰 도로에접한 저렴한 토지</t>
        </is>
      </c>
      <c r="L3812" s="6">
        <f>HYPERLINK("https://fin.land.naver.com/articles/2644444576", "매물Link")</f>
        <v/>
      </c>
      <c r="M3812" s="6">
        <f>HYPERLINK("https://map.naver.com/p/search/세종특별자치시 연서면 용암리 45-23", "지도Link")</f>
        <v/>
      </c>
      <c r="N3812" s="6">
        <f>HYPERLINK("http://www.eum.go.kr/web/ar/lu/luLandDet.jsp?pnu=3611036025100450023&amp;isNoScr=script&amp;mode=search", "토지이음")</f>
        <v/>
      </c>
      <c r="O3812" s="3" t="inlineStr">
        <is>
          <t>세종대박</t>
        </is>
      </c>
      <c r="P3812" s="3" t="n">
        <v>1</v>
      </c>
      <c r="Q3812" s="3" t="n">
        <v>335</v>
      </c>
      <c r="R3812" s="3" t="inlineStr">
        <is>
          <t>지정되지않음</t>
        </is>
      </c>
      <c r="S3812" s="3" t="inlineStr">
        <is>
          <t>전</t>
        </is>
      </c>
      <c r="T3812" s="3" t="inlineStr">
        <is>
          <t>평지</t>
        </is>
      </c>
      <c r="U3812" s="3" t="inlineStr">
        <is>
          <t>사다리형</t>
        </is>
      </c>
      <c r="V3812" s="3" t="inlineStr">
        <is>
          <t>세로한면(가)</t>
        </is>
      </c>
    </row>
    <row r="3813">
      <c r="A3813" s="3" t="inlineStr">
        <is>
          <t>세종특별자치시 연서면 용암리 산28-13</t>
        </is>
      </c>
      <c r="B3813" s="3" t="inlineStr">
        <is>
          <t>농림지역</t>
        </is>
      </c>
      <c r="C3813" s="3" t="inlineStr">
        <is>
          <t>임야</t>
        </is>
      </c>
      <c r="D3813" s="3" t="inlineStr">
        <is>
          <t>임야</t>
        </is>
      </c>
      <c r="E3813" s="3" t="inlineStr">
        <is>
          <t>매매</t>
        </is>
      </c>
      <c r="F3813" s="4" t="n">
        <v>73000</v>
      </c>
      <c r="G3813" s="4" t="n">
        <v>24117</v>
      </c>
      <c r="H3813" s="4" t="n">
        <v>7295</v>
      </c>
      <c r="I3813" s="5" t="n">
        <v>10</v>
      </c>
      <c r="J3813" s="4" t="n">
        <v>2.2</v>
      </c>
      <c r="K3813" s="3" t="inlineStr">
        <is>
          <t>급매, 총 4필지, 임야 토지매매, 농림지역</t>
        </is>
      </c>
      <c r="L3813" s="6">
        <f>HYPERLINK("https://fin.land.naver.com/articles/2644544076", "매물Link")</f>
        <v/>
      </c>
      <c r="M3813" s="6">
        <f>HYPERLINK("https://map.naver.com/p/search/세종특별자치시 연서면 용암리 산28-13", "지도Link")</f>
        <v/>
      </c>
      <c r="N3813" s="6">
        <f>HYPERLINK("http://www.eum.go.kr/web/ar/lu/luLandDet.jsp?pnu=3611036025200280013&amp;isNoScr=script&amp;mode=search", "토지이음")</f>
        <v/>
      </c>
      <c r="O3813" s="3" t="inlineStr">
        <is>
          <t>세종무지개</t>
        </is>
      </c>
      <c r="P3813" s="3" t="n">
        <v>1</v>
      </c>
      <c r="Q3813" s="3" t="n">
        <v>20765</v>
      </c>
      <c r="R3813" s="3" t="inlineStr">
        <is>
          <t>지정되지않음</t>
        </is>
      </c>
      <c r="S3813" s="3" t="inlineStr">
        <is>
          <t>자연림</t>
        </is>
      </c>
      <c r="T3813" s="3" t="inlineStr">
        <is>
          <t>급경사</t>
        </is>
      </c>
      <c r="U3813" s="3" t="inlineStr">
        <is>
          <t>부정형</t>
        </is>
      </c>
      <c r="V3813" s="3" t="inlineStr">
        <is>
          <t>맹지</t>
        </is>
      </c>
    </row>
    <row r="3814">
      <c r="A3814" s="3" t="inlineStr">
        <is>
          <t>세종특별자치시 연서면 용암리 산28-16</t>
        </is>
      </c>
      <c r="B3814" s="3" t="inlineStr">
        <is>
          <t>농림지역</t>
        </is>
      </c>
      <c r="C3814" s="3" t="inlineStr">
        <is>
          <t>임야</t>
        </is>
      </c>
      <c r="D3814" s="3" t="inlineStr">
        <is>
          <t>임야</t>
        </is>
      </c>
      <c r="E3814" s="3" t="inlineStr">
        <is>
          <t>매매</t>
        </is>
      </c>
      <c r="F3814" s="4" t="n">
        <v>73000</v>
      </c>
      <c r="G3814" s="4" t="n">
        <v>3377</v>
      </c>
      <c r="H3814" s="4" t="n">
        <v>1022</v>
      </c>
      <c r="I3814" s="5" t="n">
        <v>71.40000000000001</v>
      </c>
      <c r="J3814" s="4" t="n">
        <v>2.3</v>
      </c>
      <c r="K3814" s="3" t="inlineStr">
        <is>
          <t>세종 연서면 약 10만평 대규모 토지 통매매｜대단위 부지 찾는 분 주목</t>
        </is>
      </c>
      <c r="L3814" s="6">
        <f>HYPERLINK("https://fin.land.naver.com/articles/2646226640", "매물Link")</f>
        <v/>
      </c>
      <c r="M3814" s="6">
        <f>HYPERLINK("https://map.naver.com/p/search/세종특별자치시 연서면 용암리 산28-16", "지도Link")</f>
        <v/>
      </c>
      <c r="N3814" s="6">
        <f>HYPERLINK("http://www.eum.go.kr/web/ar/lu/luLandDet.jsp?pnu=3611036025200280016&amp;isNoScr=script&amp;mode=search", "토지이음")</f>
        <v/>
      </c>
      <c r="O3814" s="3" t="inlineStr">
        <is>
          <t>세종몽땅</t>
        </is>
      </c>
      <c r="P3814" s="3" t="n">
        <v>1</v>
      </c>
      <c r="Q3814" s="3" t="n">
        <v>1512</v>
      </c>
      <c r="R3814" s="3" t="inlineStr">
        <is>
          <t>지정되지않음</t>
        </is>
      </c>
      <c r="S3814" s="3" t="inlineStr">
        <is>
          <t>자연림</t>
        </is>
      </c>
      <c r="T3814" s="3" t="inlineStr">
        <is>
          <t>급경사</t>
        </is>
      </c>
      <c r="U3814" s="3" t="inlineStr">
        <is>
          <t>부정형</t>
        </is>
      </c>
      <c r="V3814" s="3" t="inlineStr">
        <is>
          <t>맹지</t>
        </is>
      </c>
    </row>
    <row r="3815">
      <c r="A3815" s="3" t="inlineStr">
        <is>
          <t>세종특별자치시 연서면 월하리 1024-2</t>
        </is>
      </c>
      <c r="B3815" s="3" t="inlineStr">
        <is>
          <t>자연녹지지역</t>
        </is>
      </c>
      <c r="C3815" s="3" t="inlineStr">
        <is>
          <t>답</t>
        </is>
      </c>
      <c r="D3815" s="3" t="inlineStr">
        <is>
          <t>답</t>
        </is>
      </c>
      <c r="E3815" s="3" t="inlineStr">
        <is>
          <t>매매</t>
        </is>
      </c>
      <c r="F3815" s="4" t="n">
        <v>44000</v>
      </c>
      <c r="G3815" s="4" t="n">
        <v>926</v>
      </c>
      <c r="H3815" s="4" t="n">
        <v>280</v>
      </c>
      <c r="I3815" s="5" t="n">
        <v>157.1</v>
      </c>
      <c r="J3815" s="4" t="n">
        <v>95.59999999999999</v>
      </c>
      <c r="K3815" s="3" t="inlineStr">
        <is>
          <t>도심 가까운 여유있는 텃밭 공공택지 개발지 인근</t>
        </is>
      </c>
      <c r="L3815" s="6">
        <f>HYPERLINK("https://fin.land.naver.com/articles/2645359652", "매물Link")</f>
        <v/>
      </c>
      <c r="M3815" s="6">
        <f>HYPERLINK("https://map.naver.com/p/search/세종특별자치시 연서면 월하리 1024-2", "지도Link")</f>
        <v/>
      </c>
      <c r="N3815" s="6">
        <f>HYPERLINK("http://www.eum.go.kr/web/ar/lu/luLandDet.jsp?pnu=3611036021110240002&amp;isNoScr=script&amp;mode=search", "토지이음")</f>
        <v/>
      </c>
      <c r="O3815" s="3" t="inlineStr">
        <is>
          <t>지성</t>
        </is>
      </c>
      <c r="P3815" s="3" t="n">
        <v>1</v>
      </c>
      <c r="Q3815" s="3" t="n">
        <v>926</v>
      </c>
      <c r="R3815" s="3" t="inlineStr">
        <is>
          <t>지정되지않음</t>
        </is>
      </c>
      <c r="S3815" s="3" t="inlineStr">
        <is>
          <t>전</t>
        </is>
      </c>
      <c r="T3815" s="3" t="inlineStr">
        <is>
          <t>평지</t>
        </is>
      </c>
      <c r="U3815" s="3" t="inlineStr">
        <is>
          <t>사다리형</t>
        </is>
      </c>
      <c r="V3815" s="3" t="inlineStr">
        <is>
          <t>세로한면(불)</t>
        </is>
      </c>
    </row>
    <row r="3816">
      <c r="A3816" s="3" t="inlineStr">
        <is>
          <t>세종특별자치시 연서면 월하리 1035-2</t>
        </is>
      </c>
      <c r="B3816" s="3" t="inlineStr">
        <is>
          <t>자연녹지지역</t>
        </is>
      </c>
      <c r="C3816" s="3" t="inlineStr">
        <is>
          <t>과수원</t>
        </is>
      </c>
      <c r="D3816" s="3" t="inlineStr">
        <is>
          <t>과수원</t>
        </is>
      </c>
      <c r="E3816" s="3" t="inlineStr">
        <is>
          <t>매매</t>
        </is>
      </c>
      <c r="F3816" s="4" t="n">
        <v>176000</v>
      </c>
      <c r="G3816" s="4" t="n">
        <v>1455</v>
      </c>
      <c r="H3816" s="4" t="n">
        <v>440</v>
      </c>
      <c r="I3816" s="5" t="n">
        <v>400</v>
      </c>
      <c r="J3816" s="4" t="n">
        <v>113</v>
      </c>
      <c r="K3816" s="3" t="inlineStr">
        <is>
          <t>연서면 월하리 2차선, 4차선 계획 예정 도로에 접한 투자가치 좋은 급매</t>
        </is>
      </c>
      <c r="L3816" s="6">
        <f>HYPERLINK("https://fin.land.naver.com/articles/2646728467", "매물Link")</f>
        <v/>
      </c>
      <c r="M3816" s="6">
        <f>HYPERLINK("https://map.naver.com/p/search/세종특별자치시 연서면 월하리 1035-2", "지도Link")</f>
        <v/>
      </c>
      <c r="N3816" s="6">
        <f>HYPERLINK("http://www.eum.go.kr/web/ar/lu/luLandDet.jsp?pnu=3611036021110350002&amp;isNoScr=script&amp;mode=search", "토지이음")</f>
        <v/>
      </c>
      <c r="O3816" s="3" t="inlineStr">
        <is>
          <t>스마일세종</t>
        </is>
      </c>
      <c r="P3816" s="3" t="n">
        <v>1</v>
      </c>
      <c r="Q3816" s="3" t="n">
        <v>1455</v>
      </c>
      <c r="R3816" s="3" t="inlineStr">
        <is>
          <t>지정되지않음</t>
        </is>
      </c>
      <c r="S3816" s="3" t="inlineStr">
        <is>
          <t>과수원</t>
        </is>
      </c>
      <c r="T3816" s="3" t="inlineStr">
        <is>
          <t>평지</t>
        </is>
      </c>
      <c r="U3816" s="3" t="inlineStr">
        <is>
          <t>부정형</t>
        </is>
      </c>
      <c r="V3816" s="3" t="inlineStr">
        <is>
          <t>소로한면</t>
        </is>
      </c>
    </row>
    <row r="3817">
      <c r="A3817" s="3" t="inlineStr">
        <is>
          <t>세종특별자치시 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HYPERLINK("https://map.naver.com/p/search/세종특별자치시 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세종특별자치시 연서면 월하리 1055-1</t>
        </is>
      </c>
      <c r="B3818" s="3" t="inlineStr">
        <is>
          <t>자연녹지지역</t>
        </is>
      </c>
      <c r="C3818" s="3" t="inlineStr">
        <is>
          <t>답</t>
        </is>
      </c>
      <c r="D3818" s="3" t="inlineStr">
        <is>
          <t>답</t>
        </is>
      </c>
      <c r="E3818" s="3" t="inlineStr">
        <is>
          <t>매매</t>
        </is>
      </c>
      <c r="F3818" s="4" t="n">
        <v>200000</v>
      </c>
      <c r="G3818" s="4" t="n">
        <v>1653</v>
      </c>
      <c r="H3818" s="4" t="n">
        <v>500</v>
      </c>
      <c r="I3818" s="5" t="n">
        <v>400</v>
      </c>
      <c r="J3818" s="4" t="n">
        <v>96.59999999999999</v>
      </c>
      <c r="K3818" s="3" t="inlineStr">
        <is>
          <t>nan</t>
        </is>
      </c>
      <c r="L3818" s="6">
        <f>HYPERLINK("https://fin.land.naver.com/articles/2649692747", "매물Link")</f>
        <v/>
      </c>
      <c r="M3818" s="6">
        <f>HYPERLINK("https://map.naver.com/p/search/세종특별자치시 연서면 월하리 1055-1", "지도Link")</f>
        <v/>
      </c>
      <c r="N3818" s="6">
        <f>HYPERLINK("http://www.eum.go.kr/web/ar/lu/luLandDet.jsp?pnu=3611036021110550001&amp;isNoScr=script&amp;mode=search", "토지이음")</f>
        <v/>
      </c>
      <c r="O3818" s="3" t="inlineStr">
        <is>
          <t>온뜰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세종특별자치시 연서면 월하리 1055-1</t>
        </is>
      </c>
      <c r="B3819" s="3" t="inlineStr">
        <is>
          <t>자연녹지지역</t>
        </is>
      </c>
      <c r="C3819" s="3" t="inlineStr">
        <is>
          <t>답</t>
        </is>
      </c>
      <c r="D3819" s="3" t="inlineStr">
        <is>
          <t>답</t>
        </is>
      </c>
      <c r="E3819" s="3" t="inlineStr">
        <is>
          <t>매매</t>
        </is>
      </c>
      <c r="F3819" s="4" t="n">
        <v>330000</v>
      </c>
      <c r="G3819" s="4" t="n">
        <v>3712</v>
      </c>
      <c r="H3819" s="4" t="n">
        <v>1123</v>
      </c>
      <c r="I3819" s="5" t="n">
        <v>293.9</v>
      </c>
      <c r="J3819" s="4" t="n">
        <v>96.59999999999999</v>
      </c>
      <c r="K3819" s="3" t="inlineStr">
        <is>
          <t>세종 조치원 공공주택지구 인근 투자용 토지 매매</t>
        </is>
      </c>
      <c r="L3819" s="6">
        <f>HYPERLINK("https://fin.land.naver.com/articles/2649466633", "매물Link")</f>
        <v/>
      </c>
      <c r="M3819" s="6">
        <f>HYPERLINK("https://map.naver.com/p/search/세종특별자치시 연서면 월하리 1055-1", "지도Link")</f>
        <v/>
      </c>
      <c r="N3819" s="6">
        <f>HYPERLINK("http://www.eum.go.kr/web/ar/lu/luLandDet.jsp?pnu=3611036021110550001&amp;isNoScr=script&amp;mode=search", "토지이음")</f>
        <v/>
      </c>
      <c r="O3819" s="3" t="inlineStr">
        <is>
          <t>(주)해뜰터</t>
        </is>
      </c>
      <c r="P3819" s="3" t="n">
        <v>1</v>
      </c>
      <c r="Q3819" s="3" t="n">
        <v>3712</v>
      </c>
      <c r="R3819" s="3" t="inlineStr">
        <is>
          <t>지정되지않음</t>
        </is>
      </c>
      <c r="S3819" s="3" t="inlineStr">
        <is>
          <t>답</t>
        </is>
      </c>
      <c r="T3819" s="3" t="inlineStr">
        <is>
          <t>평지</t>
        </is>
      </c>
      <c r="U3819" s="3" t="inlineStr">
        <is>
          <t>부정형</t>
        </is>
      </c>
      <c r="V3819" s="3" t="inlineStr">
        <is>
          <t>세로한면(가)</t>
        </is>
      </c>
    </row>
    <row r="3820">
      <c r="A3820" s="3" t="inlineStr">
        <is>
          <t>세종특별자치시 연서면 월하리 1056</t>
        </is>
      </c>
      <c r="B3820" s="3" t="inlineStr">
        <is>
          <t>자연녹지지역</t>
        </is>
      </c>
      <c r="C3820" s="3" t="inlineStr">
        <is>
          <t>답</t>
        </is>
      </c>
      <c r="D3820" s="3" t="inlineStr">
        <is>
          <t>답</t>
        </is>
      </c>
      <c r="E3820" s="3" t="inlineStr">
        <is>
          <t>매매</t>
        </is>
      </c>
      <c r="F3820" s="4" t="n">
        <v>247000</v>
      </c>
      <c r="G3820" s="4" t="n">
        <v>4087</v>
      </c>
      <c r="H3820" s="4" t="n">
        <v>1236</v>
      </c>
      <c r="I3820" s="5" t="n">
        <v>199.8</v>
      </c>
      <c r="J3820" s="4" t="n">
        <v>96.59999999999999</v>
      </c>
      <c r="K3820" s="3" t="inlineStr">
        <is>
          <t>월하리 포장도로 접한 자연녹지지역 밭으로 이용. 총 4필지로 급매.</t>
        </is>
      </c>
      <c r="L3820" s="6">
        <f>HYPERLINK("https://fin.land.naver.com/articles/2649104014", "매물Link")</f>
        <v/>
      </c>
      <c r="M3820" s="6">
        <f>HYPERLINK("https://map.naver.com/p/search/세종특별자치시 연서면 월하리 1056", "지도Link")</f>
        <v/>
      </c>
      <c r="N3820" s="6">
        <f>HYPERLINK("http://www.eum.go.kr/web/ar/lu/luLandDet.jsp?pnu=3611036021110560000&amp;isNoScr=script&amp;mode=search", "토지이음")</f>
        <v/>
      </c>
      <c r="O3820" s="3" t="inlineStr">
        <is>
          <t>세종대장</t>
        </is>
      </c>
      <c r="P3820" s="3" t="n">
        <v>1</v>
      </c>
      <c r="Q3820" s="3" t="n">
        <v>2086</v>
      </c>
      <c r="R3820" s="3" t="inlineStr">
        <is>
          <t>지정되지않음</t>
        </is>
      </c>
      <c r="S3820" s="3" t="inlineStr">
        <is>
          <t>답</t>
        </is>
      </c>
      <c r="T3820" s="3" t="inlineStr">
        <is>
          <t>평지</t>
        </is>
      </c>
      <c r="U3820" s="3" t="inlineStr">
        <is>
          <t>부정형</t>
        </is>
      </c>
      <c r="V3820" s="3" t="inlineStr">
        <is>
          <t>세로한면(가)</t>
        </is>
      </c>
    </row>
    <row r="3821">
      <c r="A3821" s="3" t="inlineStr">
        <is>
          <t>세종특별자치시 연서면 월하리 1103-51</t>
        </is>
      </c>
      <c r="B3821" s="3" t="inlineStr">
        <is>
          <t>자연녹지지역</t>
        </is>
      </c>
      <c r="C3821" s="3" t="inlineStr">
        <is>
          <t>과수원</t>
        </is>
      </c>
      <c r="D3821" s="3" t="inlineStr">
        <is>
          <t>과수원</t>
        </is>
      </c>
      <c r="E3821" s="3" t="inlineStr">
        <is>
          <t>매매</t>
        </is>
      </c>
      <c r="F3821" s="4" t="n">
        <v>150000</v>
      </c>
      <c r="G3821" s="4" t="n">
        <v>3313</v>
      </c>
      <c r="H3821" s="4" t="n">
        <v>1002</v>
      </c>
      <c r="I3821" s="5" t="n">
        <v>149.7</v>
      </c>
      <c r="J3821" s="4" t="n">
        <v>72.2</v>
      </c>
      <c r="K3821" s="3" t="inlineStr">
        <is>
          <t>조치원 공공택지 개발지 인근</t>
        </is>
      </c>
      <c r="L3821" s="6">
        <f>HYPERLINK("https://fin.land.naver.com/articles/2650022169", "매물Link")</f>
        <v/>
      </c>
      <c r="M3821" s="6">
        <f>HYPERLINK("https://map.naver.com/p/search/세종특별자치시 연서면 월하리 1103-51", "지도Link")</f>
        <v/>
      </c>
      <c r="N3821" s="6">
        <f>HYPERLINK("http://www.eum.go.kr/web/ar/lu/luLandDet.jsp?pnu=3611036021111030051&amp;isNoScr=script&amp;mode=search", "토지이음")</f>
        <v/>
      </c>
      <c r="O3821" s="3" t="inlineStr">
        <is>
          <t>나릿재OK</t>
        </is>
      </c>
      <c r="P3821" s="3" t="n">
        <v>1</v>
      </c>
      <c r="Q3821" s="3" t="n">
        <v>3313</v>
      </c>
      <c r="R3821" s="3" t="inlineStr">
        <is>
          <t>지정되지않음</t>
        </is>
      </c>
      <c r="S3821" s="3" t="inlineStr">
        <is>
          <t>과수원</t>
        </is>
      </c>
      <c r="T3821" s="3" t="inlineStr">
        <is>
          <t>완경사</t>
        </is>
      </c>
      <c r="U3821" s="3" t="inlineStr">
        <is>
          <t>부정형</t>
        </is>
      </c>
      <c r="V3821" s="3" t="inlineStr">
        <is>
          <t>맹지</t>
        </is>
      </c>
    </row>
    <row r="3822">
      <c r="A3822" s="3" t="inlineStr">
        <is>
          <t>세종특별자치시 연서면 월하리 1103-54</t>
        </is>
      </c>
      <c r="B3822" s="3" t="inlineStr">
        <is>
          <t>자연녹지지역</t>
        </is>
      </c>
      <c r="C3822" s="3" t="inlineStr">
        <is>
          <t>과수원</t>
        </is>
      </c>
      <c r="D3822" s="3" t="inlineStr">
        <is>
          <t>과수원</t>
        </is>
      </c>
      <c r="E3822" s="3" t="inlineStr">
        <is>
          <t>매매</t>
        </is>
      </c>
      <c r="F3822" s="4" t="n">
        <v>180000</v>
      </c>
      <c r="G3822" s="4" t="n">
        <v>1676</v>
      </c>
      <c r="H3822" s="4" t="n">
        <v>507</v>
      </c>
      <c r="I3822" s="5" t="n">
        <v>355</v>
      </c>
      <c r="J3822" s="4" t="n">
        <v>121.8</v>
      </c>
      <c r="K3822" s="3" t="inlineStr">
        <is>
          <t>2차선 도로에 접해 있어 근생 부지로 적합한 도시지역 자연녹지의 과수원</t>
        </is>
      </c>
      <c r="L3822" s="6">
        <f>HYPERLINK("https://fin.land.naver.com/articles/2645638593", "매물Link")</f>
        <v/>
      </c>
      <c r="M3822" s="6">
        <f>HYPERLINK("https://map.naver.com/p/search/세종특별자치시 연서면 월하리 1103-54", "지도Link")</f>
        <v/>
      </c>
      <c r="N3822" s="6">
        <f>HYPERLINK("http://www.eum.go.kr/web/ar/lu/luLandDet.jsp?pnu=3611036021111030054&amp;isNoScr=script&amp;mode=search", "토지이음")</f>
        <v/>
      </c>
      <c r="O3822" s="3" t="inlineStr">
        <is>
          <t>스마일세종</t>
        </is>
      </c>
      <c r="P3822" s="3" t="n">
        <v>1</v>
      </c>
      <c r="Q3822" s="3" t="n">
        <v>1676</v>
      </c>
      <c r="R3822" s="3" t="inlineStr">
        <is>
          <t>지정되지않음</t>
        </is>
      </c>
      <c r="S3822" s="3" t="inlineStr">
        <is>
          <t>과수원</t>
        </is>
      </c>
      <c r="T3822" s="3" t="inlineStr">
        <is>
          <t>평지</t>
        </is>
      </c>
      <c r="U3822" s="3" t="inlineStr">
        <is>
          <t>부정형</t>
        </is>
      </c>
      <c r="V3822" s="3" t="inlineStr">
        <is>
          <t>소로한면</t>
        </is>
      </c>
    </row>
    <row r="3823">
      <c r="A3823" s="3" t="inlineStr">
        <is>
          <t>세종특별자치시 연서면 월하리 1110-1</t>
        </is>
      </c>
      <c r="B3823" s="3" t="inlineStr">
        <is>
          <t>자연녹지지역</t>
        </is>
      </c>
      <c r="C3823" s="3" t="inlineStr">
        <is>
          <t>전</t>
        </is>
      </c>
      <c r="D3823" s="3" t="inlineStr">
        <is>
          <t>대</t>
        </is>
      </c>
      <c r="E3823" s="3" t="inlineStr">
        <is>
          <t>매매</t>
        </is>
      </c>
      <c r="F3823" s="4" t="n">
        <v>190000</v>
      </c>
      <c r="G3823" s="4" t="n">
        <v>7242</v>
      </c>
      <c r="H3823" s="4" t="n">
        <v>2191</v>
      </c>
      <c r="I3823" s="5" t="n">
        <v>86.7</v>
      </c>
      <c r="J3823" s="4" t="n">
        <v>69.59999999999999</v>
      </c>
      <c r="K3823" s="3" t="inlineStr">
        <is>
          <t>시세저렴 공시지가 연서면 월하리 과수원 및 대지</t>
        </is>
      </c>
      <c r="L3823" s="6">
        <f>HYPERLINK("https://fin.land.naver.com/articles/2649446319", "매물Link")</f>
        <v/>
      </c>
      <c r="M3823" s="6">
        <f>HYPERLINK("https://map.naver.com/p/search/세종특별자치시 연서면 월하리 1110-1", "지도Link")</f>
        <v/>
      </c>
      <c r="N3823" s="6">
        <f>HYPERLINK("http://www.eum.go.kr/web/ar/lu/luLandDet.jsp?pnu=3611036021111100001&amp;isNoScr=script&amp;mode=search", "토지이음")</f>
        <v/>
      </c>
      <c r="O3823" s="3" t="inlineStr">
        <is>
          <t>명당</t>
        </is>
      </c>
      <c r="P3823" s="3" t="n">
        <v>1</v>
      </c>
      <c r="Q3823" s="3" t="n">
        <v>4326</v>
      </c>
      <c r="R3823" s="3" t="inlineStr">
        <is>
          <t>지정되지않음</t>
        </is>
      </c>
      <c r="S3823" s="3" t="inlineStr">
        <is>
          <t>과수원</t>
        </is>
      </c>
      <c r="T3823" s="3" t="inlineStr">
        <is>
          <t>완경사</t>
        </is>
      </c>
      <c r="U3823" s="3" t="inlineStr">
        <is>
          <t>부정형</t>
        </is>
      </c>
      <c r="V3823" s="3" t="inlineStr">
        <is>
          <t>맹지</t>
        </is>
      </c>
    </row>
    <row r="3824">
      <c r="A3824" s="3" t="inlineStr">
        <is>
          <t>세종특별자치시 연서면 월하리 1138-4</t>
        </is>
      </c>
      <c r="B3824" s="3" t="inlineStr">
        <is>
          <t>자연녹지지역</t>
        </is>
      </c>
      <c r="C3824" s="3" t="inlineStr">
        <is>
          <t>전</t>
        </is>
      </c>
      <c r="D3824" s="3" t="inlineStr">
        <is>
          <t>전</t>
        </is>
      </c>
      <c r="E3824" s="3" t="inlineStr">
        <is>
          <t>매매</t>
        </is>
      </c>
      <c r="F3824" s="4" t="n">
        <v>68000</v>
      </c>
      <c r="G3824" s="4" t="n">
        <v>1818</v>
      </c>
      <c r="H3824" s="4" t="n">
        <v>550</v>
      </c>
      <c r="I3824" s="5" t="n">
        <v>123.6</v>
      </c>
      <c r="J3824" s="4" t="n">
        <v>69.59999999999999</v>
      </c>
      <c r="K3824" s="3" t="inlineStr">
        <is>
          <t>위치가 좋은 토지</t>
        </is>
      </c>
      <c r="L3824" s="6">
        <f>HYPERLINK("https://fin.land.naver.com/articles/2648555111", "매물Link")</f>
        <v/>
      </c>
      <c r="M3824" s="6">
        <f>HYPERLINK("https://map.naver.com/p/search/세종특별자치시 연서면 월하리 1138-4", "지도Link")</f>
        <v/>
      </c>
      <c r="N3824" s="6">
        <f>HYPERLINK("http://www.eum.go.kr/web/ar/lu/luLandDet.jsp?pnu=3611036021111380004&amp;isNoScr=script&amp;mode=search", "토지이음")</f>
        <v/>
      </c>
      <c r="O3824" s="3" t="inlineStr">
        <is>
          <t>세종리츠</t>
        </is>
      </c>
      <c r="P3824" s="3" t="n">
        <v>1</v>
      </c>
      <c r="Q3824" s="3" t="n">
        <v>1818</v>
      </c>
      <c r="R3824" s="3" t="inlineStr">
        <is>
          <t>지정되지않음</t>
        </is>
      </c>
      <c r="S3824" s="3" t="inlineStr">
        <is>
          <t>전</t>
        </is>
      </c>
      <c r="T3824" s="3" t="inlineStr">
        <is>
          <t>완경사</t>
        </is>
      </c>
      <c r="U3824" s="3" t="inlineStr">
        <is>
          <t>부정형</t>
        </is>
      </c>
      <c r="V3824" s="3" t="inlineStr">
        <is>
          <t>맹지</t>
        </is>
      </c>
    </row>
    <row r="3825">
      <c r="A3825" s="3" t="inlineStr">
        <is>
          <t>세종특별자치시 연서면 월하리 1153</t>
        </is>
      </c>
      <c r="B3825" s="3" t="inlineStr">
        <is>
          <t>자연녹지지역</t>
        </is>
      </c>
      <c r="C3825" s="3" t="inlineStr">
        <is>
          <t>전</t>
        </is>
      </c>
      <c r="D3825" s="3" t="inlineStr">
        <is>
          <t>전</t>
        </is>
      </c>
      <c r="E3825" s="3" t="inlineStr">
        <is>
          <t>매매</t>
        </is>
      </c>
      <c r="F3825" s="4" t="n">
        <v>27500</v>
      </c>
      <c r="G3825" s="4" t="n">
        <v>826</v>
      </c>
      <c r="H3825" s="4" t="n">
        <v>250</v>
      </c>
      <c r="I3825" s="5" t="n">
        <v>110</v>
      </c>
      <c r="J3825" s="4" t="n">
        <v>113.1</v>
      </c>
      <c r="K3825" s="3" t="inlineStr">
        <is>
          <t>조치원 생활권 인접 도로접 자연녹지 토지</t>
        </is>
      </c>
      <c r="L3825" s="6">
        <f>HYPERLINK("https://fin.land.naver.com/articles/2648855584", "매물Link")</f>
        <v/>
      </c>
      <c r="M3825" s="6">
        <f>HYPERLINK("https://map.naver.com/p/search/세종특별자치시 연서면 월하리 1153", "지도Link")</f>
        <v/>
      </c>
      <c r="N3825" s="6">
        <f>HYPERLINK("http://www.eum.go.kr/web/ar/lu/luLandDet.jsp?pnu=3611036021111530000&amp;isNoScr=script&amp;mode=search", "토지이음")</f>
        <v/>
      </c>
      <c r="O3825" s="3" t="inlineStr">
        <is>
          <t>세종소담황금</t>
        </is>
      </c>
      <c r="P3825" s="3" t="n">
        <v>2</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세종특별자치시 연서면 월하리 1153</t>
        </is>
      </c>
      <c r="B3826" s="3" t="inlineStr">
        <is>
          <t>자연녹지지역</t>
        </is>
      </c>
      <c r="C3826" s="3" t="inlineStr">
        <is>
          <t>전</t>
        </is>
      </c>
      <c r="D3826" s="3" t="inlineStr">
        <is>
          <t>전</t>
        </is>
      </c>
      <c r="E3826" s="3" t="inlineStr">
        <is>
          <t>매매</t>
        </is>
      </c>
      <c r="F3826" s="4" t="n">
        <v>27500</v>
      </c>
      <c r="G3826" s="4" t="n">
        <v>828</v>
      </c>
      <c r="H3826" s="4" t="n">
        <v>250</v>
      </c>
      <c r="I3826" s="5" t="n">
        <v>110</v>
      </c>
      <c r="J3826" s="4" t="n">
        <v>113.1</v>
      </c>
      <c r="K3826" s="3" t="inlineStr">
        <is>
          <t>월하리 도시지역 자연녹지의 포장도로에 접한 농촌체류형 쉼터로 적합한 전</t>
        </is>
      </c>
      <c r="L3826" s="6">
        <f>HYPERLINK("https://fin.land.naver.com/articles/2649862201", "매물Link")</f>
        <v/>
      </c>
      <c r="M3826" s="6">
        <f>HYPERLINK("https://map.naver.com/p/search/세종특별자치시 연서면 월하리 1153", "지도Link")</f>
        <v/>
      </c>
      <c r="N3826" s="6">
        <f>HYPERLINK("http://www.eum.go.kr/web/ar/lu/luLandDet.jsp?pnu=3611036021111530000&amp;isNoScr=script&amp;mode=search", "토지이음")</f>
        <v/>
      </c>
      <c r="O3826" s="3" t="inlineStr">
        <is>
          <t>스마일세종</t>
        </is>
      </c>
      <c r="P3826" s="3" t="n">
        <v>4</v>
      </c>
      <c r="Q3826" s="3" t="n">
        <v>650</v>
      </c>
      <c r="R3826" s="3" t="inlineStr">
        <is>
          <t>지정되지않음</t>
        </is>
      </c>
      <c r="S3826" s="3" t="inlineStr">
        <is>
          <t>전축사</t>
        </is>
      </c>
      <c r="T3826" s="3" t="inlineStr">
        <is>
          <t>평지</t>
        </is>
      </c>
      <c r="U3826" s="3" t="inlineStr">
        <is>
          <t>부정형</t>
        </is>
      </c>
      <c r="V3826" s="3" t="inlineStr">
        <is>
          <t>세로한면(가)</t>
        </is>
      </c>
    </row>
    <row r="3827">
      <c r="A3827" s="3" t="inlineStr">
        <is>
          <t>세종특별자치시 연서면 월하리 1274</t>
        </is>
      </c>
      <c r="B3827" s="3" t="inlineStr">
        <is>
          <t>농림지역</t>
        </is>
      </c>
      <c r="C3827" s="3" t="inlineStr">
        <is>
          <t>답</t>
        </is>
      </c>
      <c r="D3827" s="3" t="inlineStr">
        <is>
          <t>답</t>
        </is>
      </c>
      <c r="E3827" s="3" t="inlineStr">
        <is>
          <t>매매</t>
        </is>
      </c>
      <c r="F3827" s="4" t="n">
        <v>50000</v>
      </c>
      <c r="G3827" s="4" t="n">
        <v>3263</v>
      </c>
      <c r="H3827" s="4" t="n">
        <v>987</v>
      </c>
      <c r="I3827" s="5" t="n">
        <v>50.7</v>
      </c>
      <c r="J3827" s="4" t="n">
        <v>33</v>
      </c>
      <c r="K3827" s="3" t="inlineStr">
        <is>
          <t>농림진흥구역 농지,코너각지, 도로 양면 접, 대토추천</t>
        </is>
      </c>
      <c r="L3827" s="6">
        <f>HYPERLINK("https://fin.land.naver.com/articles/2645595709", "매물Link")</f>
        <v/>
      </c>
      <c r="M3827" s="6">
        <f>HYPERLINK("https://map.naver.com/p/search/세종특별자치시 연서면 월하리 1274", "지도Link")</f>
        <v/>
      </c>
      <c r="N3827" s="6">
        <f>HYPERLINK("http://www.eum.go.kr/web/ar/lu/luLandDet.jsp?pnu=3611036021112740000&amp;isNoScr=script&amp;mode=search", "토지이음")</f>
        <v/>
      </c>
      <c r="O3827" s="3" t="inlineStr">
        <is>
          <t>신안무소</t>
        </is>
      </c>
      <c r="P3827" s="3" t="n">
        <v>1</v>
      </c>
      <c r="Q3827" s="3" t="n">
        <v>3263.7</v>
      </c>
      <c r="R3827" s="3" t="inlineStr">
        <is>
          <t>지정되지않음</t>
        </is>
      </c>
      <c r="S3827" s="3" t="inlineStr">
        <is>
          <t>답</t>
        </is>
      </c>
      <c r="T3827" s="3" t="inlineStr">
        <is>
          <t>평지</t>
        </is>
      </c>
      <c r="U3827" s="3" t="inlineStr">
        <is>
          <t>가로장방</t>
        </is>
      </c>
      <c r="V3827" s="3" t="inlineStr">
        <is>
          <t>세로한면(가)</t>
        </is>
      </c>
    </row>
    <row r="3828">
      <c r="A3828" s="3" t="inlineStr">
        <is>
          <t>세종특별자치시 연서면 월하리 15-1</t>
        </is>
      </c>
      <c r="B3828" s="3" t="inlineStr">
        <is>
          <t>자연녹지지역</t>
        </is>
      </c>
      <c r="C3828" s="3" t="inlineStr">
        <is>
          <t>대</t>
        </is>
      </c>
      <c r="D3828" s="3" t="inlineStr">
        <is>
          <t>대</t>
        </is>
      </c>
      <c r="E3828" s="3" t="inlineStr">
        <is>
          <t>매매</t>
        </is>
      </c>
      <c r="F3828" s="4" t="n">
        <v>20000</v>
      </c>
      <c r="G3828" s="4" t="n">
        <v>407</v>
      </c>
      <c r="H3828" s="4" t="n">
        <v>123</v>
      </c>
      <c r="I3828" s="5" t="n">
        <v>162.6</v>
      </c>
      <c r="J3828" s="4" t="n">
        <v>105.5</v>
      </c>
      <c r="K3828" s="3" t="inlineStr">
        <is>
          <t>nan</t>
        </is>
      </c>
      <c r="L3828" s="6">
        <f>HYPERLINK("https://fin.land.naver.com/articles/2648746259", "매물Link")</f>
        <v/>
      </c>
      <c r="M3828" s="6">
        <f>HYPERLINK("https://map.naver.com/p/search/세종특별자치시 연서면 월하리 15-1", "지도Link")</f>
        <v/>
      </c>
      <c r="N3828" s="6">
        <f>HYPERLINK("http://www.eum.go.kr/web/ar/lu/luLandDet.jsp?pnu=3611036021100150001&amp;isNoScr=script&amp;mode=search", "토지이음")</f>
        <v/>
      </c>
      <c r="O3828" s="3" t="inlineStr">
        <is>
          <t>용궁</t>
        </is>
      </c>
      <c r="P3828" s="3" t="n">
        <v>2</v>
      </c>
      <c r="Q3828" s="3" t="n">
        <v>407</v>
      </c>
      <c r="R3828" s="3" t="inlineStr">
        <is>
          <t>지정되지않음</t>
        </is>
      </c>
      <c r="S3828" s="3" t="inlineStr">
        <is>
          <t>단독</t>
        </is>
      </c>
      <c r="T3828" s="3" t="inlineStr">
        <is>
          <t>평지</t>
        </is>
      </c>
      <c r="U3828" s="3" t="inlineStr">
        <is>
          <t>사다리형</t>
        </is>
      </c>
      <c r="V3828" s="3" t="inlineStr">
        <is>
          <t>세로한면(가)</t>
        </is>
      </c>
    </row>
    <row r="3829">
      <c r="A3829" s="3" t="inlineStr">
        <is>
          <t>세종특별자치시 연서면 월하리 25-7</t>
        </is>
      </c>
      <c r="B3829" s="3" t="inlineStr">
        <is>
          <t>자연녹지지역</t>
        </is>
      </c>
      <c r="C3829" s="3" t="inlineStr">
        <is>
          <t>전</t>
        </is>
      </c>
      <c r="D3829" s="3" t="inlineStr">
        <is>
          <t>전</t>
        </is>
      </c>
      <c r="E3829" s="3" t="inlineStr">
        <is>
          <t>매매</t>
        </is>
      </c>
      <c r="F3829" s="4" t="n">
        <v>130000</v>
      </c>
      <c r="G3829" s="4" t="n">
        <v>1615</v>
      </c>
      <c r="H3829" s="4" t="n">
        <v>489</v>
      </c>
      <c r="I3829" s="5" t="n">
        <v>265.8</v>
      </c>
      <c r="J3829" s="4" t="n">
        <v>76.40000000000001</v>
      </c>
      <c r="K3829" s="3" t="inlineStr">
        <is>
          <t>미호강인근,주택부지포함,차도바로옆 금액최대협의</t>
        </is>
      </c>
      <c r="L3829" s="6">
        <f>HYPERLINK("https://fin.land.naver.com/articles/2648051944", "매물Link")</f>
        <v/>
      </c>
      <c r="M3829" s="6">
        <f>HYPERLINK("https://map.naver.com/p/search/세종특별자치시 연서면 월하리 25-7", "지도Link")</f>
        <v/>
      </c>
      <c r="N3829" s="6">
        <f>HYPERLINK("http://www.eum.go.kr/web/ar/lu/luLandDet.jsp?pnu=3611036021100250007&amp;isNoScr=script&amp;mode=search", "토지이음")</f>
        <v/>
      </c>
      <c r="O3829" s="3" t="inlineStr">
        <is>
          <t>세종새빛</t>
        </is>
      </c>
      <c r="P3829" s="3" t="n">
        <v>1</v>
      </c>
      <c r="Q3829" s="3" t="n">
        <v>1301</v>
      </c>
      <c r="R3829" s="3" t="inlineStr">
        <is>
          <t>지정되지않음</t>
        </is>
      </c>
      <c r="S3829" s="3" t="inlineStr">
        <is>
          <t>전</t>
        </is>
      </c>
      <c r="T3829" s="3" t="inlineStr">
        <is>
          <t>평지</t>
        </is>
      </c>
      <c r="U3829" s="3" t="inlineStr">
        <is>
          <t>부정형</t>
        </is>
      </c>
      <c r="V3829" s="3" t="inlineStr">
        <is>
          <t>세로한면(가)</t>
        </is>
      </c>
    </row>
    <row r="3830">
      <c r="A3830" s="3" t="inlineStr">
        <is>
          <t>세종특별자치시 연서면 월하리 27</t>
        </is>
      </c>
      <c r="B3830" s="3" t="inlineStr">
        <is>
          <t>자연녹지지역</t>
        </is>
      </c>
      <c r="C3830" s="3" t="inlineStr">
        <is>
          <t>답</t>
        </is>
      </c>
      <c r="D3830" s="3" t="inlineStr">
        <is>
          <t>답</t>
        </is>
      </c>
      <c r="E3830" s="3" t="inlineStr">
        <is>
          <t>매매</t>
        </is>
      </c>
      <c r="F3830" s="4" t="n">
        <v>132000</v>
      </c>
      <c r="G3830" s="4" t="n">
        <v>1746</v>
      </c>
      <c r="H3830" s="4" t="n">
        <v>528</v>
      </c>
      <c r="I3830" s="5" t="n">
        <v>250</v>
      </c>
      <c r="J3830" s="4" t="n">
        <v>75.7</v>
      </c>
      <c r="K3830" s="3" t="inlineStr">
        <is>
          <t>미호강변 오천자전거길 옆 카페나 주택지, 근생으로 개발해도 좋음</t>
        </is>
      </c>
      <c r="L3830" s="6">
        <f>HYPERLINK("https://fin.land.naver.com/articles/2645605477", "매물Link")</f>
        <v/>
      </c>
      <c r="M3830" s="6">
        <f>HYPERLINK("https://map.naver.com/p/search/세종특별자치시 연서면 월하리 27", "지도Link")</f>
        <v/>
      </c>
      <c r="N3830" s="6">
        <f>HYPERLINK("http://www.eum.go.kr/web/ar/lu/luLandDet.jsp?pnu=3611036021100270000&amp;isNoScr=script&amp;mode=search", "토지이음")</f>
        <v/>
      </c>
      <c r="O3830" s="3" t="inlineStr">
        <is>
          <t>미스터홈즈강남지사</t>
        </is>
      </c>
      <c r="P3830" s="3" t="n">
        <v>1</v>
      </c>
      <c r="Q3830" s="3" t="n">
        <v>983</v>
      </c>
      <c r="R3830" s="3" t="inlineStr">
        <is>
          <t>지정되지않음</t>
        </is>
      </c>
      <c r="S3830" s="3" t="inlineStr">
        <is>
          <t>답</t>
        </is>
      </c>
      <c r="T3830" s="3" t="inlineStr">
        <is>
          <t>평지</t>
        </is>
      </c>
      <c r="U3830" s="3" t="inlineStr">
        <is>
          <t>부정형</t>
        </is>
      </c>
      <c r="V3830" s="3" t="inlineStr">
        <is>
          <t>세로한면(가)</t>
        </is>
      </c>
    </row>
    <row r="3831">
      <c r="A3831" s="3" t="inlineStr">
        <is>
          <t>세종특별자치시 연서면 월하리 35-3</t>
        </is>
      </c>
      <c r="B3831" s="3" t="inlineStr">
        <is>
          <t>계획관리지역</t>
        </is>
      </c>
      <c r="C3831" s="3" t="inlineStr">
        <is>
          <t>공장용지</t>
        </is>
      </c>
      <c r="D3831" s="3" t="inlineStr">
        <is>
          <t>공장용지</t>
        </is>
      </c>
      <c r="E3831" s="3" t="inlineStr">
        <is>
          <t>매매</t>
        </is>
      </c>
      <c r="F3831" s="4" t="n">
        <v>69000</v>
      </c>
      <c r="G3831" s="4" t="n">
        <v>987</v>
      </c>
      <c r="H3831" s="4" t="n">
        <v>299</v>
      </c>
      <c r="I3831" s="5" t="n">
        <v>230.8</v>
      </c>
      <c r="J3831" s="4" t="n">
        <v>73.3</v>
      </c>
      <c r="K3831" s="3" t="inlineStr">
        <is>
          <t>공장부지, 299P, 주차6대, 1층 공장 건물 및 부속건물</t>
        </is>
      </c>
      <c r="L3831" s="6">
        <f>HYPERLINK("https://fin.land.naver.com/articles/2644870587", "매물Link")</f>
        <v/>
      </c>
      <c r="M3831" s="6">
        <f>HYPERLINK("https://map.naver.com/p/search/세종특별자치시 연서면 월하리 35-3", "지도Link")</f>
        <v/>
      </c>
      <c r="N3831" s="6">
        <f>HYPERLINK("http://www.eum.go.kr/web/ar/lu/luLandDet.jsp?pnu=3611036021100350003&amp;isNoScr=script&amp;mode=search", "토지이음")</f>
        <v/>
      </c>
      <c r="O3831" s="3" t="inlineStr">
        <is>
          <t>엄마와딸</t>
        </is>
      </c>
      <c r="P3831" s="3" t="n">
        <v>1</v>
      </c>
      <c r="Q3831" s="3" t="n">
        <v>987</v>
      </c>
      <c r="R3831" s="3" t="inlineStr">
        <is>
          <t>지정되지않음</t>
        </is>
      </c>
      <c r="S3831" s="3" t="inlineStr">
        <is>
          <t>공업용</t>
        </is>
      </c>
      <c r="T3831" s="3" t="inlineStr">
        <is>
          <t>평지</t>
        </is>
      </c>
      <c r="U3831" s="3" t="inlineStr">
        <is>
          <t>사다리형</t>
        </is>
      </c>
      <c r="V3831" s="3" t="inlineStr">
        <is>
          <t>세로한면(가)</t>
        </is>
      </c>
    </row>
    <row r="3832">
      <c r="A3832" s="3" t="inlineStr">
        <is>
          <t>세종특별자치시 연서면 월하리 35-7</t>
        </is>
      </c>
      <c r="B3832" s="3" t="inlineStr">
        <is>
          <t>계획관리지역</t>
        </is>
      </c>
      <c r="C3832" s="3" t="inlineStr">
        <is>
          <t>답</t>
        </is>
      </c>
      <c r="D3832" s="3" t="inlineStr">
        <is>
          <t>답</t>
        </is>
      </c>
      <c r="E3832" s="3" t="inlineStr">
        <is>
          <t>매매</t>
        </is>
      </c>
      <c r="F3832" s="4" t="n">
        <v>100000</v>
      </c>
      <c r="G3832" s="4" t="n">
        <v>1077</v>
      </c>
      <c r="H3832" s="4" t="n">
        <v>326</v>
      </c>
      <c r="I3832" s="5" t="n">
        <v>306.7</v>
      </c>
      <c r="J3832" s="4" t="n">
        <v>62.5</v>
      </c>
      <c r="K3832" s="3" t="inlineStr">
        <is>
          <t>미호강이 흐르는 경치 좋은 곳에 카페, 식당  상업용을 추천합니다.</t>
        </is>
      </c>
      <c r="L3832" s="6">
        <f>HYPERLINK("https://fin.land.naver.com/articles/2649621498", "매물Link")</f>
        <v/>
      </c>
      <c r="M3832" s="6">
        <f>HYPERLINK("https://map.naver.com/p/search/세종특별자치시 연서면 월하리 35-7", "지도Link")</f>
        <v/>
      </c>
      <c r="N3832" s="6">
        <f>HYPERLINK("http://www.eum.go.kr/web/ar/lu/luLandDet.jsp?pnu=3611036021100350007&amp;isNoScr=script&amp;mode=search", "토지이음")</f>
        <v/>
      </c>
      <c r="O3832" s="3" t="inlineStr">
        <is>
          <t>효자</t>
        </is>
      </c>
      <c r="P3832" s="3" t="n">
        <v>1</v>
      </c>
      <c r="Q3832" s="3" t="n">
        <v>1077</v>
      </c>
      <c r="R3832" s="3" t="inlineStr">
        <is>
          <t>지정되지않음</t>
        </is>
      </c>
      <c r="S3832" s="3" t="inlineStr">
        <is>
          <t>주거기타</t>
        </is>
      </c>
      <c r="T3832" s="3" t="inlineStr">
        <is>
          <t>평지</t>
        </is>
      </c>
      <c r="U3832" s="3" t="inlineStr">
        <is>
          <t>자루형</t>
        </is>
      </c>
      <c r="V3832" s="3" t="inlineStr">
        <is>
          <t>세로한면(가)</t>
        </is>
      </c>
    </row>
    <row r="3833">
      <c r="A3833" s="3" t="inlineStr">
        <is>
          <t>세종특별자치시 연서면 월하리 507-2</t>
        </is>
      </c>
      <c r="B3833" s="3" t="inlineStr">
        <is>
          <t>계획관리지역</t>
        </is>
      </c>
      <c r="C3833" s="3" t="inlineStr">
        <is>
          <t>대</t>
        </is>
      </c>
      <c r="D3833" s="3" t="inlineStr">
        <is>
          <t>대</t>
        </is>
      </c>
      <c r="E3833" s="3" t="inlineStr">
        <is>
          <t>매매</t>
        </is>
      </c>
      <c r="F3833" s="4" t="n">
        <v>320000</v>
      </c>
      <c r="G3833" s="4" t="n">
        <v>2647</v>
      </c>
      <c r="H3833" s="4" t="n">
        <v>801</v>
      </c>
      <c r="I3833" s="5" t="n">
        <v>399.5</v>
      </c>
      <c r="J3833" s="4" t="n">
        <v>264.4</v>
      </c>
      <c r="K3833" s="3" t="inlineStr">
        <is>
          <t>1번 국도에 인접한 근생 및 상업용 토지</t>
        </is>
      </c>
      <c r="L3833" s="6">
        <f>HYPERLINK("https://fin.land.naver.com/articles/2647392720", "매물Link")</f>
        <v/>
      </c>
      <c r="M3833" s="6">
        <f>HYPERLINK("https://map.naver.com/p/search/세종특별자치시 연서면 월하리 507-2", "지도Link")</f>
        <v/>
      </c>
      <c r="N3833" s="6">
        <f>HYPERLINK("http://www.eum.go.kr/web/ar/lu/luLandDet.jsp?pnu=3611036021105070002&amp;isNoScr=script&amp;mode=search", "토지이음")</f>
        <v/>
      </c>
      <c r="O3833" s="3" t="inlineStr">
        <is>
          <t>신와촌</t>
        </is>
      </c>
      <c r="P3833" s="3" t="n">
        <v>1</v>
      </c>
      <c r="Q3833" s="3" t="n">
        <v>1382</v>
      </c>
      <c r="R3833" s="3" t="inlineStr">
        <is>
          <t>지정되지않음</t>
        </is>
      </c>
      <c r="S3833" s="3" t="inlineStr">
        <is>
          <t>상업용</t>
        </is>
      </c>
      <c r="T3833" s="3" t="inlineStr">
        <is>
          <t>평지</t>
        </is>
      </c>
      <c r="U3833" s="3" t="inlineStr">
        <is>
          <t>자루형</t>
        </is>
      </c>
      <c r="V3833" s="3" t="inlineStr">
        <is>
          <t>세로한면(가)</t>
        </is>
      </c>
    </row>
    <row r="3834">
      <c r="A3834" s="3" t="inlineStr">
        <is>
          <t>세종특별자치시 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HYPERLINK("https://map.naver.com/p/search/세종특별자치시 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세종특별자치시 연서면 월하리 619</t>
        </is>
      </c>
      <c r="B3835" s="3" t="inlineStr">
        <is>
          <t>자연녹지지역</t>
        </is>
      </c>
      <c r="C3835" s="3" t="inlineStr">
        <is>
          <t>주차장</t>
        </is>
      </c>
      <c r="D3835" s="3" t="inlineStr">
        <is>
          <t>주차장</t>
        </is>
      </c>
      <c r="E3835" s="3" t="inlineStr">
        <is>
          <t>매매</t>
        </is>
      </c>
      <c r="F3835" s="4" t="n">
        <v>250000</v>
      </c>
      <c r="G3835" s="4" t="n">
        <v>2400</v>
      </c>
      <c r="H3835" s="4" t="n">
        <v>726</v>
      </c>
      <c r="I3835" s="5" t="n">
        <v>344.4</v>
      </c>
      <c r="J3835" s="4" t="n">
        <v>61.5</v>
      </c>
      <c r="K3835" s="3" t="inlineStr">
        <is>
          <t>명성공인, 월하리, 1번국도 가까운 활용도 좋은 추천 매물</t>
        </is>
      </c>
      <c r="L3835" s="6">
        <f>HYPERLINK("https://fin.land.naver.com/articles/2646316879", "매물Link")</f>
        <v/>
      </c>
      <c r="M3835" s="6">
        <f>HYPERLINK("https://map.naver.com/p/search/세종특별자치시 연서면 월하리 619", "지도Link")</f>
        <v/>
      </c>
      <c r="N3835" s="6">
        <f>HYPERLINK("http://www.eum.go.kr/web/ar/lu/luLandDet.jsp?pnu=3611036021106190000&amp;isNoScr=script&amp;mode=search", "토지이음")</f>
        <v/>
      </c>
      <c r="O3835" s="3" t="inlineStr">
        <is>
          <t>명성</t>
        </is>
      </c>
      <c r="P3835" s="3" t="n">
        <v>1</v>
      </c>
      <c r="Q3835" s="3" t="n">
        <v>963</v>
      </c>
      <c r="R3835" s="3" t="inlineStr">
        <is>
          <t>지정되지않음</t>
        </is>
      </c>
      <c r="S3835" s="3" t="inlineStr">
        <is>
          <t>주차장등</t>
        </is>
      </c>
      <c r="T3835" s="3" t="inlineStr">
        <is>
          <t>평지</t>
        </is>
      </c>
      <c r="U3835" s="3" t="inlineStr">
        <is>
          <t>사다리형</t>
        </is>
      </c>
      <c r="V3835" s="3" t="inlineStr">
        <is>
          <t>세로한면(가)</t>
        </is>
      </c>
    </row>
    <row r="3836">
      <c r="A3836" s="3" t="inlineStr">
        <is>
          <t>세종특별자치시 연서면 월하리 658-4</t>
        </is>
      </c>
      <c r="B3836" s="3" t="inlineStr">
        <is>
          <t>계획관리지역</t>
        </is>
      </c>
      <c r="C3836" s="3" t="inlineStr">
        <is>
          <t>전</t>
        </is>
      </c>
      <c r="D3836" s="3" t="inlineStr">
        <is>
          <t>전</t>
        </is>
      </c>
      <c r="E3836" s="3" t="inlineStr">
        <is>
          <t>매매</t>
        </is>
      </c>
      <c r="F3836" s="4" t="n">
        <v>98000</v>
      </c>
      <c r="G3836" s="4" t="n">
        <v>463</v>
      </c>
      <c r="H3836" s="4" t="n">
        <v>140</v>
      </c>
      <c r="I3836" s="5" t="n">
        <v>700</v>
      </c>
      <c r="J3836" s="4" t="n">
        <v>163.7</v>
      </c>
      <c r="K3836" s="3" t="inlineStr">
        <is>
          <t>도로 인접한  활용도 높은  토지 매매</t>
        </is>
      </c>
      <c r="L3836" s="6">
        <f>HYPERLINK("https://fin.land.naver.com/articles/2648014033", "매물Link")</f>
        <v/>
      </c>
      <c r="M3836" s="6">
        <f>HYPERLINK("https://map.naver.com/p/search/세종특별자치시 연서면 월하리 658-4", "지도Link")</f>
        <v/>
      </c>
      <c r="N3836" s="6">
        <f>HYPERLINK("http://www.eum.go.kr/web/ar/lu/luLandDet.jsp?pnu=3611036021106580004&amp;isNoScr=script&amp;mode=search", "토지이음")</f>
        <v/>
      </c>
      <c r="O3836" s="3" t="inlineStr">
        <is>
          <t>오송2단지창조</t>
        </is>
      </c>
      <c r="P3836" s="3" t="n">
        <v>1</v>
      </c>
      <c r="Q3836" s="3" t="n">
        <v>463</v>
      </c>
      <c r="R3836" s="3" t="inlineStr">
        <is>
          <t>지정되지않음</t>
        </is>
      </c>
      <c r="S3836" s="3" t="inlineStr">
        <is>
          <t>전</t>
        </is>
      </c>
      <c r="T3836" s="3" t="inlineStr">
        <is>
          <t>평지</t>
        </is>
      </c>
      <c r="U3836" s="3" t="inlineStr">
        <is>
          <t>사다리형</t>
        </is>
      </c>
      <c r="V3836" s="3" t="inlineStr">
        <is>
          <t>광대로한면</t>
        </is>
      </c>
    </row>
    <row r="3837">
      <c r="A3837" s="3" t="inlineStr">
        <is>
          <t>세종특별자치시 연서면 월하리 658-8</t>
        </is>
      </c>
      <c r="B3837" s="3" t="inlineStr">
        <is>
          <t>계획관리지역</t>
        </is>
      </c>
      <c r="C3837" s="3" t="inlineStr">
        <is>
          <t>전</t>
        </is>
      </c>
      <c r="D3837" s="3" t="inlineStr">
        <is>
          <t>전</t>
        </is>
      </c>
      <c r="E3837" s="3" t="inlineStr">
        <is>
          <t>매매</t>
        </is>
      </c>
      <c r="F3837" s="4" t="n">
        <v>87500</v>
      </c>
      <c r="G3837" s="4" t="n">
        <v>414</v>
      </c>
      <c r="H3837" s="4" t="n">
        <v>125</v>
      </c>
      <c r="I3837" s="5" t="n">
        <v>700</v>
      </c>
      <c r="J3837" s="4" t="n">
        <v>163.7</v>
      </c>
      <c r="K3837" s="3" t="inlineStr">
        <is>
          <t>대도로변에 위치해 있는 토지 매매</t>
        </is>
      </c>
      <c r="L3837" s="6">
        <f>HYPERLINK("https://fin.land.naver.com/articles/2648014288", "매물Link")</f>
        <v/>
      </c>
      <c r="M3837" s="6">
        <f>HYPERLINK("https://map.naver.com/p/search/세종특별자치시 연서면 월하리 658-8", "지도Link")</f>
        <v/>
      </c>
      <c r="N3837" s="6">
        <f>HYPERLINK("http://www.eum.go.kr/web/ar/lu/luLandDet.jsp?pnu=3611036021106580008&amp;isNoScr=script&amp;mode=search", "토지이음")</f>
        <v/>
      </c>
      <c r="O3837" s="3" t="inlineStr">
        <is>
          <t>오송2단지창조</t>
        </is>
      </c>
      <c r="P3837" s="3" t="n">
        <v>1</v>
      </c>
      <c r="Q3837" s="3" t="n">
        <v>414</v>
      </c>
      <c r="R3837" s="3" t="inlineStr">
        <is>
          <t>지정되지않음</t>
        </is>
      </c>
      <c r="S3837" s="3" t="inlineStr">
        <is>
          <t>전기타</t>
        </is>
      </c>
      <c r="T3837" s="3" t="inlineStr">
        <is>
          <t>평지</t>
        </is>
      </c>
      <c r="U3837" s="3" t="inlineStr">
        <is>
          <t>사다리형</t>
        </is>
      </c>
      <c r="V3837" s="3" t="inlineStr">
        <is>
          <t>광대로한면</t>
        </is>
      </c>
    </row>
    <row r="3838">
      <c r="A3838" s="3" t="inlineStr">
        <is>
          <t>세종특별자치시 연서면 월하리 663-38</t>
        </is>
      </c>
      <c r="B3838" s="3" t="inlineStr">
        <is>
          <t>자연녹지지역</t>
        </is>
      </c>
      <c r="C3838" s="3" t="inlineStr">
        <is>
          <t>전</t>
        </is>
      </c>
      <c r="D3838" s="3" t="inlineStr">
        <is>
          <t>전</t>
        </is>
      </c>
      <c r="E3838" s="3" t="inlineStr">
        <is>
          <t>매매</t>
        </is>
      </c>
      <c r="F3838" s="4" t="n">
        <v>474300</v>
      </c>
      <c r="G3838" s="4" t="n">
        <v>5229</v>
      </c>
      <c r="H3838" s="4" t="n">
        <v>1582</v>
      </c>
      <c r="I3838" s="5" t="n">
        <v>299.8</v>
      </c>
      <c r="J3838" s="4" t="n">
        <v>102.4</v>
      </c>
      <c r="K3838" s="3" t="inlineStr">
        <is>
          <t>위치 좋은 넓은 토지.연락주세요</t>
        </is>
      </c>
      <c r="L3838" s="6">
        <f>HYPERLINK("https://fin.land.naver.com/articles/2648522838", "매물Link")</f>
        <v/>
      </c>
      <c r="M3838" s="6">
        <f>HYPERLINK("https://map.naver.com/p/search/세종특별자치시 연서면 월하리 663-38", "지도Link")</f>
        <v/>
      </c>
      <c r="N3838" s="6">
        <f>HYPERLINK("http://www.eum.go.kr/web/ar/lu/luLandDet.jsp?pnu=3611036021106630038&amp;isNoScr=script&amp;mode=search", "토지이음")</f>
        <v/>
      </c>
      <c r="O3838" s="3" t="inlineStr">
        <is>
          <t>수자인</t>
        </is>
      </c>
      <c r="P3838" s="3" t="n">
        <v>1</v>
      </c>
      <c r="Q3838" s="3" t="n">
        <v>5222</v>
      </c>
      <c r="R3838" s="3" t="inlineStr">
        <is>
          <t>지정되지않음</t>
        </is>
      </c>
      <c r="S3838" s="3" t="inlineStr">
        <is>
          <t>전</t>
        </is>
      </c>
      <c r="T3838" s="3" t="inlineStr">
        <is>
          <t>평지</t>
        </is>
      </c>
      <c r="U3838" s="3" t="inlineStr">
        <is>
          <t>사다리형</t>
        </is>
      </c>
      <c r="V3838" s="3" t="inlineStr">
        <is>
          <t>세로한면(가)</t>
        </is>
      </c>
    </row>
    <row r="3839">
      <c r="A3839" s="3" t="inlineStr">
        <is>
          <t>세종특별자치시 연서면 월하리 707</t>
        </is>
      </c>
      <c r="B3839" s="3" t="inlineStr">
        <is>
          <t>자연녹지지역</t>
        </is>
      </c>
      <c r="C3839" s="3" t="inlineStr">
        <is>
          <t>답</t>
        </is>
      </c>
      <c r="D3839" s="3" t="inlineStr">
        <is>
          <t>답</t>
        </is>
      </c>
      <c r="E3839" s="3" t="inlineStr">
        <is>
          <t>매매</t>
        </is>
      </c>
      <c r="F3839" s="4" t="n">
        <v>252000</v>
      </c>
      <c r="G3839" s="4" t="n">
        <v>4637</v>
      </c>
      <c r="H3839" s="4" t="n">
        <v>1403</v>
      </c>
      <c r="I3839" s="5" t="n">
        <v>179.6</v>
      </c>
      <c r="J3839" s="4" t="n">
        <v>91.2</v>
      </c>
      <c r="K3839" s="3" t="inlineStr">
        <is>
          <t>코너 2차선에 접하고 향후 4차선 계획도로 예정임. 시세보다 저렴.</t>
        </is>
      </c>
      <c r="L3839" s="6">
        <f>HYPERLINK("https://fin.land.naver.com/articles/2649104055", "매물Link")</f>
        <v/>
      </c>
      <c r="M3839" s="6">
        <f>HYPERLINK("https://map.naver.com/p/search/세종특별자치시 연서면 월하리 707", "지도Link")</f>
        <v/>
      </c>
      <c r="N3839" s="6">
        <f>HYPERLINK("http://www.eum.go.kr/web/ar/lu/luLandDet.jsp?pnu=3611036021107070000&amp;isNoScr=script&amp;mode=search", "토지이음")</f>
        <v/>
      </c>
      <c r="O3839" s="3" t="inlineStr">
        <is>
          <t>세종대장</t>
        </is>
      </c>
      <c r="P3839" s="3" t="n">
        <v>1</v>
      </c>
      <c r="Q3839" s="3" t="n">
        <v>3838</v>
      </c>
      <c r="R3839" s="3" t="inlineStr">
        <is>
          <t>지정되지않음</t>
        </is>
      </c>
      <c r="S3839" s="3" t="inlineStr">
        <is>
          <t>전</t>
        </is>
      </c>
      <c r="T3839" s="3" t="inlineStr">
        <is>
          <t>평지</t>
        </is>
      </c>
      <c r="U3839" s="3" t="inlineStr">
        <is>
          <t>부정형</t>
        </is>
      </c>
      <c r="V3839" s="3" t="inlineStr">
        <is>
          <t>소로한면</t>
        </is>
      </c>
    </row>
    <row r="3840">
      <c r="A3840" s="3" t="inlineStr">
        <is>
          <t>세종특별자치시 연서면 월하리 730</t>
        </is>
      </c>
      <c r="B3840" s="3" t="inlineStr">
        <is>
          <t>자연녹지지역</t>
        </is>
      </c>
      <c r="C3840" s="3" t="inlineStr">
        <is>
          <t>답</t>
        </is>
      </c>
      <c r="D3840" s="3" t="inlineStr">
        <is>
          <t>답</t>
        </is>
      </c>
      <c r="E3840" s="3" t="inlineStr">
        <is>
          <t>매매</t>
        </is>
      </c>
      <c r="F3840" s="4" t="n">
        <v>196000</v>
      </c>
      <c r="G3840" s="4" t="n">
        <v>1856</v>
      </c>
      <c r="H3840" s="4" t="n">
        <v>561</v>
      </c>
      <c r="I3840" s="5" t="n">
        <v>349.4</v>
      </c>
      <c r="J3840" s="4" t="n">
        <v>121.8</v>
      </c>
      <c r="K3840" s="3" t="inlineStr">
        <is>
          <t>연서면 월하리 2차선  접한  자연녹지, 4차선계획도로이며 분할매매 가능</t>
        </is>
      </c>
      <c r="L3840" s="6">
        <f>HYPERLINK("https://fin.land.naver.com/articles/2644707618", "매물Link")</f>
        <v/>
      </c>
      <c r="M3840" s="6">
        <f>HYPERLINK("https://map.naver.com/p/search/세종특별자치시 연서면 월하리 730", "지도Link")</f>
        <v/>
      </c>
      <c r="N3840" s="6">
        <f>HYPERLINK("http://www.eum.go.kr/web/ar/lu/luLandDet.jsp?pnu=3611036021107300000&amp;isNoScr=script&amp;mode=search", "토지이음")</f>
        <v/>
      </c>
      <c r="O3840" s="3" t="inlineStr">
        <is>
          <t>the다올</t>
        </is>
      </c>
      <c r="P3840" s="3" t="n">
        <v>1</v>
      </c>
      <c r="Q3840" s="3" t="n">
        <v>1856</v>
      </c>
      <c r="R3840" s="3" t="inlineStr">
        <is>
          <t>지정되지않음</t>
        </is>
      </c>
      <c r="S3840" s="3" t="inlineStr">
        <is>
          <t>답</t>
        </is>
      </c>
      <c r="T3840" s="3" t="inlineStr">
        <is>
          <t>평지</t>
        </is>
      </c>
      <c r="U3840" s="3" t="inlineStr">
        <is>
          <t>부정형</t>
        </is>
      </c>
      <c r="V3840" s="3" t="inlineStr">
        <is>
          <t>소로한면</t>
        </is>
      </c>
    </row>
    <row r="3841">
      <c r="A3841" s="3" t="inlineStr">
        <is>
          <t>세종특별자치시 연서면 월하리 794-1</t>
        </is>
      </c>
      <c r="B3841" s="3" t="inlineStr">
        <is>
          <t>자연녹지지역</t>
        </is>
      </c>
      <c r="C3841" s="3" t="inlineStr">
        <is>
          <t>전</t>
        </is>
      </c>
      <c r="D3841" s="3" t="inlineStr">
        <is>
          <t>전</t>
        </is>
      </c>
      <c r="E3841" s="3" t="inlineStr">
        <is>
          <t>매매</t>
        </is>
      </c>
      <c r="F3841" s="4" t="n">
        <v>82000</v>
      </c>
      <c r="G3841" s="4" t="n">
        <v>845</v>
      </c>
      <c r="H3841" s="4" t="n">
        <v>256</v>
      </c>
      <c r="I3841" s="5" t="n">
        <v>320.3</v>
      </c>
      <c r="J3841" s="4" t="n">
        <v>128.3</v>
      </c>
      <c r="K3841" s="3" t="inlineStr">
        <is>
          <t>2차선변,월하리 토지매매.</t>
        </is>
      </c>
      <c r="L3841" s="6">
        <f>HYPERLINK("https://fin.land.naver.com/articles/2644147110", "매물Link")</f>
        <v/>
      </c>
      <c r="M3841" s="6">
        <f>HYPERLINK("https://map.naver.com/p/search/세종특별자치시 연서면 월하리 794-1", "지도Link")</f>
        <v/>
      </c>
      <c r="N3841" s="6">
        <f>HYPERLINK("http://www.eum.go.kr/web/ar/lu/luLandDet.jsp?pnu=3611036021107940001&amp;isNoScr=script&amp;mode=search", "토지이음")</f>
        <v/>
      </c>
      <c r="O3841" s="3" t="inlineStr">
        <is>
          <t>세종강산</t>
        </is>
      </c>
      <c r="P3841" s="3" t="n">
        <v>1</v>
      </c>
      <c r="Q3841" s="3" t="n">
        <v>845</v>
      </c>
      <c r="R3841" s="3" t="inlineStr">
        <is>
          <t>지정되지않음</t>
        </is>
      </c>
      <c r="S3841" s="3" t="inlineStr">
        <is>
          <t>전</t>
        </is>
      </c>
      <c r="T3841" s="3" t="inlineStr">
        <is>
          <t>평지</t>
        </is>
      </c>
      <c r="U3841" s="3" t="inlineStr">
        <is>
          <t>부정형</t>
        </is>
      </c>
      <c r="V3841" s="3" t="inlineStr">
        <is>
          <t>소로한면</t>
        </is>
      </c>
    </row>
    <row r="3842">
      <c r="A3842" s="3" t="inlineStr">
        <is>
          <t>세종특별자치시 연서면 월하리 809</t>
        </is>
      </c>
      <c r="B3842" s="3" t="inlineStr">
        <is>
          <t>자연녹지지역</t>
        </is>
      </c>
      <c r="C3842" s="3" t="inlineStr">
        <is>
          <t>대</t>
        </is>
      </c>
      <c r="D3842" s="3" t="inlineStr">
        <is>
          <t>대</t>
        </is>
      </c>
      <c r="E3842" s="3" t="inlineStr">
        <is>
          <t>매매</t>
        </is>
      </c>
      <c r="F3842" s="4" t="n">
        <v>48000</v>
      </c>
      <c r="G3842" s="4" t="n">
        <v>668</v>
      </c>
      <c r="H3842" s="4" t="n">
        <v>202</v>
      </c>
      <c r="I3842" s="5" t="n">
        <v>237.6</v>
      </c>
      <c r="J3842" s="4" t="n">
        <v>156.1</v>
      </c>
      <c r="K3842" s="3" t="inlineStr">
        <is>
          <t>월하리 2차선 도로접한 대지 급매. 자연취락지구로 토지거래허가구역임</t>
        </is>
      </c>
      <c r="L3842" s="6">
        <f>HYPERLINK("https://fin.land.naver.com/articles/2645640747", "매물Link")</f>
        <v/>
      </c>
      <c r="M3842" s="6">
        <f>HYPERLINK("https://map.naver.com/p/search/세종특별자치시 연서면 월하리 809", "지도Link")</f>
        <v/>
      </c>
      <c r="N3842" s="6">
        <f>HYPERLINK("http://www.eum.go.kr/web/ar/lu/luLandDet.jsp?pnu=3611036021108090000&amp;isNoScr=script&amp;mode=search", "토지이음")</f>
        <v/>
      </c>
      <c r="O3842" s="3" t="inlineStr">
        <is>
          <t>세종대장</t>
        </is>
      </c>
      <c r="P3842" s="3" t="n">
        <v>1</v>
      </c>
      <c r="Q3842" s="3" t="n">
        <v>668</v>
      </c>
      <c r="R3842" s="3" t="inlineStr">
        <is>
          <t>지정되지않음</t>
        </is>
      </c>
      <c r="S3842" s="3" t="inlineStr">
        <is>
          <t>단독</t>
        </is>
      </c>
      <c r="T3842" s="3" t="inlineStr">
        <is>
          <t>평지</t>
        </is>
      </c>
      <c r="U3842" s="3" t="inlineStr">
        <is>
          <t>부정형</t>
        </is>
      </c>
      <c r="V3842" s="3" t="inlineStr">
        <is>
          <t>소로한면</t>
        </is>
      </c>
    </row>
    <row r="3843">
      <c r="A3843" s="3" t="inlineStr">
        <is>
          <t>세종특별자치시 연서면 월하리 818-1</t>
        </is>
      </c>
      <c r="B3843" s="3" t="inlineStr">
        <is>
          <t>자연녹지지역</t>
        </is>
      </c>
      <c r="C3843" s="3" t="inlineStr">
        <is>
          <t>전</t>
        </is>
      </c>
      <c r="D3843" s="3" t="inlineStr">
        <is>
          <t>전</t>
        </is>
      </c>
      <c r="E3843" s="3" t="inlineStr">
        <is>
          <t>매매</t>
        </is>
      </c>
      <c r="F3843" s="4" t="n">
        <v>78000</v>
      </c>
      <c r="G3843" s="4" t="n">
        <v>745</v>
      </c>
      <c r="H3843" s="4" t="n">
        <v>225</v>
      </c>
      <c r="I3843" s="5" t="n">
        <v>346.7</v>
      </c>
      <c r="J3843" s="4" t="n">
        <v>80.3</v>
      </c>
      <c r="K3843" s="3" t="inlineStr">
        <is>
          <t>조치원 월하리 아파트 분양 예정지 근접,개발 투자가치로 좋아요</t>
        </is>
      </c>
      <c r="L3843" s="6">
        <f>HYPERLINK("https://fin.land.naver.com/articles/2645497722", "매물Link")</f>
        <v/>
      </c>
      <c r="M3843" s="6">
        <f>HYPERLINK("https://map.naver.com/p/search/세종특별자치시 연서면 월하리 818-1", "지도Link")</f>
        <v/>
      </c>
      <c r="N3843" s="6">
        <f>HYPERLINK("http://www.eum.go.kr/web/ar/lu/luLandDet.jsp?pnu=3611036021108180001&amp;isNoScr=script&amp;mode=search", "토지이음")</f>
        <v/>
      </c>
      <c r="O3843" s="3" t="inlineStr">
        <is>
          <t>담뜰</t>
        </is>
      </c>
      <c r="P3843" s="3" t="n">
        <v>1</v>
      </c>
      <c r="Q3843" s="3" t="n">
        <v>745</v>
      </c>
      <c r="R3843" s="3" t="inlineStr">
        <is>
          <t>지정되지않음</t>
        </is>
      </c>
      <c r="S3843" s="3" t="inlineStr">
        <is>
          <t>과수원</t>
        </is>
      </c>
      <c r="T3843" s="3" t="inlineStr">
        <is>
          <t>평지</t>
        </is>
      </c>
      <c r="U3843" s="3" t="inlineStr">
        <is>
          <t>부정형</t>
        </is>
      </c>
      <c r="V3843" s="3" t="inlineStr">
        <is>
          <t>세로한면(가)</t>
        </is>
      </c>
    </row>
    <row r="3844">
      <c r="A3844" s="3" t="inlineStr">
        <is>
          <t>세종특별자치시 연서면 월하리 889-1</t>
        </is>
      </c>
      <c r="B3844" s="3" t="inlineStr">
        <is>
          <t>자연녹지지역</t>
        </is>
      </c>
      <c r="C3844" s="3" t="inlineStr">
        <is>
          <t>과수원</t>
        </is>
      </c>
      <c r="D3844" s="3" t="inlineStr">
        <is>
          <t>과수원</t>
        </is>
      </c>
      <c r="E3844" s="3" t="inlineStr">
        <is>
          <t>매매</t>
        </is>
      </c>
      <c r="F3844" s="4" t="n">
        <v>442000</v>
      </c>
      <c r="G3844" s="4" t="n">
        <v>5415</v>
      </c>
      <c r="H3844" s="4" t="n">
        <v>1638</v>
      </c>
      <c r="I3844" s="5" t="n">
        <v>269.8</v>
      </c>
      <c r="J3844" s="4" t="n">
        <v>81.3</v>
      </c>
      <c r="K3844" s="3" t="inlineStr">
        <is>
          <t>세종 조치원 공공주택지구 접한 투자용 토지 매매</t>
        </is>
      </c>
      <c r="L3844" s="6">
        <f>HYPERLINK("https://fin.land.naver.com/articles/2644217019", "매물Link")</f>
        <v/>
      </c>
      <c r="M3844" s="6">
        <f>HYPERLINK("https://map.naver.com/p/search/세종특별자치시 연서면 월하리 889-1", "지도Link")</f>
        <v/>
      </c>
      <c r="N3844" s="6">
        <f>HYPERLINK("http://www.eum.go.kr/web/ar/lu/luLandDet.jsp?pnu=3611036021108890001&amp;isNoScr=script&amp;mode=search", "토지이음")</f>
        <v/>
      </c>
      <c r="O3844" s="3" t="inlineStr">
        <is>
          <t>(주)해뜰터</t>
        </is>
      </c>
      <c r="P3844" s="3" t="n">
        <v>2</v>
      </c>
      <c r="Q3844" s="3" t="n">
        <v>5415</v>
      </c>
      <c r="R3844" s="3" t="inlineStr">
        <is>
          <t>지정되지않음</t>
        </is>
      </c>
      <c r="S3844" s="3" t="inlineStr">
        <is>
          <t>전</t>
        </is>
      </c>
      <c r="T3844" s="3" t="inlineStr">
        <is>
          <t>완경사</t>
        </is>
      </c>
      <c r="U3844" s="3" t="inlineStr">
        <is>
          <t>부정형</t>
        </is>
      </c>
      <c r="V3844" s="3" t="inlineStr">
        <is>
          <t>세로한면(불)</t>
        </is>
      </c>
    </row>
    <row r="3845">
      <c r="A3845" s="3" t="inlineStr">
        <is>
          <t>세종특별자치시 연서면 월하리 892-1</t>
        </is>
      </c>
      <c r="B3845" s="3" t="inlineStr">
        <is>
          <t>자연녹지지역</t>
        </is>
      </c>
      <c r="C3845" s="3" t="inlineStr">
        <is>
          <t>과수원</t>
        </is>
      </c>
      <c r="D3845" s="3" t="inlineStr">
        <is>
          <t>과수원</t>
        </is>
      </c>
      <c r="E3845" s="3" t="inlineStr">
        <is>
          <t>매매</t>
        </is>
      </c>
      <c r="F3845" s="4" t="n">
        <v>305640</v>
      </c>
      <c r="G3845" s="4" t="n">
        <v>2806</v>
      </c>
      <c r="H3845" s="4" t="n">
        <v>849</v>
      </c>
      <c r="I3845" s="5" t="n">
        <v>360</v>
      </c>
      <c r="J3845" s="4" t="n">
        <v>86.40000000000001</v>
      </c>
      <c r="K3845" s="3" t="inlineStr">
        <is>
          <t>공공주택단지 인접토지 매매</t>
        </is>
      </c>
      <c r="L3845" s="6">
        <f>HYPERLINK("https://fin.land.naver.com/articles/2648030210", "매물Link")</f>
        <v/>
      </c>
      <c r="M3845" s="6">
        <f>HYPERLINK("https://map.naver.com/p/search/세종특별자치시 연서면 월하리 892-1", "지도Link")</f>
        <v/>
      </c>
      <c r="N3845" s="6">
        <f>HYPERLINK("http://www.eum.go.kr/web/ar/lu/luLandDet.jsp?pnu=3611036021108920001&amp;isNoScr=script&amp;mode=search", "토지이음")</f>
        <v/>
      </c>
      <c r="O3845" s="3" t="inlineStr">
        <is>
          <t>THE행복</t>
        </is>
      </c>
      <c r="P3845" s="3" t="n">
        <v>1</v>
      </c>
      <c r="Q3845" s="3" t="n">
        <v>1879</v>
      </c>
      <c r="R3845" s="3" t="inlineStr">
        <is>
          <t>지정되지않음</t>
        </is>
      </c>
      <c r="S3845" s="3" t="inlineStr">
        <is>
          <t>전</t>
        </is>
      </c>
      <c r="T3845" s="3" t="inlineStr">
        <is>
          <t>완경사</t>
        </is>
      </c>
      <c r="U3845" s="3" t="inlineStr">
        <is>
          <t>부정형</t>
        </is>
      </c>
      <c r="V3845" s="3" t="inlineStr">
        <is>
          <t>세로한면(가)</t>
        </is>
      </c>
    </row>
    <row r="3846">
      <c r="A3846" s="3" t="inlineStr">
        <is>
          <t>세종특별자치시 연서면 월하리 898</t>
        </is>
      </c>
      <c r="B3846" s="3" t="inlineStr">
        <is>
          <t>자연녹지지역</t>
        </is>
      </c>
      <c r="C3846" s="3" t="inlineStr">
        <is>
          <t>답</t>
        </is>
      </c>
      <c r="D3846" s="3" t="inlineStr">
        <is>
          <t>답</t>
        </is>
      </c>
      <c r="E3846" s="3" t="inlineStr">
        <is>
          <t>매매</t>
        </is>
      </c>
      <c r="F3846" s="4" t="n">
        <v>200000</v>
      </c>
      <c r="G3846" s="4" t="n">
        <v>1652</v>
      </c>
      <c r="H3846" s="4" t="n">
        <v>500</v>
      </c>
      <c r="I3846" s="5" t="n">
        <v>400</v>
      </c>
      <c r="J3846" s="4" t="n">
        <v>100.6</v>
      </c>
      <c r="K3846" s="3" t="inlineStr">
        <is>
          <t>포장도로 접한 답. 조치원 공공주택지구 인근 자연녹지</t>
        </is>
      </c>
      <c r="L3846" s="6">
        <f>HYPERLINK("https://fin.land.naver.com/articles/2648329552", "매물Link")</f>
        <v/>
      </c>
      <c r="M3846" s="6">
        <f>HYPERLINK("https://map.naver.com/p/search/세종특별자치시 연서면 월하리 898", "지도Link")</f>
        <v/>
      </c>
      <c r="N3846" s="6">
        <f>HYPERLINK("http://www.eum.go.kr/web/ar/lu/luLandDet.jsp?pnu=3611036021108980000&amp;isNoScr=script&amp;mode=search", "토지이음")</f>
        <v/>
      </c>
      <c r="O3846" s="3" t="inlineStr">
        <is>
          <t>미스터홈즈강남지사</t>
        </is>
      </c>
      <c r="P3846" s="3" t="n">
        <v>1</v>
      </c>
      <c r="Q3846" s="3" t="n">
        <v>1084</v>
      </c>
      <c r="R3846" s="3" t="inlineStr">
        <is>
          <t>지정되지않음</t>
        </is>
      </c>
      <c r="S3846" s="3" t="inlineStr">
        <is>
          <t>답</t>
        </is>
      </c>
      <c r="T3846" s="3" t="inlineStr">
        <is>
          <t>평지</t>
        </is>
      </c>
      <c r="U3846" s="3" t="inlineStr">
        <is>
          <t>부정형</t>
        </is>
      </c>
      <c r="V3846" s="3" t="inlineStr">
        <is>
          <t>세로한면(가)</t>
        </is>
      </c>
    </row>
    <row r="3847">
      <c r="A3847" s="3" t="inlineStr">
        <is>
          <t>세종특별자치시 연서면 월하리 960-4</t>
        </is>
      </c>
      <c r="B3847" s="3" t="inlineStr">
        <is>
          <t>자연녹지지역</t>
        </is>
      </c>
      <c r="C3847" s="3" t="inlineStr">
        <is>
          <t>전</t>
        </is>
      </c>
      <c r="D3847" s="3" t="inlineStr">
        <is>
          <t>전</t>
        </is>
      </c>
      <c r="E3847" s="3" t="inlineStr">
        <is>
          <t>매매</t>
        </is>
      </c>
      <c r="F3847" s="4" t="n">
        <v>70000</v>
      </c>
      <c r="G3847" s="4" t="n">
        <v>574</v>
      </c>
      <c r="H3847" s="4" t="n">
        <v>174</v>
      </c>
      <c r="I3847" s="5" t="n">
        <v>402.3</v>
      </c>
      <c r="J3847" s="4" t="n">
        <v>208.2</v>
      </c>
      <c r="K3847" s="3" t="inlineStr">
        <is>
          <t>2차선 도로에 접한 3거리 코너각지에 있는 도시지역자연녹지  투자용 토지</t>
        </is>
      </c>
      <c r="L3847" s="6">
        <f>HYPERLINK("https://fin.land.naver.com/articles/2646257545", "매물Link")</f>
        <v/>
      </c>
      <c r="M3847" s="6">
        <f>HYPERLINK("https://map.naver.com/p/search/세종특별자치시 연서면 월하리 960-4", "지도Link")</f>
        <v/>
      </c>
      <c r="N3847" s="6">
        <f>HYPERLINK("http://www.eum.go.kr/web/ar/lu/luLandDet.jsp?pnu=3611036021109600004&amp;isNoScr=script&amp;mode=search", "토지이음")</f>
        <v/>
      </c>
      <c r="O3847" s="3" t="inlineStr">
        <is>
          <t>스마일세종</t>
        </is>
      </c>
      <c r="P3847" s="3" t="n">
        <v>1</v>
      </c>
      <c r="Q3847" s="3" t="n">
        <v>574</v>
      </c>
      <c r="R3847" s="3" t="inlineStr">
        <is>
          <t>지정되지않음</t>
        </is>
      </c>
      <c r="S3847" s="3" t="inlineStr">
        <is>
          <t>전기타</t>
        </is>
      </c>
      <c r="T3847" s="3" t="inlineStr">
        <is>
          <t>평지</t>
        </is>
      </c>
      <c r="U3847" s="3" t="inlineStr">
        <is>
          <t>부정형</t>
        </is>
      </c>
      <c r="V3847" s="3" t="inlineStr">
        <is>
          <t>소로각지</t>
        </is>
      </c>
    </row>
    <row r="3848">
      <c r="A3848" s="3" t="inlineStr">
        <is>
          <t>세종특별자치시 연서면 월하리 966-14</t>
        </is>
      </c>
      <c r="B3848" s="3" t="inlineStr">
        <is>
          <t>자연녹지지역</t>
        </is>
      </c>
      <c r="C3848" s="3" t="inlineStr">
        <is>
          <t>전</t>
        </is>
      </c>
      <c r="D3848" s="3" t="inlineStr">
        <is>
          <t>전</t>
        </is>
      </c>
      <c r="E3848" s="3" t="inlineStr">
        <is>
          <t>매매</t>
        </is>
      </c>
      <c r="F3848" s="4" t="n">
        <v>29000</v>
      </c>
      <c r="G3848" s="4" t="n">
        <v>384</v>
      </c>
      <c r="H3848" s="4" t="n">
        <v>116</v>
      </c>
      <c r="I3848" s="5" t="n">
        <v>250</v>
      </c>
      <c r="J3848" s="4" t="n">
        <v>102.6</v>
      </c>
      <c r="K3848" s="3" t="inlineStr">
        <is>
          <t>주말농장 및 미래가치 높은 투자형, 토지거래 허가구역</t>
        </is>
      </c>
      <c r="L3848" s="6">
        <f>HYPERLINK("https://fin.land.naver.com/articles/2649406700", "매물Link")</f>
        <v/>
      </c>
      <c r="M3848" s="6">
        <f>HYPERLINK("https://map.naver.com/p/search/세종특별자치시 연서면 월하리 966-14", "지도Link")</f>
        <v/>
      </c>
      <c r="N3848" s="6">
        <f>HYPERLINK("http://www.eum.go.kr/web/ar/lu/luLandDet.jsp?pnu=3611036021109660014&amp;isNoScr=script&amp;mode=search", "토지이음")</f>
        <v/>
      </c>
      <c r="O3848" s="3" t="inlineStr">
        <is>
          <t>천우</t>
        </is>
      </c>
      <c r="P3848" s="3" t="n">
        <v>1</v>
      </c>
      <c r="Q3848" s="3" t="n">
        <v>384</v>
      </c>
      <c r="R3848" s="3" t="inlineStr">
        <is>
          <t>지정되지않음</t>
        </is>
      </c>
      <c r="S3848" s="3" t="inlineStr">
        <is>
          <t>과수원</t>
        </is>
      </c>
      <c r="T3848" s="3" t="inlineStr">
        <is>
          <t>평지</t>
        </is>
      </c>
      <c r="U3848" s="3" t="inlineStr">
        <is>
          <t>사다리형</t>
        </is>
      </c>
      <c r="V3848" s="3" t="inlineStr">
        <is>
          <t>세로한면(가)</t>
        </is>
      </c>
    </row>
    <row r="3849">
      <c r="A3849" s="3" t="inlineStr">
        <is>
          <t>세종특별자치시 연서면 월하리 966-3</t>
        </is>
      </c>
      <c r="B3849" s="3" t="inlineStr">
        <is>
          <t>자연녹지지역</t>
        </is>
      </c>
      <c r="C3849" s="3" t="inlineStr">
        <is>
          <t>대</t>
        </is>
      </c>
      <c r="D3849" s="3" t="inlineStr">
        <is>
          <t>대</t>
        </is>
      </c>
      <c r="E3849" s="3" t="inlineStr">
        <is>
          <t>매매</t>
        </is>
      </c>
      <c r="F3849" s="4" t="n">
        <v>110000</v>
      </c>
      <c r="G3849" s="4" t="n">
        <v>981</v>
      </c>
      <c r="H3849" s="4" t="n">
        <v>297</v>
      </c>
      <c r="I3849" s="5" t="n">
        <v>370.4</v>
      </c>
      <c r="J3849" s="4" t="n">
        <v>168.6</v>
      </c>
      <c r="K3849" s="3" t="inlineStr">
        <is>
          <t>실거주, 미래가치 높은 투자형, 토지거래 허가구역</t>
        </is>
      </c>
      <c r="L3849" s="6">
        <f>HYPERLINK("https://fin.land.naver.com/articles/2649406297", "매물Link")</f>
        <v/>
      </c>
      <c r="M3849" s="6">
        <f>HYPERLINK("https://map.naver.com/p/search/세종특별자치시 연서면 월하리 966-3", "지도Link")</f>
        <v/>
      </c>
      <c r="N3849" s="6">
        <f>HYPERLINK("http://www.eum.go.kr/web/ar/lu/luLandDet.jsp?pnu=3611036021109660003&amp;isNoScr=script&amp;mode=search", "토지이음")</f>
        <v/>
      </c>
      <c r="O3849" s="3" t="inlineStr">
        <is>
          <t>천우</t>
        </is>
      </c>
      <c r="P3849" s="3" t="n">
        <v>1</v>
      </c>
      <c r="Q3849" s="3" t="n">
        <v>639</v>
      </c>
      <c r="R3849" s="3" t="inlineStr">
        <is>
          <t>지정되지않음</t>
        </is>
      </c>
      <c r="S3849" s="3" t="inlineStr">
        <is>
          <t>단독</t>
        </is>
      </c>
      <c r="T3849" s="3" t="inlineStr">
        <is>
          <t>평지</t>
        </is>
      </c>
      <c r="U3849" s="3" t="inlineStr">
        <is>
          <t>사다리형</t>
        </is>
      </c>
      <c r="V3849" s="3" t="inlineStr">
        <is>
          <t>소로한면</t>
        </is>
      </c>
    </row>
    <row r="3850">
      <c r="A3850" s="3" t="inlineStr">
        <is>
          <t>세종특별자치시 연서면 월하리 986-3</t>
        </is>
      </c>
      <c r="B3850" s="3" t="inlineStr">
        <is>
          <t>자연녹지지역</t>
        </is>
      </c>
      <c r="C3850" s="3" t="inlineStr">
        <is>
          <t>전</t>
        </is>
      </c>
      <c r="D3850" s="3" t="inlineStr">
        <is>
          <t>전</t>
        </is>
      </c>
      <c r="E3850" s="3" t="inlineStr">
        <is>
          <t>매매</t>
        </is>
      </c>
      <c r="F3850" s="4" t="n">
        <v>168000</v>
      </c>
      <c r="G3850" s="4" t="n">
        <v>1157</v>
      </c>
      <c r="H3850" s="4" t="n">
        <v>350</v>
      </c>
      <c r="I3850" s="5" t="n">
        <v>480</v>
      </c>
      <c r="J3850" s="4" t="n">
        <v>208.4</v>
      </c>
      <c r="K3850" s="3" t="inlineStr">
        <is>
          <t>조치원 서북부 개발지역 근접  농지로 투자용으로도 추천, 포장도로 접함</t>
        </is>
      </c>
      <c r="L3850" s="6">
        <f>HYPERLINK("https://fin.land.naver.com/articles/2647543173", "매물Link")</f>
        <v/>
      </c>
      <c r="M3850" s="6">
        <f>HYPERLINK("https://map.naver.com/p/search/세종특별자치시 연서면 월하리 986-3", "지도Link")</f>
        <v/>
      </c>
      <c r="N3850" s="6">
        <f>HYPERLINK("http://www.eum.go.kr/web/ar/lu/luLandDet.jsp?pnu=3611036021109860003&amp;isNoScr=script&amp;mode=search", "토지이음")</f>
        <v/>
      </c>
      <c r="O3850" s="3" t="inlineStr">
        <is>
          <t>the다올</t>
        </is>
      </c>
      <c r="P3850" s="3" t="n">
        <v>1</v>
      </c>
      <c r="Q3850" s="3" t="n">
        <v>1157</v>
      </c>
      <c r="R3850" s="3" t="inlineStr">
        <is>
          <t>지정되지않음</t>
        </is>
      </c>
      <c r="S3850" s="3" t="inlineStr">
        <is>
          <t>전</t>
        </is>
      </c>
      <c r="T3850" s="3" t="inlineStr">
        <is>
          <t>평지</t>
        </is>
      </c>
      <c r="U3850" s="3" t="inlineStr">
        <is>
          <t>사다리형</t>
        </is>
      </c>
      <c r="V3850" s="3" t="inlineStr">
        <is>
          <t>세로한면(가)</t>
        </is>
      </c>
    </row>
    <row r="3851">
      <c r="A3851" s="3" t="inlineStr">
        <is>
          <t>세종특별자치시 연서면 월하리 산 26-1</t>
        </is>
      </c>
      <c r="B3851" s="3" t="inlineStr">
        <is>
          <t>자연녹지지역</t>
        </is>
      </c>
      <c r="C3851" s="3" t="inlineStr">
        <is>
          <t>임야</t>
        </is>
      </c>
      <c r="D3851" s="3" t="inlineStr">
        <is>
          <t>임야</t>
        </is>
      </c>
      <c r="E3851" s="3" t="inlineStr">
        <is>
          <t>매매</t>
        </is>
      </c>
      <c r="F3851" s="4" t="n">
        <v>94000</v>
      </c>
      <c r="G3851" s="4" t="n">
        <v>3891</v>
      </c>
      <c r="H3851" s="4" t="n">
        <v>1177</v>
      </c>
      <c r="I3851" s="5" t="n">
        <v>79.90000000000001</v>
      </c>
      <c r="J3851" s="4" t="n">
        <v>72.09999999999999</v>
      </c>
      <c r="K3851" s="3" t="inlineStr">
        <is>
          <t>월하리 자연녹지지역 지목은 임야로 현재 전으로 사용. 2필지 급매</t>
        </is>
      </c>
      <c r="L3851" s="6">
        <f>HYPERLINK("https://fin.land.naver.com/articles/2645850271", "매물Link")</f>
        <v/>
      </c>
      <c r="M3851" s="6">
        <f>HYPERLINK("https://map.naver.com/p/search/세종특별자치시 연서면 월하리 산 26-1", "지도Link")</f>
        <v/>
      </c>
      <c r="N3851" s="6">
        <f>HYPERLINK("http://www.eum.go.kr/web/ar/lu/luLandDet.jsp?pnu=3611036021200260001&amp;isNoScr=script&amp;mode=search", "토지이음")</f>
        <v/>
      </c>
      <c r="O3851" s="3" t="inlineStr">
        <is>
          <t>세종대장</t>
        </is>
      </c>
      <c r="P3851" s="3" t="n">
        <v>1</v>
      </c>
      <c r="Q3851" s="3" t="n">
        <v>4185</v>
      </c>
      <c r="R3851" s="3" t="inlineStr">
        <is>
          <t>지정되지않음</t>
        </is>
      </c>
      <c r="S3851" s="3" t="inlineStr">
        <is>
          <t>전</t>
        </is>
      </c>
      <c r="T3851" s="3" t="inlineStr">
        <is>
          <t>완경사</t>
        </is>
      </c>
      <c r="U3851" s="3" t="inlineStr">
        <is>
          <t>부정형</t>
        </is>
      </c>
      <c r="V3851" s="3" t="inlineStr">
        <is>
          <t>세로한면(불)</t>
        </is>
      </c>
    </row>
    <row r="3852">
      <c r="A3852" s="3" t="inlineStr">
        <is>
          <t>세종특별자치시 연서면 월하리 산144-1</t>
        </is>
      </c>
      <c r="B3852" s="3" t="inlineStr">
        <is>
          <t>자연녹지지역</t>
        </is>
      </c>
      <c r="C3852" s="3" t="inlineStr">
        <is>
          <t>임야</t>
        </is>
      </c>
      <c r="D3852" s="3" t="inlineStr">
        <is>
          <t>임야</t>
        </is>
      </c>
      <c r="E3852" s="3" t="inlineStr">
        <is>
          <t>매매</t>
        </is>
      </c>
      <c r="F3852" s="4" t="n">
        <v>860000</v>
      </c>
      <c r="G3852" s="4" t="n">
        <v>22983</v>
      </c>
      <c r="H3852" s="4" t="n">
        <v>6952</v>
      </c>
      <c r="I3852" s="5" t="n">
        <v>123.7</v>
      </c>
      <c r="J3852" s="4" t="n">
        <v>22.5</v>
      </c>
      <c r="K3852" s="3" t="inlineStr">
        <is>
          <t>미호강변 경관좋은 완경사 임야</t>
        </is>
      </c>
      <c r="L3852" s="6">
        <f>HYPERLINK("https://fin.land.naver.com/articles/2646263025", "매물Link")</f>
        <v/>
      </c>
      <c r="M3852" s="6">
        <f>HYPERLINK("https://map.naver.com/p/search/세종특별자치시 연서면 월하리 산144-1", "지도Link")</f>
        <v/>
      </c>
      <c r="N3852" s="6">
        <f>HYPERLINK("http://www.eum.go.kr/web/ar/lu/luLandDet.jsp?pnu=3611036021201440001&amp;isNoScr=script&amp;mode=search", "토지이음")</f>
        <v/>
      </c>
      <c r="O3852" s="3" t="inlineStr">
        <is>
          <t>번영</t>
        </is>
      </c>
      <c r="P3852" s="3" t="n">
        <v>1</v>
      </c>
      <c r="Q3852" s="3" t="n">
        <v>22641</v>
      </c>
      <c r="R3852" s="3" t="inlineStr">
        <is>
          <t>지정되지않음</t>
        </is>
      </c>
      <c r="S3852" s="3" t="inlineStr">
        <is>
          <t>자연림</t>
        </is>
      </c>
      <c r="T3852" s="3" t="inlineStr">
        <is>
          <t>완경사</t>
        </is>
      </c>
      <c r="U3852" s="3" t="inlineStr">
        <is>
          <t>부정형</t>
        </is>
      </c>
      <c r="V3852" s="3" t="inlineStr">
        <is>
          <t>세로한면(가)</t>
        </is>
      </c>
    </row>
    <row r="3853">
      <c r="A3853" s="3" t="inlineStr">
        <is>
          <t>세종특별자치시 연서면 월하리 산7-12</t>
        </is>
      </c>
      <c r="B3853" s="3" t="inlineStr">
        <is>
          <t>자연녹지지역</t>
        </is>
      </c>
      <c r="C3853" s="3" t="inlineStr">
        <is>
          <t>임야</t>
        </is>
      </c>
      <c r="D3853" s="3" t="inlineStr">
        <is>
          <t>임야</t>
        </is>
      </c>
      <c r="E3853" s="3" t="inlineStr">
        <is>
          <t>매매</t>
        </is>
      </c>
      <c r="F3853" s="4" t="n">
        <v>15800</v>
      </c>
      <c r="G3853" s="4" t="n">
        <v>660</v>
      </c>
      <c r="H3853" s="4" t="n">
        <v>200</v>
      </c>
      <c r="I3853" s="5" t="n">
        <v>79</v>
      </c>
      <c r="J3853" s="4" t="n">
        <v>21.7</v>
      </c>
      <c r="K3853" s="3" t="inlineStr">
        <is>
          <t>연서면 월하리 도시지역 자연녹지, 경사도 완만한 투 자용 임야입니다</t>
        </is>
      </c>
      <c r="L3853" s="6">
        <f>HYPERLINK("https://fin.land.naver.com/articles/2648168085", "매물Link")</f>
        <v/>
      </c>
      <c r="M3853" s="6">
        <f>HYPERLINK("https://map.naver.com/p/search/세종특별자치시 연서면 월하리 산7-12", "지도Link")</f>
        <v/>
      </c>
      <c r="N3853" s="6">
        <f>HYPERLINK("http://www.eum.go.kr/web/ar/lu/luLandDet.jsp?pnu=3611036021200070012&amp;isNoScr=script&amp;mode=search", "토지이음")</f>
        <v/>
      </c>
      <c r="O3853" s="3" t="inlineStr">
        <is>
          <t>스마일세종</t>
        </is>
      </c>
      <c r="P3853" s="3" t="n">
        <v>2</v>
      </c>
      <c r="Q3853" s="3" t="n">
        <v>660</v>
      </c>
      <c r="R3853" s="3" t="inlineStr">
        <is>
          <t>지정되지않음</t>
        </is>
      </c>
      <c r="S3853" s="3" t="inlineStr">
        <is>
          <t>자연림</t>
        </is>
      </c>
      <c r="T3853" s="3" t="inlineStr">
        <is>
          <t>완경사</t>
        </is>
      </c>
      <c r="U3853" s="3" t="inlineStr">
        <is>
          <t>부정형</t>
        </is>
      </c>
      <c r="V3853" s="3" t="inlineStr">
        <is>
          <t>맹지</t>
        </is>
      </c>
    </row>
    <row r="3854">
      <c r="A3854" s="3" t="inlineStr">
        <is>
          <t>세종특별자치시 연서면 청라리 12</t>
        </is>
      </c>
      <c r="B3854" s="3" t="inlineStr">
        <is>
          <t>생산관리지역</t>
        </is>
      </c>
      <c r="C3854" s="3" t="inlineStr">
        <is>
          <t>과수원</t>
        </is>
      </c>
      <c r="D3854" s="3" t="inlineStr">
        <is>
          <t>과수원</t>
        </is>
      </c>
      <c r="E3854" s="3" t="inlineStr">
        <is>
          <t>매매</t>
        </is>
      </c>
      <c r="F3854" s="4" t="n">
        <v>12000</v>
      </c>
      <c r="G3854" s="4" t="n">
        <v>1838</v>
      </c>
      <c r="H3854" s="4" t="n">
        <v>556</v>
      </c>
      <c r="I3854" s="5" t="n">
        <v>21.6</v>
      </c>
      <c r="J3854" s="4" t="n">
        <v>23.5</v>
      </c>
      <c r="K3854" s="3" t="inlineStr">
        <is>
          <t>연서면 청라리토지 세종국가산업단지인근 싸고 넓은 토지</t>
        </is>
      </c>
      <c r="L3854" s="6">
        <f>HYPERLINK("https://fin.land.naver.com/articles/2646801132", "매물Link")</f>
        <v/>
      </c>
      <c r="M3854" s="6">
        <f>HYPERLINK("https://map.naver.com/p/search/세종특별자치시 연서면 청라리 12", "지도Link")</f>
        <v/>
      </c>
      <c r="N3854" s="6">
        <f>HYPERLINK("http://www.eum.go.kr/web/ar/lu/luLandDet.jsp?pnu=3611036027100120000&amp;isNoScr=script&amp;mode=search", "토지이음")</f>
        <v/>
      </c>
      <c r="O3854" s="3" t="inlineStr">
        <is>
          <t>지성</t>
        </is>
      </c>
      <c r="P3854" s="3" t="n">
        <v>3</v>
      </c>
      <c r="Q3854" s="3" t="n">
        <v>1838</v>
      </c>
      <c r="R3854" s="3" t="inlineStr">
        <is>
          <t>지정되지않음</t>
        </is>
      </c>
      <c r="S3854" s="3" t="inlineStr">
        <is>
          <t>전</t>
        </is>
      </c>
      <c r="T3854" s="3" t="inlineStr">
        <is>
          <t>완경사</t>
        </is>
      </c>
      <c r="U3854" s="3" t="inlineStr">
        <is>
          <t>부정형</t>
        </is>
      </c>
      <c r="V3854" s="3" t="inlineStr">
        <is>
          <t>세로한면(가)</t>
        </is>
      </c>
    </row>
    <row r="3855">
      <c r="A3855" s="3" t="inlineStr">
        <is>
          <t>세종특별자치시 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HYPERLINK("https://map.naver.com/p/search/세종특별자치시 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세종특별자치시 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HYPERLINK("https://map.naver.com/p/search/세종특별자치시 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세종특별자치시 연서면 청라리 127-1</t>
        </is>
      </c>
      <c r="B3857" s="3" t="inlineStr">
        <is>
          <t>생산관리지역</t>
        </is>
      </c>
      <c r="C3857" s="3" t="inlineStr">
        <is>
          <t>과수원</t>
        </is>
      </c>
      <c r="D3857" s="3" t="inlineStr">
        <is>
          <t>과수원</t>
        </is>
      </c>
      <c r="E3857" s="3" t="inlineStr">
        <is>
          <t>매매</t>
        </is>
      </c>
      <c r="F3857" s="4" t="n">
        <v>53000</v>
      </c>
      <c r="G3857" s="4" t="n">
        <v>1249</v>
      </c>
      <c r="H3857" s="4" t="n">
        <v>378</v>
      </c>
      <c r="I3857" s="5" t="n">
        <v>140.2</v>
      </c>
      <c r="J3857" s="4" t="n">
        <v>30.6</v>
      </c>
      <c r="K3857" s="3" t="inlineStr">
        <is>
          <t>세종 연서면 고복저수지 인근 건축 및 투자 추천 추가 하천부지 있음</t>
        </is>
      </c>
      <c r="L3857" s="6">
        <f>HYPERLINK("https://fin.land.naver.com/articles/2648832986", "매물Link")</f>
        <v/>
      </c>
      <c r="M3857" s="6">
        <f>HYPERLINK("https://map.naver.com/p/search/세종특별자치시 연서면 청라리 127-1", "지도Link")</f>
        <v/>
      </c>
      <c r="N3857" s="6">
        <f>HYPERLINK("http://www.eum.go.kr/web/ar/lu/luLandDet.jsp?pnu=3611036027101270001&amp;isNoScr=script&amp;mode=search", "토지이음")</f>
        <v/>
      </c>
      <c r="O3857" s="3" t="inlineStr">
        <is>
          <t>나침반</t>
        </is>
      </c>
      <c r="P3857" s="3" t="n">
        <v>9</v>
      </c>
      <c r="Q3857" s="3" t="n">
        <v>1249</v>
      </c>
      <c r="R3857" s="3" t="inlineStr">
        <is>
          <t>지정되지않음</t>
        </is>
      </c>
      <c r="S3857" s="3" t="inlineStr">
        <is>
          <t>과수원</t>
        </is>
      </c>
      <c r="T3857" s="3" t="inlineStr">
        <is>
          <t>평지</t>
        </is>
      </c>
      <c r="U3857" s="3" t="inlineStr">
        <is>
          <t>부정형</t>
        </is>
      </c>
      <c r="V3857" s="3" t="inlineStr">
        <is>
          <t>세로한면(가)</t>
        </is>
      </c>
    </row>
    <row r="3858">
      <c r="A3858" s="3" t="inlineStr">
        <is>
          <t>세종특별자치시 연서면 청라리 163-8</t>
        </is>
      </c>
      <c r="B3858" s="3" t="inlineStr">
        <is>
          <t>생산관리지역</t>
        </is>
      </c>
      <c r="C3858" s="3" t="inlineStr">
        <is>
          <t>전</t>
        </is>
      </c>
      <c r="D3858" s="3" t="inlineStr">
        <is>
          <t>전</t>
        </is>
      </c>
      <c r="E3858" s="3" t="inlineStr">
        <is>
          <t>매매</t>
        </is>
      </c>
      <c r="F3858" s="4" t="n">
        <v>31000</v>
      </c>
      <c r="G3858" s="4" t="n">
        <v>778</v>
      </c>
      <c r="H3858" s="4" t="n">
        <v>235</v>
      </c>
      <c r="I3858" s="5" t="n">
        <v>131.9</v>
      </c>
      <c r="J3858" s="4" t="n">
        <v>27</v>
      </c>
      <c r="K3858" s="3" t="inlineStr">
        <is>
          <t>급매  남향  토목공사 완료  조망권 좋음</t>
        </is>
      </c>
      <c r="L3858" s="6">
        <f>HYPERLINK("https://fin.land.naver.com/articles/2648711196", "매물Link")</f>
        <v/>
      </c>
      <c r="M3858" s="6">
        <f>HYPERLINK("https://map.naver.com/p/search/세종특별자치시 연서면 청라리 163-8", "지도Link")</f>
        <v/>
      </c>
      <c r="N3858" s="6">
        <f>HYPERLINK("http://www.eum.go.kr/web/ar/lu/luLandDet.jsp?pnu=3611036027101630008&amp;isNoScr=script&amp;mode=search", "토지이음")</f>
        <v/>
      </c>
      <c r="O3858" s="3" t="inlineStr">
        <is>
          <t>보람진솔한</t>
        </is>
      </c>
      <c r="P3858" s="3" t="n">
        <v>1</v>
      </c>
      <c r="Q3858" s="3" t="n">
        <v>778</v>
      </c>
      <c r="R3858" s="3" t="inlineStr">
        <is>
          <t>지정되지않음</t>
        </is>
      </c>
      <c r="S3858" s="3" t="inlineStr">
        <is>
          <t>전</t>
        </is>
      </c>
      <c r="T3858" s="3" t="inlineStr">
        <is>
          <t>완경사</t>
        </is>
      </c>
      <c r="U3858" s="3" t="inlineStr">
        <is>
          <t>사다리형</t>
        </is>
      </c>
      <c r="V3858" s="3" t="inlineStr">
        <is>
          <t>세로한면(가)</t>
        </is>
      </c>
    </row>
    <row r="3859">
      <c r="A3859" s="3" t="inlineStr">
        <is>
          <t>세종특별자치시 연서면 청라리 17-1</t>
        </is>
      </c>
      <c r="B3859" s="3" t="inlineStr">
        <is>
          <t>생산관리지역</t>
        </is>
      </c>
      <c r="C3859" s="3" t="inlineStr">
        <is>
          <t>답</t>
        </is>
      </c>
      <c r="D3859" s="3" t="inlineStr">
        <is>
          <t>답</t>
        </is>
      </c>
      <c r="E3859" s="3" t="inlineStr">
        <is>
          <t>매매</t>
        </is>
      </c>
      <c r="F3859" s="4" t="n">
        <v>44000</v>
      </c>
      <c r="G3859" s="4" t="n">
        <v>1828</v>
      </c>
      <c r="H3859" s="4" t="n">
        <v>553</v>
      </c>
      <c r="I3859" s="5" t="n">
        <v>79.59999999999999</v>
      </c>
      <c r="J3859" s="4" t="n">
        <v>23.5</v>
      </c>
      <c r="K3859" s="3" t="inlineStr">
        <is>
          <t>연서면 청라리에 있는 전원주택도 지을 수 있는 투자용 토지 입니다</t>
        </is>
      </c>
      <c r="L3859" s="6">
        <f>HYPERLINK("https://fin.land.naver.com/articles/2644243777", "매물Link")</f>
        <v/>
      </c>
      <c r="M3859" s="6">
        <f>HYPERLINK("https://map.naver.com/p/search/세종특별자치시 연서면 청라리 17-1", "지도Link")</f>
        <v/>
      </c>
      <c r="N3859" s="6">
        <f>HYPERLINK("http://www.eum.go.kr/web/ar/lu/luLandDet.jsp?pnu=3611036027100170001&amp;isNoScr=script&amp;mode=search", "토지이음")</f>
        <v/>
      </c>
      <c r="O3859" s="3" t="inlineStr">
        <is>
          <t>스마일세종</t>
        </is>
      </c>
      <c r="P3859" s="3" t="n">
        <v>1</v>
      </c>
      <c r="Q3859" s="3" t="n">
        <v>1729</v>
      </c>
      <c r="R3859" s="3" t="inlineStr">
        <is>
          <t>지정되지않음</t>
        </is>
      </c>
      <c r="S3859" s="3" t="inlineStr">
        <is>
          <t>전</t>
        </is>
      </c>
      <c r="T3859" s="3" t="inlineStr">
        <is>
          <t>완경사</t>
        </is>
      </c>
      <c r="U3859" s="3" t="inlineStr">
        <is>
          <t>부정형</t>
        </is>
      </c>
      <c r="V3859" s="3" t="inlineStr">
        <is>
          <t>세로한면(가)</t>
        </is>
      </c>
    </row>
    <row r="3860">
      <c r="A3860" s="3" t="inlineStr">
        <is>
          <t>세종특별자치시 연서면 청라리 191-1</t>
        </is>
      </c>
      <c r="B3860" s="3" t="inlineStr">
        <is>
          <t>생산관리지역</t>
        </is>
      </c>
      <c r="C3860" s="3" t="inlineStr">
        <is>
          <t>답</t>
        </is>
      </c>
      <c r="D3860" s="3" t="inlineStr">
        <is>
          <t>답</t>
        </is>
      </c>
      <c r="E3860" s="3" t="inlineStr">
        <is>
          <t>매매</t>
        </is>
      </c>
      <c r="F3860" s="4" t="n">
        <v>75000</v>
      </c>
      <c r="G3860" s="4" t="n">
        <v>2096</v>
      </c>
      <c r="H3860" s="4" t="n">
        <v>634</v>
      </c>
      <c r="I3860" s="5" t="n">
        <v>118.3</v>
      </c>
      <c r="J3860" s="4" t="n">
        <v>32.1</v>
      </c>
      <c r="K3860" s="3" t="inlineStr">
        <is>
          <t>생산관리, 도로접함, 대토용, 투자용</t>
        </is>
      </c>
      <c r="L3860" s="6">
        <f>HYPERLINK("https://fin.land.naver.com/articles/2643988969", "매물Link")</f>
        <v/>
      </c>
      <c r="M3860" s="6">
        <f>HYPERLINK("https://map.naver.com/p/search/세종특별자치시 연서면 청라리 191-1", "지도Link")</f>
        <v/>
      </c>
      <c r="N3860" s="6">
        <f>HYPERLINK("http://www.eum.go.kr/web/ar/lu/luLandDet.jsp?pnu=3611036027101910001&amp;isNoScr=script&amp;mode=search", "토지이음")</f>
        <v/>
      </c>
      <c r="O3860" s="3" t="inlineStr">
        <is>
          <t>세종일조</t>
        </is>
      </c>
      <c r="P3860" s="3" t="n">
        <v>1</v>
      </c>
      <c r="Q3860" s="3" t="n">
        <v>2096</v>
      </c>
      <c r="R3860" s="3" t="inlineStr">
        <is>
          <t>지정되지않음</t>
        </is>
      </c>
      <c r="S3860" s="3" t="inlineStr">
        <is>
          <t>답</t>
        </is>
      </c>
      <c r="T3860" s="3" t="inlineStr">
        <is>
          <t>평지</t>
        </is>
      </c>
      <c r="U3860" s="3" t="inlineStr">
        <is>
          <t>부정형</t>
        </is>
      </c>
      <c r="V3860" s="3" t="inlineStr">
        <is>
          <t>소로한면</t>
        </is>
      </c>
    </row>
    <row r="3861">
      <c r="A3861" s="3" t="inlineStr">
        <is>
          <t>세종특별자치시 연서면 청라리 244-1</t>
        </is>
      </c>
      <c r="B3861" s="3" t="inlineStr">
        <is>
          <t>생산관리지역</t>
        </is>
      </c>
      <c r="C3861" s="3" t="inlineStr">
        <is>
          <t>과수원</t>
        </is>
      </c>
      <c r="D3861" s="3" t="inlineStr">
        <is>
          <t>과수원</t>
        </is>
      </c>
      <c r="E3861" s="3" t="inlineStr">
        <is>
          <t>매매</t>
        </is>
      </c>
      <c r="F3861" s="4" t="n">
        <v>20000</v>
      </c>
      <c r="G3861" s="4" t="n">
        <v>833</v>
      </c>
      <c r="H3861" s="4" t="n">
        <v>252</v>
      </c>
      <c r="I3861" s="5" t="n">
        <v>79.40000000000001</v>
      </c>
      <c r="J3861" s="4" t="n">
        <v>20.8</v>
      </c>
      <c r="K3861" s="3" t="inlineStr">
        <is>
          <t>nan</t>
        </is>
      </c>
      <c r="L3861" s="6">
        <f>HYPERLINK("https://fin.land.naver.com/articles/2645939242", "매물Link")</f>
        <v/>
      </c>
      <c r="M3861" s="6">
        <f>HYPERLINK("https://map.naver.com/p/search/세종특별자치시 연서면 청라리 244-1", "지도Link")</f>
        <v/>
      </c>
      <c r="N3861" s="6">
        <f>HYPERLINK("http://www.eum.go.kr/web/ar/lu/luLandDet.jsp?pnu=3611036027102440001&amp;isNoScr=script&amp;mode=search", "토지이음")</f>
        <v/>
      </c>
      <c r="O3861" s="3" t="inlineStr">
        <is>
          <t>고운하임</t>
        </is>
      </c>
      <c r="P3861" s="3" t="n">
        <v>1</v>
      </c>
      <c r="Q3861" s="3" t="n">
        <v>833</v>
      </c>
      <c r="R3861" s="3" t="inlineStr">
        <is>
          <t>지정되지않음</t>
        </is>
      </c>
      <c r="S3861" s="3" t="inlineStr">
        <is>
          <t>과수원</t>
        </is>
      </c>
      <c r="T3861" s="3" t="inlineStr">
        <is>
          <t>완경사</t>
        </is>
      </c>
      <c r="U3861" s="3" t="inlineStr">
        <is>
          <t>부정형</t>
        </is>
      </c>
      <c r="V3861" s="3" t="inlineStr">
        <is>
          <t>세로한면(불)</t>
        </is>
      </c>
    </row>
    <row r="3862">
      <c r="A3862" s="3" t="inlineStr">
        <is>
          <t>세종특별자치시 연서면 청라리 261</t>
        </is>
      </c>
      <c r="B3862" s="3" t="inlineStr">
        <is>
          <t>생산관리지역</t>
        </is>
      </c>
      <c r="C3862" s="3" t="inlineStr">
        <is>
          <t>전</t>
        </is>
      </c>
      <c r="D3862" s="3" t="inlineStr">
        <is>
          <t>전</t>
        </is>
      </c>
      <c r="E3862" s="3" t="inlineStr">
        <is>
          <t>매매</t>
        </is>
      </c>
      <c r="F3862" s="4" t="n">
        <v>330000</v>
      </c>
      <c r="G3862" s="4" t="n">
        <v>11198</v>
      </c>
      <c r="H3862" s="4" t="n">
        <v>3387</v>
      </c>
      <c r="I3862" s="5" t="n">
        <v>97.40000000000001</v>
      </c>
      <c r="J3862" s="4" t="n">
        <v>22.9</v>
      </c>
      <c r="K3862" s="3" t="inlineStr">
        <is>
          <t>산업단지개발구역 인근 투자가치 높은 곳입니다.</t>
        </is>
      </c>
      <c r="L3862" s="6">
        <f>HYPERLINK("https://fin.land.naver.com/articles/2646627780", "매물Link")</f>
        <v/>
      </c>
      <c r="M3862" s="6">
        <f>HYPERLINK("https://map.naver.com/p/search/세종특별자치시 연서면 청라리 261", "지도Link")</f>
        <v/>
      </c>
      <c r="N3862" s="6">
        <f>HYPERLINK("http://www.eum.go.kr/web/ar/lu/luLandDet.jsp?pnu=3611036027102610000&amp;isNoScr=script&amp;mode=search", "토지이음")</f>
        <v/>
      </c>
      <c r="O3862" s="3" t="inlineStr">
        <is>
          <t>노은탑</t>
        </is>
      </c>
      <c r="P3862" s="3" t="n">
        <v>1</v>
      </c>
      <c r="Q3862" s="3" t="n">
        <v>4502</v>
      </c>
      <c r="R3862" s="3" t="inlineStr">
        <is>
          <t>지정되지않음</t>
        </is>
      </c>
      <c r="S3862" s="3" t="inlineStr">
        <is>
          <t>전</t>
        </is>
      </c>
      <c r="T3862" s="3" t="inlineStr">
        <is>
          <t>완경사</t>
        </is>
      </c>
      <c r="U3862" s="3" t="inlineStr">
        <is>
          <t>부정형</t>
        </is>
      </c>
      <c r="V3862" s="3" t="inlineStr">
        <is>
          <t>세로한면(가)</t>
        </is>
      </c>
    </row>
    <row r="3863">
      <c r="A3863" s="3" t="inlineStr">
        <is>
          <t>세종특별자치시 연서면 청라리 264</t>
        </is>
      </c>
      <c r="B3863" s="3" t="inlineStr">
        <is>
          <t>생산관리지역</t>
        </is>
      </c>
      <c r="C3863" s="3" t="inlineStr">
        <is>
          <t>전</t>
        </is>
      </c>
      <c r="D3863" s="3" t="inlineStr">
        <is>
          <t>전</t>
        </is>
      </c>
      <c r="E3863" s="3" t="inlineStr">
        <is>
          <t>매매</t>
        </is>
      </c>
      <c r="F3863" s="4" t="n">
        <v>25000</v>
      </c>
      <c r="G3863" s="4" t="n">
        <v>1646</v>
      </c>
      <c r="H3863" s="4" t="n">
        <v>498</v>
      </c>
      <c r="I3863" s="5" t="n">
        <v>50.2</v>
      </c>
      <c r="J3863" s="4" t="n">
        <v>21</v>
      </c>
      <c r="K3863" s="3" t="inlineStr">
        <is>
          <t>저렴한 농지 나무식재 농업경영체 등록가능 토지 찾으시는분</t>
        </is>
      </c>
      <c r="L3863" s="6">
        <f>HYPERLINK("https://fin.land.naver.com/articles/2645606420", "매물Link")</f>
        <v/>
      </c>
      <c r="M3863" s="6">
        <f>HYPERLINK("https://map.naver.com/p/search/세종특별자치시 연서면 청라리 264", "지도Link")</f>
        <v/>
      </c>
      <c r="N3863" s="6">
        <f>HYPERLINK("http://www.eum.go.kr/web/ar/lu/luLandDet.jsp?pnu=3611036027102640000&amp;isNoScr=script&amp;mode=search", "토지이음")</f>
        <v/>
      </c>
      <c r="O3863" s="3" t="inlineStr">
        <is>
          <t>미스터홈즈강남지사</t>
        </is>
      </c>
      <c r="P3863" s="3" t="n">
        <v>1</v>
      </c>
      <c r="Q3863" s="3" t="n">
        <v>1646</v>
      </c>
      <c r="R3863" s="3" t="inlineStr">
        <is>
          <t>지정되지않음</t>
        </is>
      </c>
      <c r="S3863" s="3" t="inlineStr">
        <is>
          <t>전</t>
        </is>
      </c>
      <c r="T3863" s="3" t="inlineStr">
        <is>
          <t>완경사</t>
        </is>
      </c>
      <c r="U3863" s="3" t="inlineStr">
        <is>
          <t>부정형</t>
        </is>
      </c>
      <c r="V3863" s="3" t="inlineStr">
        <is>
          <t>세로한면(불)</t>
        </is>
      </c>
    </row>
    <row r="3864">
      <c r="A3864" s="3" t="inlineStr">
        <is>
          <t>세종특별자치시 연서면 청라리 277</t>
        </is>
      </c>
      <c r="B3864" s="3" t="inlineStr">
        <is>
          <t>생산관리지역</t>
        </is>
      </c>
      <c r="C3864" s="3" t="inlineStr">
        <is>
          <t>전</t>
        </is>
      </c>
      <c r="D3864" s="3" t="inlineStr">
        <is>
          <t>전</t>
        </is>
      </c>
      <c r="E3864" s="3" t="inlineStr">
        <is>
          <t>매매</t>
        </is>
      </c>
      <c r="F3864" s="4" t="n">
        <v>63000</v>
      </c>
      <c r="G3864" s="4" t="n">
        <v>3472</v>
      </c>
      <c r="H3864" s="4" t="n">
        <v>1050</v>
      </c>
      <c r="I3864" s="5" t="n">
        <v>60</v>
      </c>
      <c r="J3864" s="4" t="n">
        <v>22</v>
      </c>
      <c r="K3864" s="3" t="inlineStr">
        <is>
          <t>현황도로 길게 접한 생산관리 토지. 대토, 전원주택 추천</t>
        </is>
      </c>
      <c r="L3864" s="6">
        <f>HYPERLINK("https://fin.land.naver.com/articles/2645604558", "매물Link")</f>
        <v/>
      </c>
      <c r="M3864" s="6">
        <f>HYPERLINK("https://map.naver.com/p/search/세종특별자치시 연서면 청라리 277", "지도Link")</f>
        <v/>
      </c>
      <c r="N3864" s="6">
        <f>HYPERLINK("http://www.eum.go.kr/web/ar/lu/luLandDet.jsp?pnu=3611036027102770000&amp;isNoScr=script&amp;mode=search", "토지이음")</f>
        <v/>
      </c>
      <c r="O3864" s="3" t="inlineStr">
        <is>
          <t>미스터홈즈강남지사</t>
        </is>
      </c>
      <c r="P3864" s="3" t="n">
        <v>1</v>
      </c>
      <c r="Q3864" s="3" t="n">
        <v>3472</v>
      </c>
      <c r="R3864" s="3" t="inlineStr">
        <is>
          <t>지정되지않음</t>
        </is>
      </c>
      <c r="S3864" s="3" t="inlineStr">
        <is>
          <t>전</t>
        </is>
      </c>
      <c r="T3864" s="3" t="inlineStr">
        <is>
          <t>완경사</t>
        </is>
      </c>
      <c r="U3864" s="3" t="inlineStr">
        <is>
          <t>부정형</t>
        </is>
      </c>
      <c r="V3864" s="3" t="inlineStr">
        <is>
          <t>세로한면(가)</t>
        </is>
      </c>
    </row>
    <row r="3865">
      <c r="A3865" s="3" t="inlineStr">
        <is>
          <t>세종특별자치시 연서면 청라리 295-2</t>
        </is>
      </c>
      <c r="B3865" s="3" t="inlineStr">
        <is>
          <t>생산관리지역</t>
        </is>
      </c>
      <c r="C3865" s="3" t="inlineStr">
        <is>
          <t>답</t>
        </is>
      </c>
      <c r="D3865" s="3" t="inlineStr">
        <is>
          <t>답</t>
        </is>
      </c>
      <c r="E3865" s="3" t="inlineStr">
        <is>
          <t>매매</t>
        </is>
      </c>
      <c r="F3865" s="4" t="n">
        <v>71800</v>
      </c>
      <c r="G3865" s="4" t="n">
        <v>2372</v>
      </c>
      <c r="H3865" s="4" t="n">
        <v>718</v>
      </c>
      <c r="I3865" s="5" t="n">
        <v>100</v>
      </c>
      <c r="J3865" s="4" t="n">
        <v>23.5</v>
      </c>
      <c r="K3865" s="3" t="inlineStr">
        <is>
          <t>고복저수지인근 2차선변 답</t>
        </is>
      </c>
      <c r="L3865" s="6">
        <f>HYPERLINK("https://fin.land.naver.com/articles/2645606345", "매물Link")</f>
        <v/>
      </c>
      <c r="M3865" s="6">
        <f>HYPERLINK("https://map.naver.com/p/search/세종특별자치시 연서면 청라리 295-2", "지도Link")</f>
        <v/>
      </c>
      <c r="N3865" s="6">
        <f>HYPERLINK("http://www.eum.go.kr/web/ar/lu/luLandDet.jsp?pnu=3611036027102950002&amp;isNoScr=script&amp;mode=search", "토지이음")</f>
        <v/>
      </c>
      <c r="O3865" s="3" t="inlineStr">
        <is>
          <t>미스터홈즈강남지사</t>
        </is>
      </c>
      <c r="P3865" s="3" t="n">
        <v>1</v>
      </c>
      <c r="Q3865" s="3" t="n">
        <v>2372.4</v>
      </c>
      <c r="R3865" s="3" t="inlineStr">
        <is>
          <t>지정되지않음</t>
        </is>
      </c>
      <c r="S3865" s="3" t="inlineStr">
        <is>
          <t>전</t>
        </is>
      </c>
      <c r="T3865" s="3" t="inlineStr">
        <is>
          <t>평지</t>
        </is>
      </c>
      <c r="U3865" s="3" t="inlineStr">
        <is>
          <t>사다리형</t>
        </is>
      </c>
      <c r="V3865" s="3" t="inlineStr">
        <is>
          <t>세로한면(가)</t>
        </is>
      </c>
    </row>
    <row r="3866">
      <c r="A3866" s="3" t="inlineStr">
        <is>
          <t>세종특별자치시 연서면 청라리 38-2</t>
        </is>
      </c>
      <c r="B3866" s="3" t="inlineStr">
        <is>
          <t>생산관리지역</t>
        </is>
      </c>
      <c r="C3866" s="3" t="inlineStr">
        <is>
          <t>과수원</t>
        </is>
      </c>
      <c r="D3866" s="3" t="inlineStr">
        <is>
          <t>과수원</t>
        </is>
      </c>
      <c r="E3866" s="3" t="inlineStr">
        <is>
          <t>매매</t>
        </is>
      </c>
      <c r="F3866" s="4" t="n">
        <v>18180</v>
      </c>
      <c r="G3866" s="4" t="n">
        <v>1001</v>
      </c>
      <c r="H3866" s="4" t="n">
        <v>303</v>
      </c>
      <c r="I3866" s="5" t="n">
        <v>60</v>
      </c>
      <c r="J3866" s="4" t="n">
        <v>24.2</v>
      </c>
      <c r="K3866" s="3" t="inlineStr">
        <is>
          <t>청라리 농지원부 나오는 아주 저렴한 토지</t>
        </is>
      </c>
      <c r="L3866" s="6">
        <f>HYPERLINK("https://fin.land.naver.com/articles/2644528885", "매물Link")</f>
        <v/>
      </c>
      <c r="M3866" s="6">
        <f>HYPERLINK("https://map.naver.com/p/search/세종특별자치시 연서면 청라리 38-2", "지도Link")</f>
        <v/>
      </c>
      <c r="N3866" s="6">
        <f>HYPERLINK("http://www.eum.go.kr/web/ar/lu/luLandDet.jsp?pnu=3611036027100380002&amp;isNoScr=script&amp;mode=search", "토지이음")</f>
        <v/>
      </c>
      <c r="O3866" s="3" t="inlineStr">
        <is>
          <t>용궁</t>
        </is>
      </c>
      <c r="P3866" s="3" t="n">
        <v>1</v>
      </c>
      <c r="Q3866" s="3" t="n">
        <v>1000</v>
      </c>
      <c r="R3866" s="3" t="inlineStr">
        <is>
          <t>지정되지않음</t>
        </is>
      </c>
      <c r="S3866" s="3" t="inlineStr">
        <is>
          <t>과수원</t>
        </is>
      </c>
      <c r="T3866" s="3" t="inlineStr">
        <is>
          <t>완경사</t>
        </is>
      </c>
      <c r="U3866" s="3" t="inlineStr">
        <is>
          <t>부정형</t>
        </is>
      </c>
      <c r="V3866" s="3" t="inlineStr">
        <is>
          <t>세로한면(가)</t>
        </is>
      </c>
    </row>
    <row r="3867">
      <c r="A3867" s="3" t="inlineStr">
        <is>
          <t>세종특별자치시 연서면 청라리 420-1</t>
        </is>
      </c>
      <c r="B3867" s="3" t="inlineStr">
        <is>
          <t>계획관리지역</t>
        </is>
      </c>
      <c r="C3867" s="3" t="inlineStr">
        <is>
          <t>대</t>
        </is>
      </c>
      <c r="D3867" s="3" t="inlineStr">
        <is>
          <t>대</t>
        </is>
      </c>
      <c r="E3867" s="3" t="inlineStr">
        <is>
          <t>매매</t>
        </is>
      </c>
      <c r="F3867" s="4" t="n">
        <v>37000</v>
      </c>
      <c r="G3867" s="4" t="n">
        <v>657</v>
      </c>
      <c r="H3867" s="4" t="n">
        <v>199</v>
      </c>
      <c r="I3867" s="5" t="n">
        <v>185.9</v>
      </c>
      <c r="J3867" s="4" t="n">
        <v>56.6</v>
      </c>
      <c r="K3867" s="3" t="inlineStr">
        <is>
          <t>계획관리지역.성장관리계획구역.단독주택있슴</t>
        </is>
      </c>
      <c r="L3867" s="6">
        <f>HYPERLINK("https://fin.land.naver.com/articles/2648373796", "매물Link")</f>
        <v/>
      </c>
      <c r="M3867" s="6">
        <f>HYPERLINK("https://map.naver.com/p/search/세종특별자치시 연서면 청라리 420-1", "지도Link")</f>
        <v/>
      </c>
      <c r="N3867" s="6">
        <f>HYPERLINK("http://www.eum.go.kr/web/ar/lu/luLandDet.jsp?pnu=3611036027104200001&amp;isNoScr=script&amp;mode=search", "토지이음")</f>
        <v/>
      </c>
      <c r="O3867" s="3" t="inlineStr">
        <is>
          <t>돈방석</t>
        </is>
      </c>
      <c r="P3867" s="3" t="n">
        <v>1</v>
      </c>
      <c r="Q3867" s="3" t="n">
        <v>657.4</v>
      </c>
      <c r="R3867" s="3" t="inlineStr">
        <is>
          <t>지정되지않음</t>
        </is>
      </c>
      <c r="S3867" s="3" t="inlineStr">
        <is>
          <t>단독</t>
        </is>
      </c>
      <c r="T3867" s="3" t="inlineStr">
        <is>
          <t>완경사</t>
        </is>
      </c>
      <c r="U3867" s="3" t="inlineStr">
        <is>
          <t>사다리형</t>
        </is>
      </c>
      <c r="V3867" s="3" t="inlineStr">
        <is>
          <t>세로한면(가)</t>
        </is>
      </c>
    </row>
    <row r="3868">
      <c r="A3868" s="3" t="inlineStr">
        <is>
          <t>세종특별자치시 연서면 청라리 448</t>
        </is>
      </c>
      <c r="B3868" s="3" t="inlineStr">
        <is>
          <t>계획관리지역</t>
        </is>
      </c>
      <c r="C3868" s="3" t="inlineStr">
        <is>
          <t>창고용지</t>
        </is>
      </c>
      <c r="D3868" s="3" t="inlineStr">
        <is>
          <t>대</t>
        </is>
      </c>
      <c r="E3868" s="3" t="inlineStr">
        <is>
          <t>매매</t>
        </is>
      </c>
      <c r="F3868" s="4" t="n">
        <v>425400</v>
      </c>
      <c r="G3868" s="4" t="n">
        <v>7031</v>
      </c>
      <c r="H3868" s="4" t="n">
        <v>2127</v>
      </c>
      <c r="I3868" s="5" t="n">
        <v>200</v>
      </c>
      <c r="J3868" s="4" t="n">
        <v>36.8</v>
      </c>
      <c r="K3868" s="3" t="inlineStr">
        <is>
          <t>2차선도로 접한 토지</t>
        </is>
      </c>
      <c r="L3868" s="6">
        <f>HYPERLINK("https://fin.land.naver.com/articles/2648565269", "매물Link")</f>
        <v/>
      </c>
      <c r="M3868" s="6">
        <f>HYPERLINK("https://map.naver.com/p/search/세종특별자치시 연서면 청라리 448", "지도Link")</f>
        <v/>
      </c>
      <c r="N3868" s="6">
        <f>HYPERLINK("http://www.eum.go.kr/web/ar/lu/luLandDet.jsp?pnu=3611036027104480000&amp;isNoScr=script&amp;mode=search", "토지이음")</f>
        <v/>
      </c>
      <c r="O3868" s="3" t="inlineStr">
        <is>
          <t>더KEY</t>
        </is>
      </c>
      <c r="P3868" s="3" t="n">
        <v>1</v>
      </c>
      <c r="Q3868" s="3" t="n">
        <v>1158</v>
      </c>
      <c r="R3868" s="3" t="inlineStr">
        <is>
          <t>지정되지않음</t>
        </is>
      </c>
      <c r="S3868" s="3" t="inlineStr">
        <is>
          <t>답기타</t>
        </is>
      </c>
      <c r="T3868" s="3" t="inlineStr">
        <is>
          <t>완경사</t>
        </is>
      </c>
      <c r="U3868" s="3" t="inlineStr">
        <is>
          <t>부정형</t>
        </is>
      </c>
      <c r="V3868" s="3" t="inlineStr">
        <is>
          <t>소로한면</t>
        </is>
      </c>
    </row>
    <row r="3869">
      <c r="A3869" s="3" t="inlineStr">
        <is>
          <t>세종특별자치시 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HYPERLINK("https://map.naver.com/p/search/세종특별자치시 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세종특별자치시 연서면 청라리 490</t>
        </is>
      </c>
      <c r="B3870" s="3" t="inlineStr">
        <is>
          <t>보전관리지역</t>
        </is>
      </c>
      <c r="C3870" s="3" t="inlineStr">
        <is>
          <t>답</t>
        </is>
      </c>
      <c r="D3870" s="3" t="inlineStr">
        <is>
          <t>답</t>
        </is>
      </c>
      <c r="E3870" s="3" t="inlineStr">
        <is>
          <t>매매</t>
        </is>
      </c>
      <c r="F3870" s="4" t="n">
        <v>6750</v>
      </c>
      <c r="G3870" s="4" t="n">
        <v>1402</v>
      </c>
      <c r="H3870" s="4" t="n">
        <v>424</v>
      </c>
      <c r="I3870" s="5" t="n">
        <v>15.9</v>
      </c>
      <c r="J3870" s="4" t="n">
        <v>10.8</v>
      </c>
      <c r="K3870" s="3" t="inlineStr">
        <is>
          <t>구거 접해 있지만 맹지입니다.</t>
        </is>
      </c>
      <c r="L3870" s="6">
        <f>HYPERLINK("https://fin.land.naver.com/articles/2645859316", "매물Link")</f>
        <v/>
      </c>
      <c r="M3870" s="6">
        <f>HYPERLINK("https://map.naver.com/p/search/세종특별자치시 연서면 청라리 490", "지도Link")</f>
        <v/>
      </c>
      <c r="N3870" s="6">
        <f>HYPERLINK("http://www.eum.go.kr/web/ar/lu/luLandDet.jsp?pnu=3611036027104900000&amp;isNoScr=script&amp;mode=search", "토지이음")</f>
        <v/>
      </c>
      <c r="O3870" s="3" t="inlineStr">
        <is>
          <t>세종땅사랑</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세종특별자치시 연서면 청라리 490</t>
        </is>
      </c>
      <c r="B3871" s="3" t="inlineStr">
        <is>
          <t>보전관리지역</t>
        </is>
      </c>
      <c r="C3871" s="3" t="inlineStr">
        <is>
          <t>답</t>
        </is>
      </c>
      <c r="D3871" s="3" t="inlineStr">
        <is>
          <t>전</t>
        </is>
      </c>
      <c r="E3871" s="3" t="inlineStr">
        <is>
          <t>매매</t>
        </is>
      </c>
      <c r="F3871" s="4" t="n">
        <v>7000</v>
      </c>
      <c r="G3871" s="4" t="n">
        <v>1401</v>
      </c>
      <c r="H3871" s="4" t="n">
        <v>424</v>
      </c>
      <c r="I3871" s="5" t="n">
        <v>16.5</v>
      </c>
      <c r="J3871" s="4" t="n">
        <v>10.8</v>
      </c>
      <c r="K3871" s="3" t="inlineStr">
        <is>
          <t>급매.과수원추천.보전관리.성장관리계획구역.영농여건불리농지. 대토추천.</t>
        </is>
      </c>
      <c r="L3871" s="6">
        <f>HYPERLINK("https://fin.land.naver.com/articles/2646070061", "매물Link")</f>
        <v/>
      </c>
      <c r="M3871" s="6">
        <f>HYPERLINK("https://map.naver.com/p/search/세종특별자치시 연서면 청라리 490", "지도Link")</f>
        <v/>
      </c>
      <c r="N3871" s="6">
        <f>HYPERLINK("http://www.eum.go.kr/web/ar/lu/luLandDet.jsp?pnu=3611036027104900000&amp;isNoScr=script&amp;mode=search", "토지이음")</f>
        <v/>
      </c>
      <c r="O3871" s="3" t="inlineStr">
        <is>
          <t>휴튼9단지세교신도시</t>
        </is>
      </c>
      <c r="P3871" s="3" t="n">
        <v>1</v>
      </c>
      <c r="Q3871" s="3" t="n">
        <v>724</v>
      </c>
      <c r="R3871" s="3" t="inlineStr">
        <is>
          <t>지정되지않음</t>
        </is>
      </c>
      <c r="S3871" s="3" t="inlineStr">
        <is>
          <t>전</t>
        </is>
      </c>
      <c r="T3871" s="3" t="inlineStr">
        <is>
          <t>급경사</t>
        </is>
      </c>
      <c r="U3871" s="3" t="inlineStr">
        <is>
          <t>부정형</t>
        </is>
      </c>
      <c r="V3871" s="3" t="inlineStr">
        <is>
          <t>맹지</t>
        </is>
      </c>
    </row>
    <row r="3872">
      <c r="A3872" s="3" t="inlineStr">
        <is>
          <t>세종특별자치시 연서면 청라리 70</t>
        </is>
      </c>
      <c r="B3872" s="3" t="inlineStr">
        <is>
          <t>계획관리지역</t>
        </is>
      </c>
      <c r="C3872" s="3" t="inlineStr">
        <is>
          <t>전</t>
        </is>
      </c>
      <c r="D3872" s="3" t="inlineStr">
        <is>
          <t>전</t>
        </is>
      </c>
      <c r="E3872" s="3" t="inlineStr">
        <is>
          <t>매매</t>
        </is>
      </c>
      <c r="F3872" s="4" t="n">
        <v>55200</v>
      </c>
      <c r="G3872" s="4" t="n">
        <v>1587</v>
      </c>
      <c r="H3872" s="4" t="n">
        <v>480</v>
      </c>
      <c r="I3872" s="5" t="n">
        <v>115</v>
      </c>
      <c r="J3872" s="4" t="n">
        <v>31.6</v>
      </c>
      <c r="K3872" s="3" t="inlineStr">
        <is>
          <t>국가산업단지 인근 전원주택부지 추천 계획관리 전</t>
        </is>
      </c>
      <c r="L3872" s="6">
        <f>HYPERLINK("https://fin.land.naver.com/articles/2646439538", "매물Link")</f>
        <v/>
      </c>
      <c r="M3872" s="6">
        <f>HYPERLINK("https://map.naver.com/p/search/세종특별자치시 연서면 청라리 70", "지도Link")</f>
        <v/>
      </c>
      <c r="N3872" s="6">
        <f>HYPERLINK("http://www.eum.go.kr/web/ar/lu/luLandDet.jsp?pnu=3611036027100700000&amp;isNoScr=script&amp;mode=search", "토지이음")</f>
        <v/>
      </c>
      <c r="O3872" s="3" t="inlineStr">
        <is>
          <t>노은탑</t>
        </is>
      </c>
      <c r="P3872" s="3" t="n">
        <v>1</v>
      </c>
      <c r="Q3872" s="3" t="n">
        <v>1587</v>
      </c>
      <c r="R3872" s="3" t="inlineStr">
        <is>
          <t>지정되지않음</t>
        </is>
      </c>
      <c r="S3872" s="3" t="inlineStr">
        <is>
          <t>전</t>
        </is>
      </c>
      <c r="T3872" s="3" t="inlineStr">
        <is>
          <t>완경사</t>
        </is>
      </c>
      <c r="U3872" s="3" t="inlineStr">
        <is>
          <t>부정형</t>
        </is>
      </c>
      <c r="V3872" s="3" t="inlineStr">
        <is>
          <t>세로한면(가)</t>
        </is>
      </c>
    </row>
    <row r="3873">
      <c r="A3873" s="3" t="inlineStr">
        <is>
          <t>세종특별자치시 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HYPERLINK("https://map.naver.com/p/search/세종특별자치시 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세종특별자치시 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HYPERLINK("https://map.naver.com/p/search/세종특별자치시 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세종특별자치시 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HYPERLINK("https://map.naver.com/p/search/세종특별자치시 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세종특별자치시 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HYPERLINK("https://map.naver.com/p/search/세종특별자치시 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세종특별자치시 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HYPERLINK("https://map.naver.com/p/search/세종특별자치시 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세종특별자치시 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HYPERLINK("https://map.naver.com/p/search/세종특별자치시 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세종특별자치시 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HYPERLINK("https://map.naver.com/p/search/세종특별자치시 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세종특별자치시 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HYPERLINK("https://map.naver.com/p/search/세종특별자치시 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세종특별자치시 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HYPERLINK("https://map.naver.com/p/search/세종특별자치시 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세종특별자치시 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HYPERLINK("https://map.naver.com/p/search/세종특별자치시 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세종특별자치시 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HYPERLINK("https://map.naver.com/p/search/세종특별자치시 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세종특별자치시 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HYPERLINK("https://map.naver.com/p/search/세종특별자치시 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세종특별자치시 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HYPERLINK("https://map.naver.com/p/search/세종특별자치시 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세종특별자치시 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HYPERLINK("https://map.naver.com/p/search/세종특별자치시 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세종특별자치시 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HYPERLINK("https://map.naver.com/p/search/세종특별자치시 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세종특별자치시 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HYPERLINK("https://map.naver.com/p/search/세종특별자치시 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세종특별자치시 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HYPERLINK("https://map.naver.com/p/search/세종특별자치시 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세종특별자치시 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HYPERLINK("https://map.naver.com/p/search/세종특별자치시 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세종특별자치시 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HYPERLINK("https://map.naver.com/p/search/세종특별자치시 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세종특별자치시 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HYPERLINK("https://map.naver.com/p/search/세종특별자치시 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세종특별자치시 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HYPERLINK("https://map.naver.com/p/search/세종특별자치시 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세종특별자치시 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HYPERLINK("https://map.naver.com/p/search/세종특별자치시 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세종특별자치시 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HYPERLINK("https://map.naver.com/p/search/세종특별자치시 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세종특별자치시 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HYPERLINK("https://map.naver.com/p/search/세종특별자치시 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세종특별자치시 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HYPERLINK("https://map.naver.com/p/search/세종특별자치시 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세종특별자치시 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HYPERLINK("https://map.naver.com/p/search/세종특별자치시 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세종특별자치시 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HYPERLINK("https://map.naver.com/p/search/세종특별자치시 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세종특별자치시 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HYPERLINK("https://map.naver.com/p/search/세종특별자치시 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세종특별자치시 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HYPERLINK("https://map.naver.com/p/search/세종특별자치시 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세종특별자치시 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HYPERLINK("https://map.naver.com/p/search/세종특별자치시 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세종특별자치시 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HYPERLINK("https://map.naver.com/p/search/세종특별자치시 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세종특별자치시 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HYPERLINK("https://map.naver.com/p/search/세종특별자치시 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세종특별자치시 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HYPERLINK("https://map.naver.com/p/search/세종특별자치시 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세종특별자치시 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HYPERLINK("https://map.naver.com/p/search/세종특별자치시 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세종특별자치시 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HYPERLINK("https://map.naver.com/p/search/세종특별자치시 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세종특별자치시 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급매,청벽마을 단독전원주택지, 청벽의 절경과 금강 뷰가 좋은 전원주택지</t>
        </is>
      </c>
      <c r="L3908" s="6">
        <f>HYPERLINK("https://fin.land.naver.com/articles/2646539366", "매물Link")</f>
        <v/>
      </c>
      <c r="M3908" s="6">
        <f>HYPERLINK("https://map.naver.com/p/search/세종특별자치시 장군면 금암리 314-113", "지도Link")</f>
        <v/>
      </c>
      <c r="N3908" s="6">
        <f>HYPERLINK("http://www.eum.go.kr/web/ar/lu/luLandDet.jsp?pnu=3611035025103140113&amp;isNoScr=script&amp;mode=search", "토지이음")</f>
        <v/>
      </c>
      <c r="O3908" s="3" t="inlineStr">
        <is>
          <t>고운맘</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세종특별자치시 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청벽전원마을 금강보이는토지</t>
        </is>
      </c>
      <c r="L3909" s="6">
        <f>HYPERLINK("https://fin.land.naver.com/articles/2647242741", "매물Link")</f>
        <v/>
      </c>
      <c r="M3909" s="6">
        <f>HYPERLINK("https://map.naver.com/p/search/세종특별자치시 장군면 금암리 314-113", "지도Link")</f>
        <v/>
      </c>
      <c r="N3909" s="6">
        <f>HYPERLINK("http://www.eum.go.kr/web/ar/lu/luLandDet.jsp?pnu=3611035025103140113&amp;isNoScr=script&amp;mode=search", "토지이음")</f>
        <v/>
      </c>
      <c r="O3909" s="3" t="inlineStr">
        <is>
          <t>테크노미소</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세종특별자치시 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HYPERLINK("https://map.naver.com/p/search/세종특별자치시 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세종특별자치시 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HYPERLINK("https://map.naver.com/p/search/세종특별자치시 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세종특별자치시 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HYPERLINK("https://map.naver.com/p/search/세종특별자치시 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세종특별자치시 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HYPERLINK("https://map.naver.com/p/search/세종특별자치시 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세종특별자치시 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HYPERLINK("https://map.naver.com/p/search/세종특별자치시 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세종특별자치시 장군면 금암리 378-28</t>
        </is>
      </c>
      <c r="B3915" s="3" t="inlineStr">
        <is>
          <t>보전관리지역</t>
        </is>
      </c>
      <c r="C3915" s="3" t="inlineStr">
        <is>
          <t>임야</t>
        </is>
      </c>
      <c r="D3915" s="3" t="inlineStr">
        <is>
          <t>대</t>
        </is>
      </c>
      <c r="E3915" s="3" t="inlineStr">
        <is>
          <t>매매</t>
        </is>
      </c>
      <c r="F3915" s="4" t="n">
        <v>50000</v>
      </c>
      <c r="G3915" s="4" t="n">
        <v>470</v>
      </c>
      <c r="H3915" s="4" t="n">
        <v>142</v>
      </c>
      <c r="I3915" s="5" t="n">
        <v>352.1</v>
      </c>
      <c r="J3915" s="4" t="n">
        <v>223.6</v>
      </c>
      <c r="K3915" s="3" t="inlineStr">
        <is>
          <t>공주가는길농협연수원근처,전원주택즉시건축가능,첫마을에서10분지대가높고좋아요</t>
        </is>
      </c>
      <c r="L3915" s="6">
        <f>HYPERLINK("https://fin.land.naver.com/articles/2648101409", "매물Link")</f>
        <v/>
      </c>
      <c r="M3915" s="6">
        <f>HYPERLINK("https://map.naver.com/p/search/세종특별자치시 장군면 금암리 378-28", "지도Link")</f>
        <v/>
      </c>
      <c r="N3915" s="6">
        <f>HYPERLINK("http://www.eum.go.kr/web/ar/lu/luLandDet.jsp?pnu=3611035025103780028&amp;isNoScr=script&amp;mode=search", "토지이음")</f>
        <v/>
      </c>
      <c r="O3915" s="3" t="inlineStr">
        <is>
          <t>신대륙</t>
        </is>
      </c>
      <c r="P3915" s="3" t="n">
        <v>1</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세종특별자치시 장군면 금암리 378-28</t>
        </is>
      </c>
      <c r="B3916" s="3" t="inlineStr">
        <is>
          <t>보전관리지역</t>
        </is>
      </c>
      <c r="C3916" s="3" t="inlineStr">
        <is>
          <t>임야</t>
        </is>
      </c>
      <c r="D3916" s="3" t="inlineStr">
        <is>
          <t>임야</t>
        </is>
      </c>
      <c r="E3916" s="3" t="inlineStr">
        <is>
          <t>매매</t>
        </is>
      </c>
      <c r="F3916" s="4" t="n">
        <v>60000</v>
      </c>
      <c r="G3916" s="4" t="n">
        <v>628</v>
      </c>
      <c r="H3916" s="4" t="n">
        <v>190</v>
      </c>
      <c r="I3916" s="5" t="n">
        <v>315.8</v>
      </c>
      <c r="J3916" s="4" t="n">
        <v>223.6</v>
      </c>
      <c r="K3916" s="3" t="inlineStr">
        <is>
          <t>계획관리지역, 전원주택지, 도로연접, 세종시15분이내</t>
        </is>
      </c>
      <c r="L3916" s="6">
        <f>HYPERLINK("https://fin.land.naver.com/articles/2646242650", "매물Link")</f>
        <v/>
      </c>
      <c r="M3916" s="6">
        <f>HYPERLINK("https://map.naver.com/p/search/세종특별자치시 장군면 금암리 378-28", "지도Link")</f>
        <v/>
      </c>
      <c r="N3916" s="6">
        <f>HYPERLINK("http://www.eum.go.kr/web/ar/lu/luLandDet.jsp?pnu=3611035025103780028&amp;isNoScr=script&amp;mode=search", "토지이음")</f>
        <v/>
      </c>
      <c r="O3916" s="3" t="inlineStr">
        <is>
          <t>Home</t>
        </is>
      </c>
      <c r="P3916" s="3" t="n">
        <v>2</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세종특별자치시 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HYPERLINK("https://map.naver.com/p/search/세종특별자치시 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세종특별자치시 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HYPERLINK("https://map.naver.com/p/search/세종특별자치시 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세종특별자치시 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HYPERLINK("https://map.naver.com/p/search/세종특별자치시 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세종특별자치시 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HYPERLINK("https://map.naver.com/p/search/세종특별자치시 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세종특별자치시 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HYPERLINK("https://map.naver.com/p/search/세종특별자치시 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세종특별자치시 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HYPERLINK("https://map.naver.com/p/search/세종특별자치시 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세종특별자치시 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HYPERLINK("https://map.naver.com/p/search/세종특별자치시 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세종특별자치시 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HYPERLINK("https://map.naver.com/p/search/세종특별자치시 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세종특별자치시 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HYPERLINK("https://map.naver.com/p/search/세종특별자치시 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세종특별자치시 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장군면 전원주택지 ,위치좋고 뷰가 최상,가락마을 9단지 근처.가격조율가.</t>
        </is>
      </c>
      <c r="L3926" s="6">
        <f>HYPERLINK("https://fin.land.naver.com/articles/2644988696", "매물Link")</f>
        <v/>
      </c>
      <c r="M3926" s="6">
        <f>HYPERLINK("https://map.naver.com/p/search/세종특별자치시 장군면 대교리 125-54", "지도Link")</f>
        <v/>
      </c>
      <c r="N3926" s="6">
        <f>HYPERLINK("http://www.eum.go.kr/web/ar/lu/luLandDet.jsp?pnu=3611035023101250054&amp;isNoScr=script&amp;mode=search", "토지이음")</f>
        <v/>
      </c>
      <c r="O3926" s="3" t="inlineStr">
        <is>
          <t>우미</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세종특별자치시 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추천 명당 더숲전원주택지 ,남향에 공원이 토지앞에 있어 더욱 좋은땅</t>
        </is>
      </c>
      <c r="L3927" s="6">
        <f>HYPERLINK("https://fin.land.naver.com/articles/2647836418", "매물Link")</f>
        <v/>
      </c>
      <c r="M3927" s="6">
        <f>HYPERLINK("https://map.naver.com/p/search/세종특별자치시 장군면 대교리 125-54", "지도Link")</f>
        <v/>
      </c>
      <c r="N3927" s="6">
        <f>HYPERLINK("http://www.eum.go.kr/web/ar/lu/luLandDet.jsp?pnu=3611035023101250054&amp;isNoScr=script&amp;mode=search", "토지이음")</f>
        <v/>
      </c>
      <c r="O3927" s="3" t="inlineStr">
        <is>
          <t>세종대승</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세종특별자치시 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HYPERLINK("https://map.naver.com/p/search/세종특별자치시 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세종특별자치시 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HYPERLINK("https://map.naver.com/p/search/세종특별자치시 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세종특별자치시 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HYPERLINK("https://map.naver.com/p/search/세종특별자치시 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세종특별자치시 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고운동 경계 마지막 대형 상업용지</t>
        </is>
      </c>
      <c r="L3931" s="6">
        <f>HYPERLINK("https://fin.land.naver.com/articles/2649483378", "매물Link")</f>
        <v/>
      </c>
      <c r="M3931" s="6">
        <f>HYPERLINK("https://map.naver.com/p/search/세종특별자치시 장군면 대교리 132", "지도Link")</f>
        <v/>
      </c>
      <c r="N3931" s="6">
        <f>HYPERLINK("http://www.eum.go.kr/web/ar/lu/luLandDet.jsp?pnu=3611035023101320000&amp;isNoScr=script&amp;mode=search", "토지이음")</f>
        <v/>
      </c>
      <c r="O3931" s="3" t="inlineStr">
        <is>
          <t>대박</t>
        </is>
      </c>
      <c r="P3931" s="3" t="n">
        <v>1</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세종특별자치시 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세종시 고운동 9단지 신동아아파트 인근 2차선 도로에 접한 계획관리 토지</t>
        </is>
      </c>
      <c r="L3932" s="6">
        <f>HYPERLINK("https://fin.land.naver.com/articles/2650049002", "매물Link")</f>
        <v/>
      </c>
      <c r="M3932" s="6">
        <f>HYPERLINK("https://map.naver.com/p/search/세종특별자치시 장군면 대교리 132", "지도Link")</f>
        <v/>
      </c>
      <c r="N3932" s="6">
        <f>HYPERLINK("http://www.eum.go.kr/web/ar/lu/luLandDet.jsp?pnu=3611035023101320000&amp;isNoScr=script&amp;mode=search", "토지이음")</f>
        <v/>
      </c>
      <c r="O3932" s="3" t="inlineStr">
        <is>
          <t>하이엔드</t>
        </is>
      </c>
      <c r="P3932" s="3" t="n">
        <v>3</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세종특별자치시 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HYPERLINK("https://map.naver.com/p/search/세종특별자치시 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세종특별자치시 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HYPERLINK("https://map.naver.com/p/search/세종특별자치시 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세종특별자치시 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HYPERLINK("https://map.naver.com/p/search/세종특별자치시 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세종특별자치시 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HYPERLINK("https://map.naver.com/p/search/세종특별자치시 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세종특별자치시 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HYPERLINK("https://map.naver.com/p/search/세종특별자치시 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세종특별자치시 장군면 대교리 227-16</t>
        </is>
      </c>
      <c r="B3938" s="3" t="inlineStr">
        <is>
          <t>보전관리지역</t>
        </is>
      </c>
      <c r="C3938" s="3" t="inlineStr">
        <is>
          <t>대</t>
        </is>
      </c>
      <c r="D3938" s="3" t="inlineStr">
        <is>
          <t>대</t>
        </is>
      </c>
      <c r="E3938" s="3" t="inlineStr">
        <is>
          <t>매매</t>
        </is>
      </c>
      <c r="F3938" s="4" t="n">
        <v>100000</v>
      </c>
      <c r="G3938" s="4" t="n">
        <v>1361</v>
      </c>
      <c r="H3938" s="4" t="n">
        <v>412</v>
      </c>
      <c r="I3938" s="5" t="n">
        <v>242.7</v>
      </c>
      <c r="J3938" s="4" t="n">
        <v>151.2</v>
      </c>
      <c r="K3938" s="3" t="inlineStr">
        <is>
          <t>신도시 1km 거리 명품택지 이니지오, 넓은평수에 상단 위치 최상 전망</t>
        </is>
      </c>
      <c r="L3938" s="6">
        <f>HYPERLINK("https://fin.land.naver.com/articles/2644847753", "매물Link")</f>
        <v/>
      </c>
      <c r="M3938" s="6">
        <f>HYPERLINK("https://map.naver.com/p/search/세종특별자치시 장군면 대교리 227-16", "지도Link")</f>
        <v/>
      </c>
      <c r="N3938" s="6">
        <f>HYPERLINK("http://www.eum.go.kr/web/ar/lu/luLandDet.jsp?pnu=3611035023102270016&amp;isNoScr=script&amp;mode=search", "토지이음")</f>
        <v/>
      </c>
      <c r="O3938" s="3" t="inlineStr">
        <is>
          <t>온뜰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세종특별자치시 장군면 대교리 227-16</t>
        </is>
      </c>
      <c r="B3939" s="3" t="inlineStr">
        <is>
          <t>보전관리지역</t>
        </is>
      </c>
      <c r="C3939" s="3" t="inlineStr">
        <is>
          <t>대</t>
        </is>
      </c>
      <c r="D3939" s="3" t="inlineStr">
        <is>
          <t>대</t>
        </is>
      </c>
      <c r="E3939" s="3" t="inlineStr">
        <is>
          <t>매매</t>
        </is>
      </c>
      <c r="F3939" s="4" t="n">
        <v>100000</v>
      </c>
      <c r="G3939" s="4" t="n">
        <v>892</v>
      </c>
      <c r="H3939" s="4" t="n">
        <v>270</v>
      </c>
      <c r="I3939" s="5" t="n">
        <v>370.4</v>
      </c>
      <c r="J3939" s="4" t="n">
        <v>151.2</v>
      </c>
      <c r="K3939" s="3" t="inlineStr">
        <is>
          <t>가격네고가능,2차선도로접,세종시근접,건축허가 난토지.단독주택지로 추천</t>
        </is>
      </c>
      <c r="L3939" s="6">
        <f>HYPERLINK("https://fin.land.naver.com/articles/2646791304", "매물Link")</f>
        <v/>
      </c>
      <c r="M3939" s="6">
        <f>HYPERLINK("https://map.naver.com/p/search/세종특별자치시 장군면 대교리 227-16", "지도Link")</f>
        <v/>
      </c>
      <c r="N3939" s="6">
        <f>HYPERLINK("http://www.eum.go.kr/web/ar/lu/luLandDet.jsp?pnu=3611035023102270016&amp;isNoScr=script&amp;mode=search", "토지이음")</f>
        <v/>
      </c>
      <c r="O3939" s="3" t="inlineStr">
        <is>
          <t>담뜰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세종특별자치시 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HYPERLINK("https://map.naver.com/p/search/세종특별자치시 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세종특별자치시 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HYPERLINK("https://map.naver.com/p/search/세종특별자치시 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세종특별자치시 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HYPERLINK("https://map.naver.com/p/search/세종특별자치시 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세종특별자치시 장군면 대교리 228-20</t>
        </is>
      </c>
      <c r="B3943" s="3" t="inlineStr">
        <is>
          <t>보전관리지역</t>
        </is>
      </c>
      <c r="C3943" s="3" t="inlineStr">
        <is>
          <t>대</t>
        </is>
      </c>
      <c r="D3943" s="3" t="inlineStr">
        <is>
          <t>대</t>
        </is>
      </c>
      <c r="E3943" s="3" t="inlineStr">
        <is>
          <t>매매</t>
        </is>
      </c>
      <c r="F3943" s="4" t="n">
        <v>106700</v>
      </c>
      <c r="G3943" s="4" t="n">
        <v>1216</v>
      </c>
      <c r="H3943" s="4" t="n">
        <v>368</v>
      </c>
      <c r="I3943" s="5" t="n">
        <v>289.9</v>
      </c>
      <c r="J3943" s="4" t="n">
        <v>151.2</v>
      </c>
      <c r="K3943" s="3" t="inlineStr">
        <is>
          <t>막힘없는 조망권뷰 최상,넓은평수,명품 이니지오 택지,가격조정가능</t>
        </is>
      </c>
      <c r="L3943" s="6">
        <f>HYPERLINK("https://fin.land.naver.com/articles/2646725821", "매물Link")</f>
        <v/>
      </c>
      <c r="M3943" s="6">
        <f>HYPERLINK("https://map.naver.com/p/search/세종특별자치시 장군면 대교리 228-20", "지도Link")</f>
        <v/>
      </c>
      <c r="N3943" s="6">
        <f>HYPERLINK("http://www.eum.go.kr/web/ar/lu/luLandDet.jsp?pnu=3611035023102280020&amp;isNoScr=script&amp;mode=search", "토지이음")</f>
        <v/>
      </c>
      <c r="O3943" s="3" t="inlineStr">
        <is>
          <t>고운맘</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세종특별자치시 장군면 대교리 228-20</t>
        </is>
      </c>
      <c r="B3944" s="3" t="inlineStr">
        <is>
          <t>보전관리지역</t>
        </is>
      </c>
      <c r="C3944" s="3" t="inlineStr">
        <is>
          <t>대</t>
        </is>
      </c>
      <c r="D3944" s="3" t="inlineStr">
        <is>
          <t>대</t>
        </is>
      </c>
      <c r="E3944" s="3" t="inlineStr">
        <is>
          <t>매매</t>
        </is>
      </c>
      <c r="F3944" s="4" t="n">
        <v>106700</v>
      </c>
      <c r="G3944" s="4" t="n">
        <v>801</v>
      </c>
      <c r="H3944" s="4" t="n">
        <v>242</v>
      </c>
      <c r="I3944" s="5" t="n">
        <v>440.9</v>
      </c>
      <c r="J3944" s="4" t="n">
        <v>151.2</v>
      </c>
      <c r="K3944" s="3" t="inlineStr">
        <is>
          <t>이니지오 단독주택지 전원주택 단독주택 찾는분</t>
        </is>
      </c>
      <c r="L3944" s="6">
        <f>HYPERLINK("https://fin.land.naver.com/articles/2649734063", "매물Link")</f>
        <v/>
      </c>
      <c r="M3944" s="6">
        <f>HYPERLINK("https://map.naver.com/p/search/세종특별자치시 장군면 대교리 228-20", "지도Link")</f>
        <v/>
      </c>
      <c r="N3944" s="6">
        <f>HYPERLINK("http://www.eum.go.kr/web/ar/lu/luLandDet.jsp?pnu=3611035023102280020&amp;isNoScr=script&amp;mode=search", "토지이음")</f>
        <v/>
      </c>
      <c r="O3944" s="3" t="inlineStr">
        <is>
          <t>세종몽땅</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세종특별자치시 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HYPERLINK("https://map.naver.com/p/search/세종특별자치시 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세종특별자치시 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HYPERLINK("https://map.naver.com/p/search/세종특별자치시 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세종특별자치시 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HYPERLINK("https://map.naver.com/p/search/세종특별자치시 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세종특별자치시 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HYPERLINK("https://map.naver.com/p/search/세종특별자치시 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세종특별자치시 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HYPERLINK("https://map.naver.com/p/search/세종특별자치시 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세종특별자치시 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HYPERLINK("https://map.naver.com/p/search/세종특별자치시 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세종특별자치시 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HYPERLINK("https://map.naver.com/p/search/세종특별자치시 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세종특별자치시 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HYPERLINK("https://map.naver.com/p/search/세종특별자치시 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세종특별자치시 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HYPERLINK("https://map.naver.com/p/search/세종특별자치시 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세종특별자치시 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HYPERLINK("https://map.naver.com/p/search/세종특별자치시 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세종특별자치시 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HYPERLINK("https://map.naver.com/p/search/세종특별자치시 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세종특별자치시 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HYPERLINK("https://map.naver.com/p/search/세종특별자치시 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세종특별자치시 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HYPERLINK("https://map.naver.com/p/search/세종특별자치시 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세종특별자치시 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HYPERLINK("https://map.naver.com/p/search/세종특별자치시 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세종특별자치시 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HYPERLINK("https://map.naver.com/p/search/세종특별자치시 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세종특별자치시 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HYPERLINK("https://map.naver.com/p/search/세종특별자치시 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세종특별자치시 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HYPERLINK("https://map.naver.com/p/search/세종특별자치시 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세종특별자치시 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지대가 높아 뷰가 좋은 위치,한옥주택 및 김종서장군묘소 인접,4필지 매매</t>
        </is>
      </c>
      <c r="L3962" s="6">
        <f>HYPERLINK("https://fin.land.naver.com/articles/2649566486", "매물Link")</f>
        <v/>
      </c>
      <c r="M3962" s="6">
        <f>HYPERLINK("https://map.naver.com/p/search/세종특별자치시 장군면 대교리 348", "지도Link")</f>
        <v/>
      </c>
      <c r="N3962" s="6">
        <f>HYPERLINK("http://www.eum.go.kr/web/ar/lu/luLandDet.jsp?pnu=3611035023103480000&amp;isNoScr=script&amp;mode=search", "토지이음")</f>
        <v/>
      </c>
      <c r="O3962" s="3" t="inlineStr">
        <is>
          <t>고운맘</t>
        </is>
      </c>
      <c r="P3962" s="3" t="n">
        <v>1</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세종특별자치시 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건축허가 된 토지,대교리 토지 매매</t>
        </is>
      </c>
      <c r="L3963" s="6">
        <f>HYPERLINK("https://fin.land.naver.com/articles/2647184244", "매물Link")</f>
        <v/>
      </c>
      <c r="M3963" s="6">
        <f>HYPERLINK("https://map.naver.com/p/search/세종특별자치시 장군면 대교리 348", "지도Link")</f>
        <v/>
      </c>
      <c r="N3963" s="6">
        <f>HYPERLINK("http://www.eum.go.kr/web/ar/lu/luLandDet.jsp?pnu=3611035023103480000&amp;isNoScr=script&amp;mode=search", "토지이음")</f>
        <v/>
      </c>
      <c r="O3963" s="3" t="inlineStr">
        <is>
          <t>만촌서한</t>
        </is>
      </c>
      <c r="P3963" s="3" t="n">
        <v>2</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세종특별자치시 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HYPERLINK("https://map.naver.com/p/search/세종특별자치시 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세종특별자치시 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HYPERLINK("https://map.naver.com/p/search/세종특별자치시 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세종특별자치시 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HYPERLINK("https://map.naver.com/p/search/세종특별자치시 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세종특별자치시 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HYPERLINK("https://map.naver.com/p/search/세종특별자치시 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세종특별자치시 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HYPERLINK("https://map.naver.com/p/search/세종특별자치시 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세종특별자치시 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HYPERLINK("https://map.naver.com/p/search/세종특별자치시 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세종특별자치시 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HYPERLINK("https://map.naver.com/p/search/세종특별자치시 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세종특별자치시 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HYPERLINK("https://map.naver.com/p/search/세종특별자치시 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세종특별자치시 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HYPERLINK("https://map.naver.com/p/search/세종특별자치시 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세종특별자치시 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초급매,지대가 높아 뷰가 좋은 위치,김종서장군묘소인접,코너</t>
        </is>
      </c>
      <c r="L3973" s="6">
        <f>HYPERLINK("https://fin.land.naver.com/articles/2647930351", "매물Link")</f>
        <v/>
      </c>
      <c r="M3973" s="6">
        <f>HYPERLINK("https://map.naver.com/p/search/세종특별자치시 장군면 대교리 370-23", "지도Link")</f>
        <v/>
      </c>
      <c r="N3973" s="6">
        <f>HYPERLINK("http://www.eum.go.kr/web/ar/lu/luLandDet.jsp?pnu=3611035023103700023&amp;isNoScr=script&amp;mode=search", "토지이음")</f>
        <v/>
      </c>
      <c r="O3973" s="3" t="inlineStr">
        <is>
          <t>고운맘</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세종특별자치시 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nan</t>
        </is>
      </c>
      <c r="L3974" s="6">
        <f>HYPERLINK("https://fin.land.naver.com/articles/2644592400", "매물Link")</f>
        <v/>
      </c>
      <c r="M3974" s="6">
        <f>HYPERLINK("https://map.naver.com/p/search/세종특별자치시 장군면 대교리 370-23", "지도Link")</f>
        <v/>
      </c>
      <c r="N3974" s="6">
        <f>HYPERLINK("http://www.eum.go.kr/web/ar/lu/luLandDet.jsp?pnu=3611035023103700023&amp;isNoScr=script&amp;mode=search", "토지이음")</f>
        <v/>
      </c>
      <c r="O3974" s="3" t="inlineStr">
        <is>
          <t>세종몽땅</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세종특별자치시 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HYPERLINK("https://map.naver.com/p/search/세종특별자치시 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세종특별자치시 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HYPERLINK("https://map.naver.com/p/search/세종특별자치시 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세종특별자치시 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HYPERLINK("https://map.naver.com/p/search/세종특별자치시 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세종특별자치시 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HYPERLINK("https://map.naver.com/p/search/세종특별자치시 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세종특별자치시 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HYPERLINK("https://map.naver.com/p/search/세종특별자치시 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세종특별자치시 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HYPERLINK("https://map.naver.com/p/search/세종특별자치시 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세종특별자치시 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HYPERLINK("https://map.naver.com/p/search/세종특별자치시 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세종특별자치시 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HYPERLINK("https://map.naver.com/p/search/세종특별자치시 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세종특별자치시 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HYPERLINK("https://map.naver.com/p/search/세종특별자치시 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세종특별자치시 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HYPERLINK("https://map.naver.com/p/search/세종특별자치시 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세종특별자치시 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HYPERLINK("https://map.naver.com/p/search/세종특별자치시 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세종특별자치시 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HYPERLINK("https://map.naver.com/p/search/세종특별자치시 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세종특별자치시 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HYPERLINK("https://map.naver.com/p/search/세종특별자치시 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세종특별자치시 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HYPERLINK("https://map.naver.com/p/search/세종특별자치시 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세종특별자치시 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HYPERLINK("https://map.naver.com/p/search/세종특별자치시 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세종특별자치시 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HYPERLINK("https://map.naver.com/p/search/세종특별자치시 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세종특별자치시 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HYPERLINK("https://map.naver.com/p/search/세종특별자치시 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세종특별자치시 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HYPERLINK("https://map.naver.com/p/search/세종특별자치시 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세종특별자치시 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HYPERLINK("https://map.naver.com/p/search/세종특별자치시 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세종특별자치시 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HYPERLINK("https://map.naver.com/p/search/세종특별자치시 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세종특별자치시 장군면 대교리 507-1</t>
        </is>
      </c>
      <c r="B3995" s="3" t="inlineStr">
        <is>
          <t>계획관리지역</t>
        </is>
      </c>
      <c r="C3995" s="3" t="inlineStr">
        <is>
          <t>답</t>
        </is>
      </c>
      <c r="D3995" s="3" t="inlineStr">
        <is>
          <t>답</t>
        </is>
      </c>
      <c r="E3995" s="3" t="inlineStr">
        <is>
          <t>매매</t>
        </is>
      </c>
      <c r="F3995" s="4" t="n">
        <v>230000</v>
      </c>
      <c r="G3995" s="4" t="n">
        <v>1267</v>
      </c>
      <c r="H3995" s="4" t="n">
        <v>383</v>
      </c>
      <c r="I3995" s="5" t="n">
        <v>600.5</v>
      </c>
      <c r="J3995" s="4" t="n">
        <v>91.40000000000001</v>
      </c>
      <c r="K3995" s="3" t="inlineStr">
        <is>
          <t>인접6필지일괄매도,분리매도가능,계획관리지역 투자가치 최고</t>
        </is>
      </c>
      <c r="L3995" s="6">
        <f>HYPERLINK("https://fin.land.naver.com/articles/2647407778", "매물Link")</f>
        <v/>
      </c>
      <c r="M3995" s="6">
        <f>HYPERLINK("https://map.naver.com/p/search/세종특별자치시 장군면 대교리 507-1", "지도Link")</f>
        <v/>
      </c>
      <c r="N3995" s="6">
        <f>HYPERLINK("http://www.eum.go.kr/web/ar/lu/luLandDet.jsp?pnu=3611035023105070001&amp;isNoScr=script&amp;mode=search", "토지이음")</f>
        <v/>
      </c>
      <c r="O3995" s="3" t="inlineStr">
        <is>
          <t>생생</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세종특별자치시 장군면 대교리 507-1</t>
        </is>
      </c>
      <c r="B3996" s="3" t="inlineStr">
        <is>
          <t>계획관리지역</t>
        </is>
      </c>
      <c r="C3996" s="3" t="inlineStr">
        <is>
          <t>답</t>
        </is>
      </c>
      <c r="D3996" s="3" t="inlineStr">
        <is>
          <t>답</t>
        </is>
      </c>
      <c r="E3996" s="3" t="inlineStr">
        <is>
          <t>매매</t>
        </is>
      </c>
      <c r="F3996" s="4" t="n">
        <v>200000</v>
      </c>
      <c r="G3996" s="4" t="n">
        <v>3891</v>
      </c>
      <c r="H3996" s="4" t="n">
        <v>1177</v>
      </c>
      <c r="I3996" s="5" t="n">
        <v>169.9</v>
      </c>
      <c r="J3996" s="4" t="n">
        <v>91.40000000000001</v>
      </c>
      <c r="K3996" s="3" t="inlineStr">
        <is>
          <t>명성공인, 대교리 계획관리 추천 매물</t>
        </is>
      </c>
      <c r="L3996" s="6">
        <f>HYPERLINK("https://fin.land.naver.com/articles/2648044826", "매물Link")</f>
        <v/>
      </c>
      <c r="M3996" s="6">
        <f>HYPERLINK("https://map.naver.com/p/search/세종특별자치시 장군면 대교리 507-1", "지도Link")</f>
        <v/>
      </c>
      <c r="N3996" s="6">
        <f>HYPERLINK("http://www.eum.go.kr/web/ar/lu/luLandDet.jsp?pnu=3611035023105070001&amp;isNoScr=script&amp;mode=search", "토지이음")</f>
        <v/>
      </c>
      <c r="O3996" s="3" t="inlineStr">
        <is>
          <t>명성</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세종특별자치시 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HYPERLINK("https://map.naver.com/p/search/세종특별자치시 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세종특별자치시 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HYPERLINK("https://map.naver.com/p/search/세종특별자치시 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세종특별자치시 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HYPERLINK("https://map.naver.com/p/search/세종특별자치시 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세종특별자치시 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HYPERLINK("https://map.naver.com/p/search/세종특별자치시 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세종특별자치시 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HYPERLINK("https://map.naver.com/p/search/세종특별자치시 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세종특별자치시 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HYPERLINK("https://map.naver.com/p/search/세종특별자치시 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세종특별자치시 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HYPERLINK("https://map.naver.com/p/search/세종특별자치시 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세종특별자치시 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HYPERLINK("https://map.naver.com/p/search/세종특별자치시 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세종특별자치시 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HYPERLINK("https://map.naver.com/p/search/세종특별자치시 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세종특별자치시 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HYPERLINK("https://map.naver.com/p/search/세종특별자치시 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세종특별자치시 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HYPERLINK("https://map.naver.com/p/search/세종특별자치시 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세종특별자치시 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HYPERLINK("https://map.naver.com/p/search/세종특별자치시 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세종특별자치시 장군면 대교리 79-38</t>
        </is>
      </c>
      <c r="B4009" s="3" t="inlineStr">
        <is>
          <t>보전관리지역</t>
        </is>
      </c>
      <c r="C4009" s="3" t="inlineStr">
        <is>
          <t>임야</t>
        </is>
      </c>
      <c r="D4009" s="3" t="inlineStr">
        <is>
          <t>임야</t>
        </is>
      </c>
      <c r="E4009" s="3" t="inlineStr">
        <is>
          <t>매매</t>
        </is>
      </c>
      <c r="F4009" s="4" t="n">
        <v>45000</v>
      </c>
      <c r="G4009" s="4" t="n">
        <v>580</v>
      </c>
      <c r="H4009" s="4" t="n">
        <v>175</v>
      </c>
      <c r="I4009" s="5" t="n">
        <v>257.1</v>
      </c>
      <c r="J4009" s="4" t="n">
        <v>157.2</v>
      </c>
      <c r="K4009" s="3" t="inlineStr">
        <is>
          <t>초초급매,조망권뷰 최상,지대가 높은 전원주택지 즉시 건축가능</t>
        </is>
      </c>
      <c r="L4009" s="6">
        <f>HYPERLINK("https://fin.land.naver.com/articles/2644947121", "매물Link")</f>
        <v/>
      </c>
      <c r="M4009" s="6">
        <f>HYPERLINK("https://map.naver.com/p/search/세종특별자치시 장군면 대교리 79-38", "지도Link")</f>
        <v/>
      </c>
      <c r="N4009" s="6">
        <f>HYPERLINK("http://www.eum.go.kr/web/ar/lu/luLandDet.jsp?pnu=3611035023100790038&amp;isNoScr=script&amp;mode=search", "토지이음")</f>
        <v/>
      </c>
      <c r="O4009" s="3" t="inlineStr">
        <is>
          <t>고운맘</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세종특별자치시 장군면 대교리 79-38</t>
        </is>
      </c>
      <c r="B4010" s="3" t="inlineStr">
        <is>
          <t>보전관리지역</t>
        </is>
      </c>
      <c r="C4010" s="3" t="inlineStr">
        <is>
          <t>임야</t>
        </is>
      </c>
      <c r="D4010" s="3" t="inlineStr">
        <is>
          <t>임야</t>
        </is>
      </c>
      <c r="E4010" s="3" t="inlineStr">
        <is>
          <t>매매</t>
        </is>
      </c>
      <c r="F4010" s="4" t="n">
        <v>45000</v>
      </c>
      <c r="G4010" s="4" t="n">
        <v>714</v>
      </c>
      <c r="H4010" s="4" t="n">
        <v>216</v>
      </c>
      <c r="I4010" s="5" t="n">
        <v>208.3</v>
      </c>
      <c r="J4010" s="4" t="n">
        <v>157.2</v>
      </c>
      <c r="K4010" s="3" t="inlineStr">
        <is>
          <t>전망 최고 대교리 전원주택부지 사두실분 추후건축 가능</t>
        </is>
      </c>
      <c r="L4010" s="6">
        <f>HYPERLINK("https://fin.land.naver.com/articles/2646674375", "매물Link")</f>
        <v/>
      </c>
      <c r="M4010" s="6">
        <f>HYPERLINK("https://map.naver.com/p/search/세종특별자치시 장군면 대교리 79-38", "지도Link")</f>
        <v/>
      </c>
      <c r="N4010" s="6">
        <f>HYPERLINK("http://www.eum.go.kr/web/ar/lu/luLandDet.jsp?pnu=3611035023100790038&amp;isNoScr=script&amp;mode=search", "토지이음")</f>
        <v/>
      </c>
      <c r="O4010" s="3" t="inlineStr">
        <is>
          <t>로데오상가</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세종특별자치시 장군면 대교리 79-38</t>
        </is>
      </c>
      <c r="B4011" s="3" t="inlineStr">
        <is>
          <t>보전관리지역</t>
        </is>
      </c>
      <c r="C4011" s="3" t="inlineStr">
        <is>
          <t>임야</t>
        </is>
      </c>
      <c r="D4011" s="3" t="inlineStr">
        <is>
          <t>임야</t>
        </is>
      </c>
      <c r="E4011" s="3" t="inlineStr">
        <is>
          <t>매매</t>
        </is>
      </c>
      <c r="F4011" s="4" t="n">
        <v>44000</v>
      </c>
      <c r="G4011" s="4" t="n">
        <v>714</v>
      </c>
      <c r="H4011" s="4" t="n">
        <v>216</v>
      </c>
      <c r="I4011" s="5" t="n">
        <v>203.7</v>
      </c>
      <c r="J4011" s="4" t="n">
        <v>157.2</v>
      </c>
      <c r="K4011" s="3" t="inlineStr">
        <is>
          <t>토목공사 완료된 전원주택단지,건축가능</t>
        </is>
      </c>
      <c r="L4011" s="6">
        <f>HYPERLINK("https://fin.land.naver.com/articles/2648813379", "매물Link")</f>
        <v/>
      </c>
      <c r="M4011" s="6">
        <f>HYPERLINK("https://map.naver.com/p/search/세종특별자치시 장군면 대교리 79-38", "지도Link")</f>
        <v/>
      </c>
      <c r="N4011" s="6">
        <f>HYPERLINK("http://www.eum.go.kr/web/ar/lu/luLandDet.jsp?pnu=3611035023100790038&amp;isNoScr=script&amp;mode=search", "토지이음")</f>
        <v/>
      </c>
      <c r="O4011" s="3" t="inlineStr">
        <is>
          <t>세종대박</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세종특별자치시 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HYPERLINK("https://map.naver.com/p/search/세종특별자치시 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세종특별자치시 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HYPERLINK("https://map.naver.com/p/search/세종특별자치시 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세종특별자치시 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HYPERLINK("https://map.naver.com/p/search/세종특별자치시 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세종특별자치시 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HYPERLINK("https://map.naver.com/p/search/세종특별자치시 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세종특별자치시 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HYPERLINK("https://map.naver.com/p/search/세종특별자치시 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세종특별자치시 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HYPERLINK("https://map.naver.com/p/search/세종특별자치시 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세종특별자치시 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HYPERLINK("https://map.naver.com/p/search/세종특별자치시 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세종특별자치시 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HYPERLINK("https://map.naver.com/p/search/세종특별자치시 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세종특별자치시 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HYPERLINK("https://map.naver.com/p/search/세종특별자치시 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세종특별자치시 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HYPERLINK("https://map.naver.com/p/search/세종특별자치시 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세종특별자치시 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HYPERLINK("https://map.naver.com/p/search/세종특별자치시 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세종특별자치시 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HYPERLINK("https://map.naver.com/p/search/세종특별자치시 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세종특별자치시 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HYPERLINK("https://map.naver.com/p/search/세종특별자치시 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세종특별자치시 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HYPERLINK("https://map.naver.com/p/search/세종특별자치시 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세종특별자치시 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HYPERLINK("https://map.naver.com/p/search/세종특별자치시 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세종특별자치시 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HYPERLINK("https://map.naver.com/p/search/세종특별자치시 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세종특별자치시 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HYPERLINK("https://map.naver.com/p/search/세종특별자치시 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세종특별자치시 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HYPERLINK("https://map.naver.com/p/search/세종특별자치시 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세종특별자치시 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HYPERLINK("https://map.naver.com/p/search/세종특별자치시 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세종특별자치시 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HYPERLINK("https://map.naver.com/p/search/세종특별자치시 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세종특별자치시 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HYPERLINK("https://map.naver.com/p/search/세종특별자치시 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세종특별자치시 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HYPERLINK("https://map.naver.com/p/search/세종특별자치시 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세종특별자치시 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HYPERLINK("https://map.naver.com/p/search/세종특별자치시 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세종특별자치시 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HYPERLINK("https://map.naver.com/p/search/세종특별자치시 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세종특별자치시 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HYPERLINK("https://map.naver.com/p/search/세종특별자치시 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세종특별자치시 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HYPERLINK("https://map.naver.com/p/search/세종특별자치시 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세종특별자치시 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HYPERLINK("https://map.naver.com/p/search/세종특별자치시 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세종특별자치시 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HYPERLINK("https://map.naver.com/p/search/세종특별자치시 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세종특별자치시 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HYPERLINK("https://map.naver.com/p/search/세종특별자치시 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세종특별자치시 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HYPERLINK("https://map.naver.com/p/search/세종특별자치시 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세종특별자치시 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HYPERLINK("https://map.naver.com/p/search/세종특별자치시 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세종특별자치시 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HYPERLINK("https://map.naver.com/p/search/세종특별자치시 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세종특별자치시 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HYPERLINK("https://map.naver.com/p/search/세종특별자치시 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세종특별자치시 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HYPERLINK("https://map.naver.com/p/search/세종특별자치시 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세종특별자치시 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HYPERLINK("https://map.naver.com/p/search/세종특별자치시 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세종특별자치시 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HYPERLINK("https://map.naver.com/p/search/세종특별자치시 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세종특별자치시 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HYPERLINK("https://map.naver.com/p/search/세종특별자치시 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세종특별자치시 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HYPERLINK("https://map.naver.com/p/search/세종특별자치시 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세종특별자치시 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HYPERLINK("https://map.naver.com/p/search/세종특별자치시 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세종특별자치시 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HYPERLINK("https://map.naver.com/p/search/세종특별자치시 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세종특별자치시 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HYPERLINK("https://map.naver.com/p/search/세종특별자치시 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세종특별자치시 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HYPERLINK("https://map.naver.com/p/search/세종특별자치시 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세종특별자치시 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HYPERLINK("https://map.naver.com/p/search/세종특별자치시 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세종특별자치시 장군면 봉안리 201-41</t>
        </is>
      </c>
      <c r="B4055" s="3" t="inlineStr">
        <is>
          <t>계획관리지역</t>
        </is>
      </c>
      <c r="C4055" s="3" t="inlineStr">
        <is>
          <t>임야</t>
        </is>
      </c>
      <c r="D4055" s="3" t="inlineStr">
        <is>
          <t>임야</t>
        </is>
      </c>
      <c r="E4055" s="3" t="inlineStr">
        <is>
          <t>매매</t>
        </is>
      </c>
      <c r="F4055" s="4" t="n">
        <v>70000</v>
      </c>
      <c r="G4055" s="4" t="n">
        <v>567</v>
      </c>
      <c r="H4055" s="4" t="n">
        <v>172</v>
      </c>
      <c r="I4055" s="5" t="n">
        <v>407</v>
      </c>
      <c r="J4055" s="4" t="n">
        <v>271.6</v>
      </c>
      <c r="K4055" s="3" t="inlineStr">
        <is>
          <t>초급매,계획관리,단독주택,사무실,카페,식당,물류택배창고 등 다목적용도가능</t>
        </is>
      </c>
      <c r="L4055" s="6">
        <f>HYPERLINK("https://fin.land.naver.com/articles/2647280232", "매물Link")</f>
        <v/>
      </c>
      <c r="M4055" s="6">
        <f>HYPERLINK("https://map.naver.com/p/search/세종특별자치시 장군면 봉안리 201-41", "지도Link")</f>
        <v/>
      </c>
      <c r="N4055" s="6">
        <f>HYPERLINK("http://www.eum.go.kr/web/ar/lu/luLandDet.jsp?pnu=3611035024102010041&amp;isNoScr=script&amp;mode=search", "토지이음")</f>
        <v/>
      </c>
      <c r="O4055" s="3" t="inlineStr">
        <is>
          <t>고운맘</t>
        </is>
      </c>
      <c r="P4055" s="3" t="n">
        <v>1</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세종특별자치시 장군면 봉안리 201-41</t>
        </is>
      </c>
      <c r="B4056" s="3" t="inlineStr">
        <is>
          <t>계획관리지역</t>
        </is>
      </c>
      <c r="C4056" s="3" t="inlineStr">
        <is>
          <t>임야</t>
        </is>
      </c>
      <c r="D4056" s="3" t="inlineStr">
        <is>
          <t>임야</t>
        </is>
      </c>
      <c r="E4056" s="3" t="inlineStr">
        <is>
          <t>매매</t>
        </is>
      </c>
      <c r="F4056" s="4" t="n">
        <v>60000</v>
      </c>
      <c r="G4056" s="4" t="n">
        <v>567</v>
      </c>
      <c r="H4056" s="4" t="n">
        <v>172</v>
      </c>
      <c r="I4056" s="5" t="n">
        <v>348.8</v>
      </c>
      <c r="J4056" s="4" t="n">
        <v>271.6</v>
      </c>
      <c r="K4056" s="3" t="inlineStr">
        <is>
          <t>nan</t>
        </is>
      </c>
      <c r="L4056" s="6">
        <f>HYPERLINK("https://fin.land.naver.com/articles/2646823778", "매물Link")</f>
        <v/>
      </c>
      <c r="M4056" s="6">
        <f>HYPERLINK("https://map.naver.com/p/search/세종특별자치시 장군면 봉안리 201-41", "지도Link")</f>
        <v/>
      </c>
      <c r="N4056" s="6">
        <f>HYPERLINK("http://www.eum.go.kr/web/ar/lu/luLandDet.jsp?pnu=3611035024102010041&amp;isNoScr=script&amp;mode=search", "토지이음")</f>
        <v/>
      </c>
      <c r="O4056" s="3" t="inlineStr">
        <is>
          <t>강아지풀</t>
        </is>
      </c>
      <c r="P4056" s="3" t="n">
        <v>2</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세종특별자치시 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HYPERLINK("https://map.naver.com/p/search/세종특별자치시 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세종특별자치시 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HYPERLINK("https://map.naver.com/p/search/세종특별자치시 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세종특별자치시 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HYPERLINK("https://map.naver.com/p/search/세종특별자치시 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세종특별자치시 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HYPERLINK("https://map.naver.com/p/search/세종특별자치시 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세종특별자치시 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HYPERLINK("https://map.naver.com/p/search/세종특별자치시 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세종특별자치시 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HYPERLINK("https://map.naver.com/p/search/세종특별자치시 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세종특별자치시 장군면 봉안리 216-12</t>
        </is>
      </c>
      <c r="B4063" s="3" t="inlineStr">
        <is>
          <t>계획관리지역</t>
        </is>
      </c>
      <c r="C4063" s="3" t="inlineStr">
        <is>
          <t>임야</t>
        </is>
      </c>
      <c r="D4063" s="3" t="inlineStr">
        <is>
          <t>임야</t>
        </is>
      </c>
      <c r="E4063" s="3" t="inlineStr">
        <is>
          <t>매매</t>
        </is>
      </c>
      <c r="F4063" s="4" t="n">
        <v>68000</v>
      </c>
      <c r="G4063" s="4" t="n">
        <v>755</v>
      </c>
      <c r="H4063" s="4" t="n">
        <v>228</v>
      </c>
      <c r="I4063" s="5" t="n">
        <v>298.2</v>
      </c>
      <c r="J4063" s="4" t="n">
        <v>239.6</v>
      </c>
      <c r="K4063" s="3" t="inlineStr">
        <is>
          <t>도로접한 입지좋은 계획관리 토지로 단독주택,식당,카페등 추천.</t>
        </is>
      </c>
      <c r="L4063" s="6">
        <f>HYPERLINK("https://fin.land.naver.com/articles/2649019320", "매물Link")</f>
        <v/>
      </c>
      <c r="M4063" s="6">
        <f>HYPERLINK("https://map.naver.com/p/search/세종특별자치시 장군면 봉안리 216-12", "지도Link")</f>
        <v/>
      </c>
      <c r="N4063" s="6">
        <f>HYPERLINK("http://www.eum.go.kr/web/ar/lu/luLandDet.jsp?pnu=3611035024102160012&amp;isNoScr=script&amp;mode=search", "토지이음")</f>
        <v/>
      </c>
      <c r="O4063" s="3" t="inlineStr">
        <is>
          <t>다정현대</t>
        </is>
      </c>
      <c r="P4063" s="3" t="n">
        <v>2</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세종특별자치시 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급매,건축허가 득한 조망좋은 계획관리 토지,카페자리로 추천</t>
        </is>
      </c>
      <c r="L4064" s="6">
        <f>HYPERLINK("https://fin.land.naver.com/articles/2649308775", "매물Link")</f>
        <v/>
      </c>
      <c r="M4064" s="6">
        <f>HYPERLINK("https://map.naver.com/p/search/세종특별자치시 장군면 봉안리 216-12", "지도Link")</f>
        <v/>
      </c>
      <c r="N4064" s="6">
        <f>HYPERLINK("http://www.eum.go.kr/web/ar/lu/luLandDet.jsp?pnu=3611035024102160012&amp;isNoScr=script&amp;mode=search", "토지이음")</f>
        <v/>
      </c>
      <c r="O4064" s="3" t="inlineStr">
        <is>
          <t>가치잇는</t>
        </is>
      </c>
      <c r="P4064" s="3" t="n">
        <v>4</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세종특별자치시 장군면 봉안리 216-12</t>
        </is>
      </c>
      <c r="B4065" s="3" t="inlineStr">
        <is>
          <t>계획관리지역</t>
        </is>
      </c>
      <c r="C4065" s="3" t="inlineStr">
        <is>
          <t>임야</t>
        </is>
      </c>
      <c r="D4065" s="3" t="inlineStr">
        <is>
          <t>임야</t>
        </is>
      </c>
      <c r="E4065" s="3" t="inlineStr">
        <is>
          <t>매매</t>
        </is>
      </c>
      <c r="F4065" s="4" t="n">
        <v>65000</v>
      </c>
      <c r="G4065" s="4" t="n">
        <v>755</v>
      </c>
      <c r="H4065" s="4" t="n">
        <v>228</v>
      </c>
      <c r="I4065" s="5" t="n">
        <v>285.1</v>
      </c>
      <c r="J4065" s="4" t="n">
        <v>239.6</v>
      </c>
      <c r="K4065" s="3" t="inlineStr">
        <is>
          <t>급매,도로접한 계획관리,지대 높은 전원주택지,투자가치 상승 기대되는 토지</t>
        </is>
      </c>
      <c r="L4065" s="6">
        <f>HYPERLINK("https://fin.land.naver.com/articles/2645310796", "매물Link")</f>
        <v/>
      </c>
      <c r="M4065" s="6">
        <f>HYPERLINK("https://map.naver.com/p/search/세종특별자치시 장군면 봉안리 216-12", "지도Link")</f>
        <v/>
      </c>
      <c r="N4065" s="6">
        <f>HYPERLINK("http://www.eum.go.kr/web/ar/lu/luLandDet.jsp?pnu=3611035024102160012&amp;isNoScr=script&amp;mode=search", "토지이음")</f>
        <v/>
      </c>
      <c r="O4065" s="3" t="inlineStr">
        <is>
          <t>고운맘</t>
        </is>
      </c>
      <c r="P4065" s="3" t="n">
        <v>1</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세종특별자치시 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HYPERLINK("https://map.naver.com/p/search/세종특별자치시 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세종특별자치시 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HYPERLINK("https://map.naver.com/p/search/세종특별자치시 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세종특별자치시 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HYPERLINK("https://map.naver.com/p/search/세종특별자치시 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세종특별자치시 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HYPERLINK("https://map.naver.com/p/search/세종특별자치시 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세종특별자치시 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HYPERLINK("https://map.naver.com/p/search/세종특별자치시 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세종특별자치시 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HYPERLINK("https://map.naver.com/p/search/세종특별자치시 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세종특별자치시 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HYPERLINK("https://map.naver.com/p/search/세종특별자치시 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세종특별자치시 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HYPERLINK("https://map.naver.com/p/search/세종특별자치시 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세종특별자치시 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HYPERLINK("https://map.naver.com/p/search/세종특별자치시 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세종특별자치시 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HYPERLINK("https://map.naver.com/p/search/세종특별자치시 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세종특별자치시 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HYPERLINK("https://map.naver.com/p/search/세종특별자치시 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세종특별자치시 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HYPERLINK("https://map.naver.com/p/search/세종특별자치시 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세종특별자치시 장군면 봉안리 22-71</t>
        </is>
      </c>
      <c r="B4078" s="3" t="inlineStr">
        <is>
          <t>보전관리지역</t>
        </is>
      </c>
      <c r="C4078" s="3" t="inlineStr">
        <is>
          <t>임야</t>
        </is>
      </c>
      <c r="D4078" s="3" t="inlineStr">
        <is>
          <t>임야</t>
        </is>
      </c>
      <c r="E4078" s="3" t="inlineStr">
        <is>
          <t>매매</t>
        </is>
      </c>
      <c r="F4078" s="4" t="n">
        <v>38000</v>
      </c>
      <c r="G4078" s="4" t="n">
        <v>398</v>
      </c>
      <c r="H4078" s="4" t="n">
        <v>120</v>
      </c>
      <c r="I4078" s="5" t="n">
        <v>316.7</v>
      </c>
      <c r="J4078" s="4" t="n">
        <v>194.2</v>
      </c>
      <c r="K4078" s="3" t="inlineStr">
        <is>
          <t>급매,행복마을 프라우드힐,다정동 인접,벙커형 주차장가능,저렴한 택지</t>
        </is>
      </c>
      <c r="L4078" s="6">
        <f>HYPERLINK("https://fin.land.naver.com/articles/2644746545", "매물Link")</f>
        <v/>
      </c>
      <c r="M4078" s="6">
        <f>HYPERLINK("https://map.naver.com/p/search/세종특별자치시 장군면 봉안리 22-71", "지도Link")</f>
        <v/>
      </c>
      <c r="N4078" s="6">
        <f>HYPERLINK("http://www.eum.go.kr/web/ar/lu/luLandDet.jsp?pnu=3611035024100220071&amp;isNoScr=script&amp;mode=search", "토지이음")</f>
        <v/>
      </c>
      <c r="O4078" s="3" t="inlineStr">
        <is>
          <t>고운맘</t>
        </is>
      </c>
      <c r="P4078" s="3" t="n">
        <v>1</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세종특별자치시 장군면 봉안리 22-71</t>
        </is>
      </c>
      <c r="B4079" s="3" t="inlineStr">
        <is>
          <t>보전관리지역</t>
        </is>
      </c>
      <c r="C4079" s="3" t="inlineStr">
        <is>
          <t>임야</t>
        </is>
      </c>
      <c r="D4079" s="3" t="inlineStr">
        <is>
          <t>대</t>
        </is>
      </c>
      <c r="E4079" s="3" t="inlineStr">
        <is>
          <t>매매</t>
        </is>
      </c>
      <c r="F4079" s="4" t="n">
        <v>45000</v>
      </c>
      <c r="G4079" s="4" t="n">
        <v>323</v>
      </c>
      <c r="H4079" s="4" t="n">
        <v>98</v>
      </c>
      <c r="I4079" s="5" t="n">
        <v>459.2</v>
      </c>
      <c r="J4079" s="4" t="n">
        <v>194.2</v>
      </c>
      <c r="K4079" s="3" t="inlineStr">
        <is>
          <t>생명나무,장군면 프라우드힐 타운하우스 .행복도시 근접거리있어요</t>
        </is>
      </c>
      <c r="L4079" s="6">
        <f>HYPERLINK("https://fin.land.naver.com/articles/2649359994", "매물Link")</f>
        <v/>
      </c>
      <c r="M4079" s="6">
        <f>HYPERLINK("https://map.naver.com/p/search/세종특별자치시 장군면 봉안리 22-71", "지도Link")</f>
        <v/>
      </c>
      <c r="N4079" s="6">
        <f>HYPERLINK("http://www.eum.go.kr/web/ar/lu/luLandDet.jsp?pnu=3611035024100220071&amp;isNoScr=script&amp;mode=search", "토지이음")</f>
        <v/>
      </c>
      <c r="O4079" s="3" t="inlineStr">
        <is>
          <t>생명나무</t>
        </is>
      </c>
      <c r="P4079" s="3" t="n">
        <v>3</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세종특별자치시 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HYPERLINK("https://map.naver.com/p/search/세종특별자치시 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세종특별자치시 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HYPERLINK("https://map.naver.com/p/search/세종특별자치시 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세종특별자치시 장군면 봉안리 25-5</t>
        </is>
      </c>
      <c r="B4082" s="3" t="inlineStr">
        <is>
          <t>계획관리지역</t>
        </is>
      </c>
      <c r="C4082" s="3" t="inlineStr">
        <is>
          <t>전</t>
        </is>
      </c>
      <c r="D4082" s="3" t="inlineStr">
        <is>
          <t>전</t>
        </is>
      </c>
      <c r="E4082" s="3" t="inlineStr">
        <is>
          <t>매매</t>
        </is>
      </c>
      <c r="F4082" s="4" t="n">
        <v>220000</v>
      </c>
      <c r="G4082" s="4" t="n">
        <v>1455</v>
      </c>
      <c r="H4082" s="4" t="n">
        <v>440</v>
      </c>
      <c r="I4082" s="5" t="n">
        <v>500</v>
      </c>
      <c r="J4082" s="4" t="n">
        <v>147.7</v>
      </c>
      <c r="K4082" s="3" t="inlineStr">
        <is>
          <t>카페.사무실등 다용도 활용이 가능한 넉넉한 부지. 전망 굿</t>
        </is>
      </c>
      <c r="L4082" s="6">
        <f>HYPERLINK("https://fin.land.naver.com/articles/2645054945", "매물Link")</f>
        <v/>
      </c>
      <c r="M4082" s="6">
        <f>HYPERLINK("https://map.naver.com/p/search/세종특별자치시 장군면 봉안리 25-5", "지도Link")</f>
        <v/>
      </c>
      <c r="N4082" s="6">
        <f>HYPERLINK("http://www.eum.go.kr/web/ar/lu/luLandDet.jsp?pnu=3611035024100250005&amp;isNoScr=script&amp;mode=search", "토지이음")</f>
        <v/>
      </c>
      <c r="O4082" s="3" t="inlineStr">
        <is>
          <t>해마루</t>
        </is>
      </c>
      <c r="P4082" s="3" t="n">
        <v>1</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세종특별자치시 장군면 봉안리 25-5</t>
        </is>
      </c>
      <c r="B4083" s="3" t="inlineStr">
        <is>
          <t>계획관리지역</t>
        </is>
      </c>
      <c r="C4083" s="3" t="inlineStr">
        <is>
          <t>전</t>
        </is>
      </c>
      <c r="D4083" s="3" t="inlineStr">
        <is>
          <t>전</t>
        </is>
      </c>
      <c r="E4083" s="3" t="inlineStr">
        <is>
          <t>매매</t>
        </is>
      </c>
      <c r="F4083" s="4" t="n">
        <v>198000</v>
      </c>
      <c r="G4083" s="4" t="n">
        <v>1455</v>
      </c>
      <c r="H4083" s="4" t="n">
        <v>440</v>
      </c>
      <c r="I4083" s="5" t="n">
        <v>450</v>
      </c>
      <c r="J4083" s="4" t="n">
        <v>147.7</v>
      </c>
      <c r="K4083" s="3" t="inlineStr">
        <is>
          <t>세종시2생활권 바로옆 계획관리지역 전</t>
        </is>
      </c>
      <c r="L4083" s="6">
        <f>HYPERLINK("https://fin.land.naver.com/articles/2645366572", "매물Link")</f>
        <v/>
      </c>
      <c r="M4083" s="6">
        <f>HYPERLINK("https://map.naver.com/p/search/세종특별자치시 장군면 봉안리 25-5", "지도Link")</f>
        <v/>
      </c>
      <c r="N4083" s="6">
        <f>HYPERLINK("http://www.eum.go.kr/web/ar/lu/luLandDet.jsp?pnu=3611035024100250005&amp;isNoScr=script&amp;mode=search", "토지이음")</f>
        <v/>
      </c>
      <c r="O4083" s="3" t="inlineStr">
        <is>
          <t>세종천지</t>
        </is>
      </c>
      <c r="P4083" s="3" t="n">
        <v>2</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세종특별자치시 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HYPERLINK("https://map.naver.com/p/search/세종특별자치시 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세종특별자치시 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HYPERLINK("https://map.naver.com/p/search/세종특별자치시 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세종특별자치시 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HYPERLINK("https://map.naver.com/p/search/세종특별자치시 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세종특별자치시 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HYPERLINK("https://map.naver.com/p/search/세종특별자치시 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세종특별자치시 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HYPERLINK("https://map.naver.com/p/search/세종특별자치시 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세종특별자치시 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HYPERLINK("https://map.naver.com/p/search/세종특별자치시 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세종특별자치시 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HYPERLINK("https://map.naver.com/p/search/세종특별자치시 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세종특별자치시 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HYPERLINK("https://map.naver.com/p/search/세종특별자치시 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세종특별자치시 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HYPERLINK("https://map.naver.com/p/search/세종특별자치시 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세종특별자치시 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HYPERLINK("https://map.naver.com/p/search/세종특별자치시 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세종특별자치시 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HYPERLINK("https://map.naver.com/p/search/세종특별자치시 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세종특별자치시 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HYPERLINK("https://map.naver.com/p/search/세종특별자치시 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세종특별자치시 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HYPERLINK("https://map.naver.com/p/search/세종특별자치시 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세종특별자치시 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HYPERLINK("https://map.naver.com/p/search/세종특별자치시 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세종특별자치시 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HYPERLINK("https://map.naver.com/p/search/세종특별자치시 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세종특별자치시 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nan</t>
        </is>
      </c>
      <c r="L4099" s="6">
        <f>HYPERLINK("https://fin.land.naver.com/articles/2649694005", "매물Link")</f>
        <v/>
      </c>
      <c r="M4099" s="6">
        <f>HYPERLINK("https://map.naver.com/p/search/세종특별자치시 장군면 봉안리 329", "지도Link")</f>
        <v/>
      </c>
      <c r="N4099" s="6">
        <f>HYPERLINK("http://www.eum.go.kr/web/ar/lu/luLandDet.jsp?pnu=3611035024103290000&amp;isNoScr=script&amp;mode=search", "토지이음")</f>
        <v/>
      </c>
      <c r="O4099" s="3" t="inlineStr">
        <is>
          <t>생명나무</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세종특별자치시 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대형상가 개발부지 I 주변 개발에 따른 향후 투자 기대</t>
        </is>
      </c>
      <c r="L4100" s="6">
        <f>HYPERLINK("https://fin.land.naver.com/articles/2649521913", "매물Link")</f>
        <v/>
      </c>
      <c r="M4100" s="6">
        <f>HYPERLINK("https://map.naver.com/p/search/세종특별자치시 장군면 봉안리 329", "지도Link")</f>
        <v/>
      </c>
      <c r="N4100" s="6">
        <f>HYPERLINK("http://www.eum.go.kr/web/ar/lu/luLandDet.jsp?pnu=3611035024103290000&amp;isNoScr=script&amp;mode=search", "토지이음")</f>
        <v/>
      </c>
      <c r="O4100" s="3" t="inlineStr">
        <is>
          <t>다복  사무소</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세종특별자치시 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HYPERLINK("https://map.naver.com/p/search/세종특별자치시 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세종특별자치시 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HYPERLINK("https://map.naver.com/p/search/세종특별자치시 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세종특별자치시 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HYPERLINK("https://map.naver.com/p/search/세종특별자치시 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세종특별자치시 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HYPERLINK("https://map.naver.com/p/search/세종특별자치시 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세종특별자치시 장군면 봉안리 4-20</t>
        </is>
      </c>
      <c r="B4105" s="3" t="inlineStr">
        <is>
          <t>생산관리지역</t>
        </is>
      </c>
      <c r="C4105" s="3" t="inlineStr">
        <is>
          <t>임야</t>
        </is>
      </c>
      <c r="D4105" s="3" t="inlineStr">
        <is>
          <t>임야</t>
        </is>
      </c>
      <c r="E4105" s="3" t="inlineStr">
        <is>
          <t>매매</t>
        </is>
      </c>
      <c r="F4105" s="4" t="n">
        <v>49000</v>
      </c>
      <c r="G4105" s="4" t="n">
        <v>1157</v>
      </c>
      <c r="H4105" s="4" t="n">
        <v>350</v>
      </c>
      <c r="I4105" s="5" t="n">
        <v>140</v>
      </c>
      <c r="J4105" s="4" t="n">
        <v>121.9</v>
      </c>
      <c r="K4105" s="3" t="inlineStr">
        <is>
          <t>nan</t>
        </is>
      </c>
      <c r="L4105" s="6">
        <f>HYPERLINK("https://fin.land.naver.com/articles/2648497604", "매물Link")</f>
        <v/>
      </c>
      <c r="M4105" s="6">
        <f>HYPERLINK("https://map.naver.com/p/search/세종특별자치시 장군면 봉안리 4-20", "지도Link")</f>
        <v/>
      </c>
      <c r="N4105" s="6">
        <f>HYPERLINK("http://www.eum.go.kr/web/ar/lu/luLandDet.jsp?pnu=3611035024100040020&amp;isNoScr=script&amp;mode=search", "토지이음")</f>
        <v/>
      </c>
      <c r="O4105" s="3" t="inlineStr">
        <is>
          <t>보람최고</t>
        </is>
      </c>
      <c r="P4105" s="3" t="n">
        <v>1</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세종특별자치시 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HYPERLINK("https://map.naver.com/p/search/세종특별자치시 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세종특별자치시 장군면 봉안리 4-20</t>
        </is>
      </c>
      <c r="B4107" s="3" t="inlineStr">
        <is>
          <t>생산관리지역</t>
        </is>
      </c>
      <c r="C4107" s="3" t="inlineStr">
        <is>
          <t>임야</t>
        </is>
      </c>
      <c r="D4107" s="3" t="inlineStr">
        <is>
          <t>임야</t>
        </is>
      </c>
      <c r="E4107" s="3" t="inlineStr">
        <is>
          <t>매매</t>
        </is>
      </c>
      <c r="F4107" s="4" t="n">
        <v>14000</v>
      </c>
      <c r="G4107" s="4" t="n">
        <v>367</v>
      </c>
      <c r="H4107" s="4" t="n">
        <v>111</v>
      </c>
      <c r="I4107" s="5" t="n">
        <v>126.1</v>
      </c>
      <c r="J4107" s="4" t="n">
        <v>121.9</v>
      </c>
      <c r="K4107" s="3" t="inlineStr">
        <is>
          <t>급매 , 분할매매, 120만원p, 도로지분 12p 포함, 주말농장 추천</t>
        </is>
      </c>
      <c r="L4107" s="6">
        <f>HYPERLINK("https://fin.land.naver.com/articles/2644740416", "매물Link")</f>
        <v/>
      </c>
      <c r="M4107" s="6">
        <f>HYPERLINK("https://map.naver.com/p/search/세종특별자치시 장군면 봉안리 4-20", "지도Link")</f>
        <v/>
      </c>
      <c r="N4107" s="6">
        <f>HYPERLINK("http://www.eum.go.kr/web/ar/lu/luLandDet.jsp?pnu=3611035024100040020&amp;isNoScr=script&amp;mode=search", "토지이음")</f>
        <v/>
      </c>
      <c r="O4107" s="3" t="inlineStr">
        <is>
          <t>수자인시티</t>
        </is>
      </c>
      <c r="P4107" s="3" t="n">
        <v>2</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세종특별자치시 장군면 봉안리 4-21</t>
        </is>
      </c>
      <c r="B4108" s="3" t="inlineStr">
        <is>
          <t>생산관리지역</t>
        </is>
      </c>
      <c r="C4108" s="3" t="inlineStr">
        <is>
          <t>임야</t>
        </is>
      </c>
      <c r="D4108" s="3" t="inlineStr">
        <is>
          <t>임야</t>
        </is>
      </c>
      <c r="E4108" s="3" t="inlineStr">
        <is>
          <t>매매</t>
        </is>
      </c>
      <c r="F4108" s="4" t="n">
        <v>25000</v>
      </c>
      <c r="G4108" s="4" t="n">
        <v>815</v>
      </c>
      <c r="H4108" s="4" t="n">
        <v>247</v>
      </c>
      <c r="I4108" s="5" t="n">
        <v>101.2</v>
      </c>
      <c r="J4108" s="4" t="n">
        <v>121.9</v>
      </c>
      <c r="K4108" s="3" t="inlineStr">
        <is>
          <t>세종 이마트와 코스트코가 인근에 있는 전원주택 부지매매</t>
        </is>
      </c>
      <c r="L4108" s="6">
        <f>HYPERLINK("https://fin.land.naver.com/articles/2646189895", "매물Link")</f>
        <v/>
      </c>
      <c r="M4108" s="6">
        <f>HYPERLINK("https://map.naver.com/p/search/세종특별자치시 장군면 봉안리 4-21", "지도Link")</f>
        <v/>
      </c>
      <c r="N4108" s="6">
        <f>HYPERLINK("http://www.eum.go.kr/web/ar/lu/luLandDet.jsp?pnu=3611035024100040021&amp;isNoScr=script&amp;mode=search", "토지이음")</f>
        <v/>
      </c>
      <c r="O4108" s="3" t="inlineStr">
        <is>
          <t>비전</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세종특별자치시 장군면 봉안리 4-21</t>
        </is>
      </c>
      <c r="B4109" s="3" t="inlineStr">
        <is>
          <t>생산관리지역</t>
        </is>
      </c>
      <c r="C4109" s="3" t="inlineStr">
        <is>
          <t>임야</t>
        </is>
      </c>
      <c r="D4109" s="3" t="inlineStr">
        <is>
          <t>임야</t>
        </is>
      </c>
      <c r="E4109" s="3" t="inlineStr">
        <is>
          <t>매매</t>
        </is>
      </c>
      <c r="F4109" s="4" t="n">
        <v>25000</v>
      </c>
      <c r="G4109" s="4" t="n">
        <v>912</v>
      </c>
      <c r="H4109" s="4" t="n">
        <v>276</v>
      </c>
      <c r="I4109" s="5" t="n">
        <v>90.59999999999999</v>
      </c>
      <c r="J4109" s="4" t="n">
        <v>121.9</v>
      </c>
      <c r="K4109" s="3" t="inlineStr">
        <is>
          <t>세종 도심 10분대, 하천 조망 갗춘 진입로 지분 포함 자연형 토지</t>
        </is>
      </c>
      <c r="L4109" s="6">
        <f>HYPERLINK("https://fin.land.naver.com/articles/2649343271", "매물Link")</f>
        <v/>
      </c>
      <c r="M4109" s="6">
        <f>HYPERLINK("https://map.naver.com/p/search/세종특별자치시 장군면 봉안리 4-21", "지도Link")</f>
        <v/>
      </c>
      <c r="N4109" s="6">
        <f>HYPERLINK("http://www.eum.go.kr/web/ar/lu/luLandDet.jsp?pnu=3611035024100040021&amp;isNoScr=script&amp;mode=search", "토지이음")</f>
        <v/>
      </c>
      <c r="O4109" s="3" t="inlineStr">
        <is>
          <t>세종소담황금</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세종특별자치시 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HYPERLINK("https://map.naver.com/p/search/세종특별자치시 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세종특별자치시 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HYPERLINK("https://map.naver.com/p/search/세종특별자치시 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세종특별자치시 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HYPERLINK("https://map.naver.com/p/search/세종특별자치시 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세종특별자치시 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HYPERLINK("https://map.naver.com/p/search/세종특별자치시 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세종특별자치시 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HYPERLINK("https://map.naver.com/p/search/세종특별자치시 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세종특별자치시 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HYPERLINK("https://map.naver.com/p/search/세종특별자치시 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세종특별자치시 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HYPERLINK("https://map.naver.com/p/search/세종특별자치시 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세종특별자치시 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HYPERLINK("https://map.naver.com/p/search/세종특별자치시 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세종특별자치시 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HYPERLINK("https://map.naver.com/p/search/세종특별자치시 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세종특별자치시 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HYPERLINK("https://map.naver.com/p/search/세종특별자치시 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세종특별자치시 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HYPERLINK("https://map.naver.com/p/search/세종특별자치시 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세종특별자치시 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HYPERLINK("https://map.naver.com/p/search/세종특별자치시 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세종특별자치시 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HYPERLINK("https://map.naver.com/p/search/세종특별자치시 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세종특별자치시 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계획관리,단독주택,사무실,카페,식당,물류택배창고 등 다목적용도 가능</t>
        </is>
      </c>
      <c r="L4123" s="6">
        <f>HYPERLINK("https://fin.land.naver.com/articles/2647777339", "매물Link")</f>
        <v/>
      </c>
      <c r="M4123" s="6">
        <f>HYPERLINK("https://map.naver.com/p/search/세종특별자치시 장군면 봉안리 575-9", "지도Link")</f>
        <v/>
      </c>
      <c r="N4123" s="6">
        <f>HYPERLINK("http://www.eum.go.kr/web/ar/lu/luLandDet.jsp?pnu=3611035024105750009&amp;isNoScr=script&amp;mode=search", "토지이음")</f>
        <v/>
      </c>
      <c r="O4123" s="3" t="inlineStr">
        <is>
          <t>고운맘</t>
        </is>
      </c>
      <c r="P4123" s="3" t="n">
        <v>1</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세종특별자치시 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세종시내를 바라볼수 있는 높은지대의 조망이 좋은 계획관리지역 투자용 토지</t>
        </is>
      </c>
      <c r="L4124" s="6">
        <f>HYPERLINK("https://fin.land.naver.com/articles/2649860932", "매물Link")</f>
        <v/>
      </c>
      <c r="M4124" s="6">
        <f>HYPERLINK("https://map.naver.com/p/search/세종특별자치시 장군면 봉안리 575-9", "지도Link")</f>
        <v/>
      </c>
      <c r="N4124" s="6">
        <f>HYPERLINK("http://www.eum.go.kr/web/ar/lu/luLandDet.jsp?pnu=3611035024105750009&amp;isNoScr=script&amp;mode=search", "토지이음")</f>
        <v/>
      </c>
      <c r="O4124" s="3" t="inlineStr">
        <is>
          <t>스마일세종</t>
        </is>
      </c>
      <c r="P4124" s="3" t="n">
        <v>3</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세종특별자치시 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HYPERLINK("https://map.naver.com/p/search/세종특별자치시 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세종특별자치시 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HYPERLINK("https://map.naver.com/p/search/세종특별자치시 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세종특별자치시 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HYPERLINK("https://map.naver.com/p/search/세종특별자치시 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세종특별자치시 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HYPERLINK("https://map.naver.com/p/search/세종특별자치시 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세종특별자치시 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HYPERLINK("https://map.naver.com/p/search/세종특별자치시 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세종특별자치시 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HYPERLINK("https://map.naver.com/p/search/세종특별자치시 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세종특별자치시 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HYPERLINK("https://map.naver.com/p/search/세종특별자치시 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세종특별자치시 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HYPERLINK("https://map.naver.com/p/search/세종특별자치시 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세종특별자치시 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HYPERLINK("https://map.naver.com/p/search/세종특별자치시 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세종특별자치시 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HYPERLINK("https://map.naver.com/p/search/세종특별자치시 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세종특별자치시 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HYPERLINK("https://map.naver.com/p/search/세종특별자치시 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세종특별자치시 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HYPERLINK("https://map.naver.com/p/search/세종특별자치시 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세종특별자치시 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HYPERLINK("https://map.naver.com/p/search/세종특별자치시 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세종특별자치시 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HYPERLINK("https://map.naver.com/p/search/세종특별자치시 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세종특별자치시 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HYPERLINK("https://map.naver.com/p/search/세종특별자치시 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세종특별자치시 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HYPERLINK("https://map.naver.com/p/search/세종특별자치시 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세종특별자치시 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HYPERLINK("https://map.naver.com/p/search/세종특별자치시 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세종특별자치시 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HYPERLINK("https://map.naver.com/p/search/세종특별자치시 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세종특별자치시 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HYPERLINK("https://map.naver.com/p/search/세종특별자치시 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세종특별자치시 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HYPERLINK("https://map.naver.com/p/search/세종특별자치시 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세종특별자치시 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HYPERLINK("https://map.naver.com/p/search/세종특별자치시 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세종특별자치시 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HYPERLINK("https://map.naver.com/p/search/세종특별자치시 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세종특별자치시 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HYPERLINK("https://map.naver.com/p/search/세종특별자치시 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세종특별자치시 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자연속 풍광 단독주택지, 마당앞 실개천, 농막 전우너주택을 한번에 해결</t>
        </is>
      </c>
      <c r="L4148" s="6">
        <f>HYPERLINK("https://fin.land.naver.com/articles/2649505207", "매물Link")</f>
        <v/>
      </c>
      <c r="M4148" s="6">
        <f>HYPERLINK("https://map.naver.com/p/search/세종특별자치시 장군면 산학리 314", "지도Link")</f>
        <v/>
      </c>
      <c r="N4148" s="6">
        <f>HYPERLINK("http://www.eum.go.kr/web/ar/lu/luLandDet.jsp?pnu=3611035028103140000&amp;isNoScr=script&amp;mode=search", "토지이음")</f>
        <v/>
      </c>
      <c r="O4148" s="3" t="inlineStr">
        <is>
          <t>대박</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세종특별자치시 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nan</t>
        </is>
      </c>
      <c r="L4149" s="6">
        <f>HYPERLINK("https://fin.land.naver.com/articles/2647986494", "매물Link")</f>
        <v/>
      </c>
      <c r="M4149" s="6">
        <f>HYPERLINK("https://map.naver.com/p/search/세종특별자치시 장군면 산학리 314", "지도Link")</f>
        <v/>
      </c>
      <c r="N4149" s="6">
        <f>HYPERLINK("http://www.eum.go.kr/web/ar/lu/luLandDet.jsp?pnu=3611035028103140000&amp;isNoScr=script&amp;mode=search", "토지이음")</f>
        <v/>
      </c>
      <c r="O4149" s="3" t="inlineStr">
        <is>
          <t>세종공주제일</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세종특별자치시 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HYPERLINK("https://map.naver.com/p/search/세종특별자치시 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세종특별자치시 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HYPERLINK("https://map.naver.com/p/search/세종특별자치시 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세종특별자치시 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HYPERLINK("https://map.naver.com/p/search/세종특별자치시 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세종특별자치시 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HYPERLINK("https://map.naver.com/p/search/세종특별자치시 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세종특별자치시 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HYPERLINK("https://map.naver.com/p/search/세종특별자치시 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세종특별자치시 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HYPERLINK("https://map.naver.com/p/search/세종특별자치시 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세종특별자치시 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HYPERLINK("https://map.naver.com/p/search/세종특별자치시 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세종특별자치시 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HYPERLINK("https://map.naver.com/p/search/세종특별자치시 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세종특별자치시 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HYPERLINK("https://map.naver.com/p/search/세종특별자치시 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세종특별자치시 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HYPERLINK("https://map.naver.com/p/search/세종특별자치시 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세종특별자치시 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HYPERLINK("https://map.naver.com/p/search/세종특별자치시 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세종특별자치시 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HYPERLINK("https://map.naver.com/p/search/세종특별자치시 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세종특별자치시 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세종 영평사 인근 풍수 뛰어난 임야. 종중땅 추천</t>
        </is>
      </c>
      <c r="L4162" s="6">
        <f>HYPERLINK("https://fin.land.naver.com/articles/2648952882", "매물Link")</f>
        <v/>
      </c>
      <c r="M4162" s="6">
        <f>HYPERLINK("https://map.naver.com/p/search/세종특별자치시 장군면 산학리 산18", "지도Link")</f>
        <v/>
      </c>
      <c r="N4162" s="6">
        <f>HYPERLINK("http://www.eum.go.kr/web/ar/lu/luLandDet.jsp?pnu=3611035028200180000&amp;isNoScr=script&amp;mode=search", "토지이음")</f>
        <v/>
      </c>
      <c r="O4162" s="3" t="inlineStr">
        <is>
          <t>세종금밭</t>
        </is>
      </c>
      <c r="P4162" s="3" t="n">
        <v>1</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세종특별자치시 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강추,급매,배산임수,계획관리.농림지역.보전관리가포함되어있음,</t>
        </is>
      </c>
      <c r="L4163" s="6">
        <f>HYPERLINK("https://fin.land.naver.com/articles/2647030281", "매물Link")</f>
        <v/>
      </c>
      <c r="M4163" s="6">
        <f>HYPERLINK("https://map.naver.com/p/search/세종특별자치시 장군면 산학리 산18", "지도Link")</f>
        <v/>
      </c>
      <c r="N4163" s="6">
        <f>HYPERLINK("http://www.eum.go.kr/web/ar/lu/luLandDet.jsp?pnu=3611035028200180000&amp;isNoScr=script&amp;mode=search", "토지이음")</f>
        <v/>
      </c>
      <c r="O4163" s="3" t="inlineStr">
        <is>
          <t>따뜻한</t>
        </is>
      </c>
      <c r="P4163" s="3" t="n">
        <v>3</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세종특별자치시 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HYPERLINK("https://map.naver.com/p/search/세종특별자치시 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세종특별자치시 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HYPERLINK("https://map.naver.com/p/search/세종특별자치시 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세종특별자치시 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HYPERLINK("https://map.naver.com/p/search/세종특별자치시 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세종특별자치시 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HYPERLINK("https://map.naver.com/p/search/세종특별자치시 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세종특별자치시 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HYPERLINK("https://map.naver.com/p/search/세종특별자치시 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세종특별자치시 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HYPERLINK("https://map.naver.com/p/search/세종특별자치시 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세종특별자치시 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HYPERLINK("https://map.naver.com/p/search/세종특별자치시 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세종특별자치시 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완만한 경사 높은 위치로 주변 풍광이 뛰어나고 최상의 전망, 계획관리</t>
        </is>
      </c>
      <c r="L4171" s="6">
        <f>HYPERLINK("https://fin.land.naver.com/articles/2650013081", "매물Link")</f>
        <v/>
      </c>
      <c r="M4171" s="6">
        <f>HYPERLINK("https://map.naver.com/p/search/세종특별자치시 장군면 송문리 30-5", "지도Link")</f>
        <v/>
      </c>
      <c r="N4171" s="6">
        <f>HYPERLINK("http://www.eum.go.kr/web/ar/lu/luLandDet.jsp?pnu=3611035029100300005&amp;isNoScr=script&amp;mode=search", "토지이음")</f>
        <v/>
      </c>
      <c r="O4171" s="3" t="inlineStr">
        <is>
          <t>온뜰</t>
        </is>
      </c>
      <c r="P4171" s="3" t="n">
        <v>1</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세종특별자치시 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계획관리, 정부청사 인접, 풍경 좋은  일조권 좋은토지입니다</t>
        </is>
      </c>
      <c r="L4172" s="6">
        <f>HYPERLINK("https://fin.land.naver.com/articles/2648994952", "매물Link")</f>
        <v/>
      </c>
      <c r="M4172" s="6">
        <f>HYPERLINK("https://map.naver.com/p/search/세종특별자치시 장군면 송문리 30-5", "지도Link")</f>
        <v/>
      </c>
      <c r="N4172" s="6">
        <f>HYPERLINK("http://www.eum.go.kr/web/ar/lu/luLandDet.jsp?pnu=3611035029100300005&amp;isNoScr=script&amp;mode=search", "토지이음")</f>
        <v/>
      </c>
      <c r="O4172" s="3" t="inlineStr">
        <is>
          <t>세종신동아</t>
        </is>
      </c>
      <c r="P4172" s="3" t="n">
        <v>2</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세종특별자치시 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포장도로 접한 계획관리지역 답, 최상의 전망, 지인과 공동 매수 추천</t>
        </is>
      </c>
      <c r="L4173" s="6">
        <f>HYPERLINK("https://fin.land.naver.com/articles/2649696551", "매물Link")</f>
        <v/>
      </c>
      <c r="M4173" s="6">
        <f>HYPERLINK("https://map.naver.com/p/search/세종특별자치시 장군면 송문리 31-1", "지도Link")</f>
        <v/>
      </c>
      <c r="N4173" s="6">
        <f>HYPERLINK("http://www.eum.go.kr/web/ar/lu/luLandDet.jsp?pnu=3611035029100310001&amp;isNoScr=script&amp;mode=search", "토지이음")</f>
        <v/>
      </c>
      <c r="O4173" s="3" t="inlineStr">
        <is>
          <t>온뜰</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세종특별자치시 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막힘없는 조망권을 자랑하는 남향의 계획관리 급매토지입니다.</t>
        </is>
      </c>
      <c r="L4174" s="6">
        <f>HYPERLINK("https://fin.land.naver.com/articles/2645606246", "매물Link")</f>
        <v/>
      </c>
      <c r="M4174" s="6">
        <f>HYPERLINK("https://map.naver.com/p/search/세종특별자치시 장군면 송문리 31-1", "지도Link")</f>
        <v/>
      </c>
      <c r="N4174" s="6">
        <f>HYPERLINK("http://www.eum.go.kr/web/ar/lu/luLandDet.jsp?pnu=3611035029100310001&amp;isNoScr=script&amp;mode=search", "토지이음")</f>
        <v/>
      </c>
      <c r="O4174" s="3" t="inlineStr">
        <is>
          <t>미스터홈즈강남지사</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세종특별자치시 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HYPERLINK("https://map.naver.com/p/search/세종특별자치시 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세종특별자치시 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HYPERLINK("https://map.naver.com/p/search/세종특별자치시 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세종특별자치시 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HYPERLINK("https://map.naver.com/p/search/세종특별자치시 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세종특별자치시 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HYPERLINK("https://map.naver.com/p/search/세종특별자치시 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세종특별자치시 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HYPERLINK("https://map.naver.com/p/search/세종특별자치시 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세종특별자치시 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HYPERLINK("https://map.naver.com/p/search/세종특별자치시 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세종특별자치시 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HYPERLINK("https://map.naver.com/p/search/세종특별자치시 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세종특별자치시 장군면 송문리 387-19</t>
        </is>
      </c>
      <c r="B4182" s="3" t="inlineStr">
        <is>
          <t>보전관리지역</t>
        </is>
      </c>
      <c r="C4182" s="3" t="inlineStr">
        <is>
          <t>임야</t>
        </is>
      </c>
      <c r="D4182" s="3" t="inlineStr">
        <is>
          <t>대</t>
        </is>
      </c>
      <c r="E4182" s="3" t="inlineStr">
        <is>
          <t>매매</t>
        </is>
      </c>
      <c r="F4182" s="4" t="n">
        <v>22000</v>
      </c>
      <c r="G4182" s="4" t="n">
        <v>296</v>
      </c>
      <c r="H4182" s="4" t="n">
        <v>90</v>
      </c>
      <c r="I4182" s="5" t="n">
        <v>244.4</v>
      </c>
      <c r="J4182" s="4" t="n">
        <v>80</v>
      </c>
      <c r="K4182" s="3" t="inlineStr">
        <is>
          <t>가격조정가.도로접한코너각지.전원주택최적지.송문리마을회관인근.완경사주거나지</t>
        </is>
      </c>
      <c r="L4182" s="6">
        <f>HYPERLINK("https://fin.land.naver.com/articles/2649640641", "매물Link")</f>
        <v/>
      </c>
      <c r="M4182" s="6">
        <f>HYPERLINK("https://map.naver.com/p/search/세종특별자치시 장군면 송문리 387-19", "지도Link")</f>
        <v/>
      </c>
      <c r="N4182" s="6">
        <f>HYPERLINK("http://www.eum.go.kr/web/ar/lu/luLandDet.jsp?pnu=3611035029103870019&amp;isNoScr=script&amp;mode=search", "토지이음")</f>
        <v/>
      </c>
      <c r="O4182" s="3" t="inlineStr">
        <is>
          <t>돈방석</t>
        </is>
      </c>
      <c r="P4182" s="3" t="n">
        <v>2</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세종특별자치시 장군면 송문리 387-19</t>
        </is>
      </c>
      <c r="B4183" s="3" t="inlineStr">
        <is>
          <t>보전관리지역</t>
        </is>
      </c>
      <c r="C4183" s="3" t="inlineStr">
        <is>
          <t>임야</t>
        </is>
      </c>
      <c r="D4183" s="3" t="inlineStr">
        <is>
          <t>임야</t>
        </is>
      </c>
      <c r="E4183" s="3" t="inlineStr">
        <is>
          <t>매매</t>
        </is>
      </c>
      <c r="F4183" s="4" t="n">
        <v>21000</v>
      </c>
      <c r="G4183" s="4" t="n">
        <v>348</v>
      </c>
      <c r="H4183" s="4" t="n">
        <v>105</v>
      </c>
      <c r="I4183" s="5" t="n">
        <v>200</v>
      </c>
      <c r="J4183" s="4" t="n">
        <v>80</v>
      </c>
      <c r="K4183" s="3" t="inlineStr">
        <is>
          <t>기반시설 완료한 전원주택지 급매추천</t>
        </is>
      </c>
      <c r="L4183" s="6">
        <f>HYPERLINK("https://fin.land.naver.com/articles/2648109640", "매물Link")</f>
        <v/>
      </c>
      <c r="M4183" s="6">
        <f>HYPERLINK("https://map.naver.com/p/search/세종특별자치시 장군면 송문리 387-19", "지도Link")</f>
        <v/>
      </c>
      <c r="N4183" s="6">
        <f>HYPERLINK("http://www.eum.go.kr/web/ar/lu/luLandDet.jsp?pnu=3611035029103870019&amp;isNoScr=script&amp;mode=search", "토지이음")</f>
        <v/>
      </c>
      <c r="O4183" s="3" t="inlineStr">
        <is>
          <t>세종소담114</t>
        </is>
      </c>
      <c r="P4183" s="3" t="n">
        <v>1</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세종특별자치시 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HYPERLINK("https://map.naver.com/p/search/세종특별자치시 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세종특별자치시 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HYPERLINK("https://map.naver.com/p/search/세종특별자치시 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세종특별자치시 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HYPERLINK("https://map.naver.com/p/search/세종특별자치시 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세종특별자치시 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HYPERLINK("https://map.naver.com/p/search/세종특별자치시 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세종특별자치시 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HYPERLINK("https://map.naver.com/p/search/세종특별자치시 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세종특별자치시 장군면 송문리 40-15</t>
        </is>
      </c>
      <c r="B4189" s="3" t="inlineStr">
        <is>
          <t>보전관리지역</t>
        </is>
      </c>
      <c r="C4189" s="3" t="inlineStr">
        <is>
          <t>임야</t>
        </is>
      </c>
      <c r="D4189" s="3" t="inlineStr">
        <is>
          <t>임야</t>
        </is>
      </c>
      <c r="E4189" s="3" t="inlineStr">
        <is>
          <t>매매</t>
        </is>
      </c>
      <c r="F4189" s="4" t="n">
        <v>28000</v>
      </c>
      <c r="G4189" s="4" t="n">
        <v>545</v>
      </c>
      <c r="H4189" s="4" t="n">
        <v>165</v>
      </c>
      <c r="I4189" s="5" t="n">
        <v>169.7</v>
      </c>
      <c r="J4189" s="4" t="n">
        <v>82.3</v>
      </c>
      <c r="K4189" s="3" t="inlineStr">
        <is>
          <t>전원주택지이며,상하수도및 전기 기반시설이 되어있음.</t>
        </is>
      </c>
      <c r="L4189" s="6">
        <f>HYPERLINK("https://fin.land.naver.com/articles/2649428987", "매물Link")</f>
        <v/>
      </c>
      <c r="M4189" s="6">
        <f>HYPERLINK("https://map.naver.com/p/search/세종특별자치시 장군면 송문리 40-15", "지도Link")</f>
        <v/>
      </c>
      <c r="N4189" s="6">
        <f>HYPERLINK("http://www.eum.go.kr/web/ar/lu/luLandDet.jsp?pnu=3611035029100400015&amp;isNoScr=script&amp;mode=search", "토지이음")</f>
        <v/>
      </c>
      <c r="O4189" s="3" t="inlineStr">
        <is>
          <t>도마이편한</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세종특별자치시 장군면 송문리 40-15</t>
        </is>
      </c>
      <c r="B4190" s="3" t="inlineStr">
        <is>
          <t>보전관리지역</t>
        </is>
      </c>
      <c r="C4190" s="3" t="inlineStr">
        <is>
          <t>임야</t>
        </is>
      </c>
      <c r="D4190" s="3" t="inlineStr">
        <is>
          <t>임야</t>
        </is>
      </c>
      <c r="E4190" s="3" t="inlineStr">
        <is>
          <t>매매</t>
        </is>
      </c>
      <c r="F4190" s="4" t="n">
        <v>37000</v>
      </c>
      <c r="G4190" s="4" t="n">
        <v>545</v>
      </c>
      <c r="H4190" s="4" t="n">
        <v>165</v>
      </c>
      <c r="I4190" s="5" t="n">
        <v>224.2</v>
      </c>
      <c r="J4190" s="4" t="n">
        <v>82.3</v>
      </c>
      <c r="K4190" s="3" t="inlineStr">
        <is>
          <t>대전,세종,공주에서 가까운거리에 있는 송문리의 택지조성완료된 토지</t>
        </is>
      </c>
      <c r="L4190" s="6">
        <f>HYPERLINK("https://fin.land.naver.com/articles/2649275530", "매물Link")</f>
        <v/>
      </c>
      <c r="M4190" s="6">
        <f>HYPERLINK("https://map.naver.com/p/search/세종특별자치시 장군면 송문리 40-15", "지도Link")</f>
        <v/>
      </c>
      <c r="N4190" s="6">
        <f>HYPERLINK("http://www.eum.go.kr/web/ar/lu/luLandDet.jsp?pnu=3611035029100400015&amp;isNoScr=script&amp;mode=search", "토지이음")</f>
        <v/>
      </c>
      <c r="O4190" s="3" t="inlineStr">
        <is>
          <t>비타민무소</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세종특별자치시 장군면 송문리 40-19</t>
        </is>
      </c>
      <c r="B4191" s="3" t="inlineStr">
        <is>
          <t>보전관리지역</t>
        </is>
      </c>
      <c r="C4191" s="3" t="inlineStr">
        <is>
          <t>임야</t>
        </is>
      </c>
      <c r="D4191" s="3" t="inlineStr">
        <is>
          <t>임야</t>
        </is>
      </c>
      <c r="E4191" s="3" t="inlineStr">
        <is>
          <t>매매</t>
        </is>
      </c>
      <c r="F4191" s="4" t="n">
        <v>55000</v>
      </c>
      <c r="G4191" s="4" t="n">
        <v>891</v>
      </c>
      <c r="H4191" s="4" t="n">
        <v>270</v>
      </c>
      <c r="I4191" s="5" t="n">
        <v>203.7</v>
      </c>
      <c r="J4191" s="4" t="n">
        <v>82.3</v>
      </c>
      <c r="K4191" s="3" t="inlineStr">
        <is>
          <t>대교천이 보이는 조망권뷰 최상 전원주택지,필지 분할가능</t>
        </is>
      </c>
      <c r="L4191" s="6">
        <f>HYPERLINK("https://fin.land.naver.com/articles/2645376378", "매물Link")</f>
        <v/>
      </c>
      <c r="M4191" s="6">
        <f>HYPERLINK("https://map.naver.com/p/search/세종특별자치시 장군면 송문리 40-19", "지도Link")</f>
        <v/>
      </c>
      <c r="N4191" s="6">
        <f>HYPERLINK("http://www.eum.go.kr/web/ar/lu/luLandDet.jsp?pnu=3611035029100400019&amp;isNoScr=script&amp;mode=search", "토지이음")</f>
        <v/>
      </c>
      <c r="O4191" s="3" t="inlineStr">
        <is>
          <t>고운맘</t>
        </is>
      </c>
      <c r="P4191" s="3" t="n">
        <v>1</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세종특별자치시 장군면 송문리 40-19</t>
        </is>
      </c>
      <c r="B4192" s="3" t="inlineStr">
        <is>
          <t>보전관리지역</t>
        </is>
      </c>
      <c r="C4192" s="3" t="inlineStr">
        <is>
          <t>임야</t>
        </is>
      </c>
      <c r="D4192" s="3" t="inlineStr">
        <is>
          <t>임야</t>
        </is>
      </c>
      <c r="E4192" s="3" t="inlineStr">
        <is>
          <t>매매</t>
        </is>
      </c>
      <c r="F4192" s="4" t="n">
        <v>62000</v>
      </c>
      <c r="G4192" s="4" t="n">
        <v>891</v>
      </c>
      <c r="H4192" s="4" t="n">
        <v>270</v>
      </c>
      <c r="I4192" s="5" t="n">
        <v>229.6</v>
      </c>
      <c r="J4192" s="4" t="n">
        <v>82.3</v>
      </c>
      <c r="K4192" s="3" t="inlineStr">
        <is>
          <t>전원주택신축최고명당자리</t>
        </is>
      </c>
      <c r="L4192" s="6">
        <f>HYPERLINK("https://fin.land.naver.com/articles/2646616371", "매물Link")</f>
        <v/>
      </c>
      <c r="M4192" s="6">
        <f>HYPERLINK("https://map.naver.com/p/search/세종특별자치시 장군면 송문리 40-19", "지도Link")</f>
        <v/>
      </c>
      <c r="N4192" s="6">
        <f>HYPERLINK("http://www.eum.go.kr/web/ar/lu/luLandDet.jsp?pnu=3611035029100400019&amp;isNoScr=script&amp;mode=search", "토지이음")</f>
        <v/>
      </c>
      <c r="O4192" s="3" t="inlineStr">
        <is>
          <t>에바다</t>
        </is>
      </c>
      <c r="P4192" s="3" t="n">
        <v>2</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세종특별자치시 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HYPERLINK("https://map.naver.com/p/search/세종특별자치시 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세종특별자치시 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HYPERLINK("https://map.naver.com/p/search/세종특별자치시 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세종특별자치시 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HYPERLINK("https://map.naver.com/p/search/세종특별자치시 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세종특별자치시 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HYPERLINK("https://map.naver.com/p/search/세종특별자치시 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세종특별자치시 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HYPERLINK("https://map.naver.com/p/search/세종특별자치시 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세종특별자치시 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HYPERLINK("https://map.naver.com/p/search/세종특별자치시 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세종특별자치시 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전원주택 및 다양한 용도로 사용가능</t>
        </is>
      </c>
      <c r="L4199" s="6">
        <f>HYPERLINK("https://fin.land.naver.com/articles/2649865365", "매물Link")</f>
        <v/>
      </c>
      <c r="M4199" s="6">
        <f>HYPERLINK("https://map.naver.com/p/search/세종특별자치시 장군면 송문리 57-6", "지도Link")</f>
        <v/>
      </c>
      <c r="N4199" s="6">
        <f>HYPERLINK("http://www.eum.go.kr/web/ar/lu/luLandDet.jsp?pnu=3611035029100570006&amp;isNoScr=script&amp;mode=search", "토지이음")</f>
        <v/>
      </c>
      <c r="O4199" s="3" t="inlineStr">
        <is>
          <t>상상</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세종특별자치시 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계획관리, 주변 풍광이 뛰어나고 전망좋아 전원주택지로 최적, 하우스 포함</t>
        </is>
      </c>
      <c r="L4200" s="6">
        <f>HYPERLINK("https://fin.land.naver.com/articles/2644846538", "매물Link")</f>
        <v/>
      </c>
      <c r="M4200" s="6">
        <f>HYPERLINK("https://map.naver.com/p/search/세종특별자치시 장군면 송문리 57-6", "지도Link")</f>
        <v/>
      </c>
      <c r="N4200" s="6">
        <f>HYPERLINK("http://www.eum.go.kr/web/ar/lu/luLandDet.jsp?pnu=3611035029100570006&amp;isNoScr=script&amp;mode=search", "토지이음")</f>
        <v/>
      </c>
      <c r="O4200" s="3" t="inlineStr">
        <is>
          <t>온뜰</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세종특별자치시 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HYPERLINK("https://map.naver.com/p/search/세종특별자치시 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세종특별자치시 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HYPERLINK("https://map.naver.com/p/search/세종특별자치시 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세종특별자치시 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HYPERLINK("https://map.naver.com/p/search/세종특별자치시 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세종특별자치시 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HYPERLINK("https://map.naver.com/p/search/세종특별자치시 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세종특별자치시 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HYPERLINK("https://map.naver.com/p/search/세종특별자치시 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세종특별자치시 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HYPERLINK("https://map.naver.com/p/search/세종특별자치시 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세종특별자치시 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HYPERLINK("https://map.naver.com/p/search/세종특별자치시 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세종특별자치시 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HYPERLINK("https://map.naver.com/p/search/세종특별자치시 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세종특별자치시 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HYPERLINK("https://map.naver.com/p/search/세종특별자치시 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세종특별자치시 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HYPERLINK("https://map.naver.com/p/search/세종특별자치시 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세종특별자치시 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HYPERLINK("https://map.naver.com/p/search/세종특별자치시 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세종특별자치시 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HYPERLINK("https://map.naver.com/p/search/세종특별자치시 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세종특별자치시 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HYPERLINK("https://map.naver.com/p/search/세종특별자치시 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세종특별자치시 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HYPERLINK("https://map.naver.com/p/search/세종특별자치시 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세종특별자치시 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HYPERLINK("https://map.naver.com/p/search/세종특별자치시 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세종특별자치시 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HYPERLINK("https://map.naver.com/p/search/세종특별자치시 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세종특별자치시 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HYPERLINK("https://map.naver.com/p/search/세종특별자치시 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세종특별자치시 장군면 송정리 556-5</t>
        </is>
      </c>
      <c r="B4218" s="3" t="inlineStr">
        <is>
          <t>계획관리지역</t>
        </is>
      </c>
      <c r="C4218" s="3" t="inlineStr">
        <is>
          <t>답</t>
        </is>
      </c>
      <c r="D4218" s="3" t="inlineStr">
        <is>
          <t>답</t>
        </is>
      </c>
      <c r="E4218" s="3" t="inlineStr">
        <is>
          <t>매매</t>
        </is>
      </c>
      <c r="F4218" s="4" t="n">
        <v>210000</v>
      </c>
      <c r="G4218" s="4" t="n">
        <v>6646</v>
      </c>
      <c r="H4218" s="4" t="n">
        <v>2010</v>
      </c>
      <c r="I4218" s="5" t="n">
        <v>104.5</v>
      </c>
      <c r="J4218" s="4" t="n">
        <v>37.5</v>
      </c>
      <c r="K4218" s="3" t="inlineStr">
        <is>
          <t>세세종IC 5분거리 계획관리지역</t>
        </is>
      </c>
      <c r="L4218" s="6">
        <f>HYPERLINK("https://fin.land.naver.com/articles/2644455039", "매물Link")</f>
        <v/>
      </c>
      <c r="M4218" s="6">
        <f>HYPERLINK("https://map.naver.com/p/search/세종특별자치시 장군면 송정리 556-5", "지도Link")</f>
        <v/>
      </c>
      <c r="N4218" s="6">
        <f>HYPERLINK("http://www.eum.go.kr/web/ar/lu/luLandDet.jsp?pnu=3611035030105560005&amp;isNoScr=script&amp;mode=search", "토지이음")</f>
        <v/>
      </c>
      <c r="O4218" s="3" t="inlineStr">
        <is>
          <t>해온</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세종특별자치시 장군면 송정리 556-5</t>
        </is>
      </c>
      <c r="B4219" s="3" t="inlineStr">
        <is>
          <t>계획관리지역</t>
        </is>
      </c>
      <c r="C4219" s="3" t="inlineStr">
        <is>
          <t>답</t>
        </is>
      </c>
      <c r="D4219" s="3" t="inlineStr">
        <is>
          <t>답</t>
        </is>
      </c>
      <c r="E4219" s="3" t="inlineStr">
        <is>
          <t>매매</t>
        </is>
      </c>
      <c r="F4219" s="4" t="n">
        <v>200000</v>
      </c>
      <c r="G4219" s="4" t="n">
        <v>3018</v>
      </c>
      <c r="H4219" s="4" t="n">
        <v>913</v>
      </c>
      <c r="I4219" s="5" t="n">
        <v>219.1</v>
      </c>
      <c r="J4219" s="4" t="n">
        <v>37.5</v>
      </c>
      <c r="K4219" s="3" t="inlineStr">
        <is>
          <t>계획관리지역 토지매매</t>
        </is>
      </c>
      <c r="L4219" s="6">
        <f>HYPERLINK("https://fin.land.naver.com/articles/2646852605", "매물Link")</f>
        <v/>
      </c>
      <c r="M4219" s="6">
        <f>HYPERLINK("https://map.naver.com/p/search/세종특별자치시 장군면 송정리 556-5", "지도Link")</f>
        <v/>
      </c>
      <c r="N4219" s="6">
        <f>HYPERLINK("http://www.eum.go.kr/web/ar/lu/luLandDet.jsp?pnu=3611035030105560005&amp;isNoScr=script&amp;mode=search", "토지이음")</f>
        <v/>
      </c>
      <c r="O4219" s="3" t="inlineStr">
        <is>
          <t>에이스</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세종특별자치시 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정부청사에서10분 계획관리지역</t>
        </is>
      </c>
      <c r="L4220" s="6">
        <f>HYPERLINK("https://fin.land.naver.com/articles/2649544439", "매물Link")</f>
        <v/>
      </c>
      <c r="M4220" s="6">
        <f>HYPERLINK("https://map.naver.com/p/search/세종특별자치시 장군면 송정리 556-5", "지도Link")</f>
        <v/>
      </c>
      <c r="N4220" s="6">
        <f>HYPERLINK("http://www.eum.go.kr/web/ar/lu/luLandDet.jsp?pnu=3611035030105560005&amp;isNoScr=script&amp;mode=search", "토지이음")</f>
        <v/>
      </c>
      <c r="O4220" s="3" t="inlineStr">
        <is>
          <t>세종천지</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세종특별자치시 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HYPERLINK("https://map.naver.com/p/search/세종특별자치시 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세종특별자치시 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HYPERLINK("https://map.naver.com/p/search/세종특별자치시 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세종특별자치시 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HYPERLINK("https://map.naver.com/p/search/세종특별자치시 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세종특별자치시 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HYPERLINK("https://map.naver.com/p/search/세종특별자치시 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세종특별자치시 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HYPERLINK("https://map.naver.com/p/search/세종특별자치시 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세종특별자치시 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HYPERLINK("https://map.naver.com/p/search/세종특별자치시 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세종특별자치시 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HYPERLINK("https://map.naver.com/p/search/세종특별자치시 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세종특별자치시 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HYPERLINK("https://map.naver.com/p/search/세종특별자치시 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세종특별자치시 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HYPERLINK("https://map.naver.com/p/search/세종특별자치시 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세종특별자치시 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HYPERLINK("https://map.naver.com/p/search/세종특별자치시 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세종특별자치시 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HYPERLINK("https://map.naver.com/p/search/세종특별자치시 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세종특별자치시 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HYPERLINK("https://map.naver.com/p/search/세종특별자치시 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세종특별자치시 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HYPERLINK("https://map.naver.com/p/search/세종특별자치시 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세종특별자치시 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HYPERLINK("https://map.naver.com/p/search/세종특별자치시 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세종특별자치시 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HYPERLINK("https://map.naver.com/p/search/세종특별자치시 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세종특별자치시 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HYPERLINK("https://map.naver.com/p/search/세종특별자치시 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세종특별자치시 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HYPERLINK("https://map.naver.com/p/search/세종특별자치시 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세종특별자치시 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HYPERLINK("https://map.naver.com/p/search/세종특별자치시 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세종특별자치시 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HYPERLINK("https://map.naver.com/p/search/세종특별자치시 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세종특별자치시 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HYPERLINK("https://map.naver.com/p/search/세종특별자치시 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세종특별자치시 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HYPERLINK("https://map.naver.com/p/search/세종특별자치시 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세종특별자치시 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HYPERLINK("https://map.naver.com/p/search/세종특별자치시 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세종특별자치시 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HYPERLINK("https://map.naver.com/p/search/세종특별자치시 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세종특별자치시 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HYPERLINK("https://map.naver.com/p/search/세종특별자치시 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세종특별자치시 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HYPERLINK("https://map.naver.com/p/search/세종특별자치시 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세종특별자치시 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HYPERLINK("https://map.naver.com/p/search/세종특별자치시 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세종특별자치시 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HYPERLINK("https://map.naver.com/p/search/세종특별자치시 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세종특별자치시 장군면 송학리 455-2</t>
        </is>
      </c>
      <c r="B4248" s="3" t="inlineStr">
        <is>
          <t>계획관리지역</t>
        </is>
      </c>
      <c r="C4248" s="3" t="inlineStr">
        <is>
          <t>답</t>
        </is>
      </c>
      <c r="D4248" s="3" t="inlineStr">
        <is>
          <t>답</t>
        </is>
      </c>
      <c r="E4248" s="3" t="inlineStr">
        <is>
          <t>매매</t>
        </is>
      </c>
      <c r="F4248" s="4" t="n">
        <v>50000</v>
      </c>
      <c r="G4248" s="4" t="n">
        <v>1048</v>
      </c>
      <c r="H4248" s="4" t="n">
        <v>317</v>
      </c>
      <c r="I4248" s="5" t="n">
        <v>157.7</v>
      </c>
      <c r="J4248" s="4" t="n">
        <v>48.4</v>
      </c>
      <c r="K4248" s="3" t="inlineStr">
        <is>
          <t>농작물 재배중</t>
        </is>
      </c>
      <c r="L4248" s="6">
        <f>HYPERLINK("https://fin.land.naver.com/articles/2646149637", "매물Link")</f>
        <v/>
      </c>
      <c r="M4248" s="6">
        <f>HYPERLINK("https://map.naver.com/p/search/세종특별자치시 장군면 송학리 455-2", "지도Link")</f>
        <v/>
      </c>
      <c r="N4248" s="6">
        <f>HYPERLINK("http://www.eum.go.kr/web/ar/lu/luLandDet.jsp?pnu=3611035031104550002&amp;isNoScr=script&amp;mode=search", "토지이음")</f>
        <v/>
      </c>
      <c r="O4248" s="3" t="inlineStr">
        <is>
          <t>그린영광</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세종특별자치시 장군면 송학리 455-2</t>
        </is>
      </c>
      <c r="B4249" s="3" t="inlineStr">
        <is>
          <t>계획관리지역</t>
        </is>
      </c>
      <c r="C4249" s="3" t="inlineStr">
        <is>
          <t>답</t>
        </is>
      </c>
      <c r="D4249" s="3" t="inlineStr">
        <is>
          <t>답</t>
        </is>
      </c>
      <c r="E4249" s="3" t="inlineStr">
        <is>
          <t>매매</t>
        </is>
      </c>
      <c r="F4249" s="4" t="n">
        <v>75000</v>
      </c>
      <c r="G4249" s="4" t="n">
        <v>1652</v>
      </c>
      <c r="H4249" s="4" t="n">
        <v>500</v>
      </c>
      <c r="I4249" s="5" t="n">
        <v>150</v>
      </c>
      <c r="J4249" s="4" t="n">
        <v>48.4</v>
      </c>
      <c r="K4249" s="3" t="inlineStr">
        <is>
          <t>nan</t>
        </is>
      </c>
      <c r="L4249" s="6">
        <f>HYPERLINK("https://fin.land.naver.com/articles/2649097882", "매물Link")</f>
        <v/>
      </c>
      <c r="M4249" s="6">
        <f>HYPERLINK("https://map.naver.com/p/search/세종특별자치시 장군면 송학리 455-2", "지도Link")</f>
        <v/>
      </c>
      <c r="N4249" s="6">
        <f>HYPERLINK("http://www.eum.go.kr/web/ar/lu/luLandDet.jsp?pnu=3611035031104550002&amp;isNoScr=script&amp;mode=search", "토지이음")</f>
        <v/>
      </c>
      <c r="O4249" s="3" t="inlineStr">
        <is>
          <t>세종공주제일</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세종특별자치시 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HYPERLINK("https://map.naver.com/p/search/세종특별자치시 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세종특별자치시 장군면 송학리 483-2</t>
        </is>
      </c>
      <c r="B4251" s="3" t="inlineStr">
        <is>
          <t>계획관리지역</t>
        </is>
      </c>
      <c r="C4251" s="3" t="inlineStr">
        <is>
          <t>전</t>
        </is>
      </c>
      <c r="D4251" s="3" t="inlineStr">
        <is>
          <t>전</t>
        </is>
      </c>
      <c r="E4251" s="3" t="inlineStr">
        <is>
          <t>매매</t>
        </is>
      </c>
      <c r="F4251" s="4" t="n">
        <v>43000</v>
      </c>
      <c r="G4251" s="4" t="n">
        <v>1191</v>
      </c>
      <c r="H4251" s="4" t="n">
        <v>360</v>
      </c>
      <c r="I4251" s="5" t="n">
        <v>119.4</v>
      </c>
      <c r="J4251" s="4" t="n">
        <v>40.3</v>
      </c>
      <c r="K4251" s="3" t="inlineStr">
        <is>
          <t>계획관리지역 현황도로 접, 앞면 탁트이고 주변 풍광 뛰어나 전원주택 추천</t>
        </is>
      </c>
      <c r="L4251" s="6">
        <f>HYPERLINK("https://fin.land.naver.com/articles/2644833870", "매물Link")</f>
        <v/>
      </c>
      <c r="M4251" s="6">
        <f>HYPERLINK("https://map.naver.com/p/search/세종특별자치시 장군면 송학리 483-2", "지도Link")</f>
        <v/>
      </c>
      <c r="N4251" s="6">
        <f>HYPERLINK("http://www.eum.go.kr/web/ar/lu/luLandDet.jsp?pnu=3611035031104830002&amp;isNoScr=script&amp;mode=search", "토지이음")</f>
        <v/>
      </c>
      <c r="O4251" s="3" t="inlineStr">
        <is>
          <t>온뜰</t>
        </is>
      </c>
      <c r="P4251" s="3" t="n">
        <v>1</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세종특별자치시 장군면 송학리 483-2</t>
        </is>
      </c>
      <c r="B4252" s="3" t="inlineStr">
        <is>
          <t>계획관리지역</t>
        </is>
      </c>
      <c r="C4252" s="3" t="inlineStr">
        <is>
          <t>전</t>
        </is>
      </c>
      <c r="D4252" s="3" t="inlineStr">
        <is>
          <t>전</t>
        </is>
      </c>
      <c r="E4252" s="3" t="inlineStr">
        <is>
          <t>매매</t>
        </is>
      </c>
      <c r="F4252" s="4" t="n">
        <v>47000</v>
      </c>
      <c r="G4252" s="4" t="n">
        <v>1191</v>
      </c>
      <c r="H4252" s="4" t="n">
        <v>360</v>
      </c>
      <c r="I4252" s="5" t="n">
        <v>130.6</v>
      </c>
      <c r="J4252" s="4" t="n">
        <v>40.3</v>
      </c>
      <c r="K4252" s="3" t="inlineStr">
        <is>
          <t>입지좋은 계획관리지역, 도로인접으로 전원주택활용 및 투자가치 높은 토지</t>
        </is>
      </c>
      <c r="L4252" s="6">
        <f>HYPERLINK("https://fin.land.naver.com/articles/2648577845", "매물Link")</f>
        <v/>
      </c>
      <c r="M4252" s="6">
        <f>HYPERLINK("https://map.naver.com/p/search/세종특별자치시 장군면 송학리 483-2", "지도Link")</f>
        <v/>
      </c>
      <c r="N4252" s="6">
        <f>HYPERLINK("http://www.eum.go.kr/web/ar/lu/luLandDet.jsp?pnu=3611035031104830002&amp;isNoScr=script&amp;mode=search", "토지이음")</f>
        <v/>
      </c>
      <c r="O4252" s="3" t="inlineStr">
        <is>
          <t>마곡9단지</t>
        </is>
      </c>
      <c r="P4252" s="3" t="n">
        <v>4</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세종특별자치시 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HYPERLINK("https://map.naver.com/p/search/세종특별자치시 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세종특별자치시 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HYPERLINK("https://map.naver.com/p/search/세종특별자치시 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세종특별자치시 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HYPERLINK("https://map.naver.com/p/search/세종특별자치시 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세종특별자치시 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HYPERLINK("https://map.naver.com/p/search/세종특별자치시 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세종특별자치시 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HYPERLINK("https://map.naver.com/p/search/세종특별자치시 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세종특별자치시 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nan</t>
        </is>
      </c>
      <c r="L4258" s="6">
        <f>HYPERLINK("https://fin.land.naver.com/articles/2647624128", "매물Link")</f>
        <v/>
      </c>
      <c r="M4258" s="6">
        <f>HYPERLINK("https://map.naver.com/p/search/세종특별자치시 장군면 송학리 산38-11", "지도Link")</f>
        <v/>
      </c>
      <c r="N4258" s="6">
        <f>HYPERLINK("http://www.eum.go.kr/web/ar/lu/luLandDet.jsp?pnu=3611035031200380011&amp;isNoScr=script&amp;mode=search", "토지이음")</f>
        <v/>
      </c>
      <c r="O4258" s="3" t="inlineStr">
        <is>
          <t>세종몽땅</t>
        </is>
      </c>
      <c r="P4258" s="3" t="n">
        <v>1</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세종특별자치시 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의당전의로 접한 계획관리지역 임야, 음식점 또는 커피숍 추천</t>
        </is>
      </c>
      <c r="L4259" s="6">
        <f>HYPERLINK("https://fin.land.naver.com/articles/2644832153", "매물Link")</f>
        <v/>
      </c>
      <c r="M4259" s="6">
        <f>HYPERLINK("https://map.naver.com/p/search/세종특별자치시 장군면 송학리 산38-11", "지도Link")</f>
        <v/>
      </c>
      <c r="N4259" s="6">
        <f>HYPERLINK("http://www.eum.go.kr/web/ar/lu/luLandDet.jsp?pnu=3611035031200380011&amp;isNoScr=script&amp;mode=search", "토지이음")</f>
        <v/>
      </c>
      <c r="O4259" s="3" t="inlineStr">
        <is>
          <t>온뜰</t>
        </is>
      </c>
      <c r="P4259" s="3" t="n">
        <v>1</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세종특별자치시 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게획관리지역 임야 2차선변 접.</t>
        </is>
      </c>
      <c r="L4260" s="6">
        <f>HYPERLINK("https://fin.land.naver.com/articles/2649820615", "매물Link")</f>
        <v/>
      </c>
      <c r="M4260" s="6">
        <f>HYPERLINK("https://map.naver.com/p/search/세종특별자치시 장군면 송학리 산38-11", "지도Link")</f>
        <v/>
      </c>
      <c r="N4260" s="6">
        <f>HYPERLINK("http://www.eum.go.kr/web/ar/lu/luLandDet.jsp?pnu=3611035031200380011&amp;isNoScr=script&amp;mode=search", "토지이음")</f>
        <v/>
      </c>
      <c r="O4260" s="3" t="inlineStr">
        <is>
          <t>로데오상가</t>
        </is>
      </c>
      <c r="P4260" s="3" t="n">
        <v>3</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세종특별자치시 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2차선 도로접  경부고속도로 신설 북세종ic 3분거리 미래가치 좋은 토지</t>
        </is>
      </c>
      <c r="L4261" s="6">
        <f>HYPERLINK("https://fin.land.naver.com/articles/2649656320", "매물Link")</f>
        <v/>
      </c>
      <c r="M4261" s="6">
        <f>HYPERLINK("https://map.naver.com/p/search/세종특별자치시 장군면 송학리 산38-11", "지도Link")</f>
        <v/>
      </c>
      <c r="N4261" s="6">
        <f>HYPERLINK("http://www.eum.go.kr/web/ar/lu/luLandDet.jsp?pnu=3611035031200380011&amp;isNoScr=script&amp;mode=search", "토지이음")</f>
        <v/>
      </c>
      <c r="O4261" s="3" t="inlineStr">
        <is>
          <t>더원</t>
        </is>
      </c>
      <c r="P4261" s="3" t="n">
        <v>7</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세종특별자치시 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HYPERLINK("https://map.naver.com/p/search/세종특별자치시 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세종특별자치시 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HYPERLINK("https://map.naver.com/p/search/세종특별자치시 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세종특별자치시 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HYPERLINK("https://map.naver.com/p/search/세종특별자치시 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세종특별자치시 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HYPERLINK("https://map.naver.com/p/search/세종특별자치시 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세종특별자치시 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HYPERLINK("https://map.naver.com/p/search/세종특별자치시 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세종특별자치시 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HYPERLINK("https://map.naver.com/p/search/세종특별자치시 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세종특별자치시 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HYPERLINK("https://map.naver.com/p/search/세종특별자치시 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세종특별자치시 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HYPERLINK("https://map.naver.com/p/search/세종특별자치시 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세종특별자치시 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HYPERLINK("https://map.naver.com/p/search/세종특별자치시 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세종특별자치시 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HYPERLINK("https://map.naver.com/p/search/세종특별자치시 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세종특별자치시 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HYPERLINK("https://map.naver.com/p/search/세종특별자치시 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세종특별자치시 장군면 용암리 668-1</t>
        </is>
      </c>
      <c r="B4273" s="3" t="inlineStr">
        <is>
          <t>생산관리지역</t>
        </is>
      </c>
      <c r="C4273" s="3" t="inlineStr">
        <is>
          <t>답</t>
        </is>
      </c>
      <c r="D4273" s="3" t="inlineStr">
        <is>
          <t>답</t>
        </is>
      </c>
      <c r="E4273" s="3" t="inlineStr">
        <is>
          <t>매매</t>
        </is>
      </c>
      <c r="F4273" s="4" t="n">
        <v>150000</v>
      </c>
      <c r="G4273" s="4" t="n">
        <v>3399</v>
      </c>
      <c r="H4273" s="4" t="n">
        <v>1028</v>
      </c>
      <c r="I4273" s="5" t="n">
        <v>145.9</v>
      </c>
      <c r="J4273" s="4" t="n">
        <v>34.7</v>
      </c>
      <c r="K4273" s="3" t="inlineStr">
        <is>
          <t>서세종 ic  근접 토지, 세종시 확장, 미래가치기대 ,주말농장등</t>
        </is>
      </c>
      <c r="L4273" s="6">
        <f>HYPERLINK("https://fin.land.naver.com/articles/2646423263", "매물Link")</f>
        <v/>
      </c>
      <c r="M4273" s="6">
        <f>HYPERLINK("https://map.naver.com/p/search/세종특별자치시 장군면 용암리 668-1", "지도Link")</f>
        <v/>
      </c>
      <c r="N4273" s="6">
        <f>HYPERLINK("http://www.eum.go.kr/web/ar/lu/luLandDet.jsp?pnu=3611035033106680001&amp;isNoScr=script&amp;mode=search", "토지이음")</f>
        <v/>
      </c>
      <c r="O4273" s="3" t="inlineStr">
        <is>
          <t>세종특별시</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세종특별자치시 장군면 용암리 668-1</t>
        </is>
      </c>
      <c r="B4274" s="3" t="inlineStr">
        <is>
          <t>생산관리지역</t>
        </is>
      </c>
      <c r="C4274" s="3" t="inlineStr">
        <is>
          <t>답</t>
        </is>
      </c>
      <c r="D4274" s="3" t="inlineStr">
        <is>
          <t>답</t>
        </is>
      </c>
      <c r="E4274" s="3" t="inlineStr">
        <is>
          <t>매매</t>
        </is>
      </c>
      <c r="F4274" s="4" t="n">
        <v>140000</v>
      </c>
      <c r="G4274" s="4" t="n">
        <v>3399</v>
      </c>
      <c r="H4274" s="4" t="n">
        <v>1028</v>
      </c>
      <c r="I4274" s="5" t="n">
        <v>136.2</v>
      </c>
      <c r="J4274" s="4" t="n">
        <v>34.7</v>
      </c>
      <c r="K4274" s="3" t="inlineStr">
        <is>
          <t>2차선 접한 넓은 토지.</t>
        </is>
      </c>
      <c r="L4274" s="6">
        <f>HYPERLINK("https://fin.land.naver.com/articles/2645525598", "매물Link")</f>
        <v/>
      </c>
      <c r="M4274" s="6">
        <f>HYPERLINK("https://map.naver.com/p/search/세종특별자치시 장군면 용암리 668-1", "지도Link")</f>
        <v/>
      </c>
      <c r="N4274" s="6">
        <f>HYPERLINK("http://www.eum.go.kr/web/ar/lu/luLandDet.jsp?pnu=3611035033106680001&amp;isNoScr=script&amp;mode=search", "토지이음")</f>
        <v/>
      </c>
      <c r="O4274" s="3" t="inlineStr">
        <is>
          <t>세종소담114</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세종특별자치시 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HYPERLINK("https://map.naver.com/p/search/세종특별자치시 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세종특별자치시 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HYPERLINK("https://map.naver.com/p/search/세종특별자치시 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세종특별자치시 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HYPERLINK("https://map.naver.com/p/search/세종특별자치시 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세종특별자치시 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HYPERLINK("https://map.naver.com/p/search/세종특별자치시 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세종특별자치시 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HYPERLINK("https://map.naver.com/p/search/세종특별자치시 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세종특별자치시 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HYPERLINK("https://map.naver.com/p/search/세종특별자치시 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세종특별자치시 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HYPERLINK("https://map.naver.com/p/search/세종특별자치시 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세종특별자치시 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HYPERLINK("https://map.naver.com/p/search/세종특별자치시 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세종특별자치시 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HYPERLINK("https://map.naver.com/p/search/세종특별자치시 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세종특별자치시 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HYPERLINK("https://map.naver.com/p/search/세종특별자치시 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세종특별자치시 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HYPERLINK("https://map.naver.com/p/search/세종특별자치시 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세종특별자치시 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HYPERLINK("https://map.naver.com/p/search/세종특별자치시 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세종특별자치시 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HYPERLINK("https://map.naver.com/p/search/세종특별자치시 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세종특별자치시 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HYPERLINK("https://map.naver.com/p/search/세종특별자치시 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세종특별자치시 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HYPERLINK("https://map.naver.com/p/search/세종특별자치시 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세종특별자치시 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HYPERLINK("https://map.naver.com/p/search/세종특별자치시 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세종특별자치시 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HYPERLINK("https://map.naver.com/p/search/세종특별자치시 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세종특별자치시 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HYPERLINK("https://map.naver.com/p/search/세종특별자치시 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세종특별자치시 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HYPERLINK("https://map.naver.com/p/search/세종특별자치시 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세종특별자치시 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HYPERLINK("https://map.naver.com/p/search/세종특별자치시 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세종특별자치시 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HYPERLINK("https://map.naver.com/p/search/세종특별자치시 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세종특별자치시 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HYPERLINK("https://map.naver.com/p/search/세종특별자치시 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세종특별자치시 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HYPERLINK("https://map.naver.com/p/search/세종특별자치시 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세종특별자치시 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왕복6차선 도로접 계획관리.성장관리 토지</t>
        </is>
      </c>
      <c r="L4298" s="6">
        <f>HYPERLINK("https://fin.land.naver.com/articles/2644697986", "매물Link")</f>
        <v/>
      </c>
      <c r="M4298" s="6">
        <f>HYPERLINK("https://map.naver.com/p/search/세종특별자치시 장군면 은용리 82", "지도Link")</f>
        <v/>
      </c>
      <c r="N4298" s="6">
        <f>HYPERLINK("http://www.eum.go.kr/web/ar/lu/luLandDet.jsp?pnu=3611035027100820000&amp;isNoScr=script&amp;mode=search", "토지이음")</f>
        <v/>
      </c>
      <c r="O4298" s="3" t="inlineStr">
        <is>
          <t>법조연합은온</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세종특별자치시 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노출효과 좋은 자리 선점하세요</t>
        </is>
      </c>
      <c r="L4299" s="6">
        <f>HYPERLINK("https://fin.land.naver.com/articles/2648263191", "매물Link")</f>
        <v/>
      </c>
      <c r="M4299" s="6">
        <f>HYPERLINK("https://map.naver.com/p/search/세종특별자치시 장군면 은용리 82", "지도Link")</f>
        <v/>
      </c>
      <c r="N4299" s="6">
        <f>HYPERLINK("http://www.eum.go.kr/web/ar/lu/luLandDet.jsp?pnu=3611035027100820000&amp;isNoScr=script&amp;mode=search", "토지이음")</f>
        <v/>
      </c>
      <c r="O4299" s="3" t="inlineStr">
        <is>
          <t>세종대평</t>
        </is>
      </c>
      <c r="P4299" s="3" t="n">
        <v>1</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세종특별자치시 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은용리 일대 3필지(전) 평당 1500만원 매매</t>
        </is>
      </c>
      <c r="L4300" s="6">
        <f>HYPERLINK("https://fin.land.naver.com/articles/2648382184", "매물Link")</f>
        <v/>
      </c>
      <c r="M4300" s="6">
        <f>HYPERLINK("https://map.naver.com/p/search/세종특별자치시 장군면 은용리 82", "지도Link")</f>
        <v/>
      </c>
      <c r="N4300" s="6">
        <f>HYPERLINK("http://www.eum.go.kr/web/ar/lu/luLandDet.jsp?pnu=3611035027100820000&amp;isNoScr=script&amp;mode=search", "토지이음")</f>
        <v/>
      </c>
      <c r="O4300" s="3" t="inlineStr">
        <is>
          <t>수자인시티</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세종특별자치시 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6차선 도로접,위치 좋은 근생부지, 서비스센터부지 추천 ,</t>
        </is>
      </c>
      <c r="L4301" s="6">
        <f>HYPERLINK("https://fin.land.naver.com/articles/2646778808", "매물Link")</f>
        <v/>
      </c>
      <c r="M4301" s="6">
        <f>HYPERLINK("https://map.naver.com/p/search/세종특별자치시 장군면 은용리 82", "지도Link")</f>
        <v/>
      </c>
      <c r="N4301" s="6">
        <f>HYPERLINK("http://www.eum.go.kr/web/ar/lu/luLandDet.jsp?pnu=3611035027100820000&amp;isNoScr=script&amp;mode=search", "토지이음")</f>
        <v/>
      </c>
      <c r="O4301" s="3" t="inlineStr">
        <is>
          <t>담뜰</t>
        </is>
      </c>
      <c r="P4301" s="3" t="n">
        <v>2</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세종특별자치시 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HYPERLINK("https://map.naver.com/p/search/세종특별자치시 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세종특별자치시 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HYPERLINK("https://map.naver.com/p/search/세종특별자치시 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세종특별자치시 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HYPERLINK("https://map.naver.com/p/search/세종특별자치시 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세종특별자치시 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HYPERLINK("https://map.naver.com/p/search/세종특별자치시 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세종특별자치시 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HYPERLINK("https://map.naver.com/p/search/세종특별자치시 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세종특별자치시 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HYPERLINK("https://map.naver.com/p/search/세종특별자치시 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세종특별자치시 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HYPERLINK("https://map.naver.com/p/search/세종특별자치시 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세종특별자치시 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HYPERLINK("https://map.naver.com/p/search/세종특별자치시 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세종특별자치시 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HYPERLINK("https://map.naver.com/p/search/세종특별자치시 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세종특별자치시 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HYPERLINK("https://map.naver.com/p/search/세종특별자치시 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세종특별자치시 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2차선 지방도에 접해있고 주택 건축이 가능한 농림지역, 인근 리조트 건설</t>
        </is>
      </c>
      <c r="L4312" s="6">
        <f>HYPERLINK("https://fin.land.naver.com/articles/2649696618", "매물Link")</f>
        <v/>
      </c>
      <c r="M4312" s="6">
        <f>HYPERLINK("https://map.naver.com/p/search/세종특별자치시 장군면 평기리 106-12", "지도Link")</f>
        <v/>
      </c>
      <c r="N4312" s="6">
        <f>HYPERLINK("http://www.eum.go.kr/web/ar/lu/luLandDet.jsp?pnu=3611035022101060012&amp;isNoScr=script&amp;mode=search", "토지이음")</f>
        <v/>
      </c>
      <c r="O4312" s="3" t="inlineStr">
        <is>
          <t>온뜰</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세종특별자치시 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급매, 농가주택 가능,  대토용, 투자용</t>
        </is>
      </c>
      <c r="L4313" s="6">
        <f>HYPERLINK("https://fin.land.naver.com/articles/2646912372", "매물Link")</f>
        <v/>
      </c>
      <c r="M4313" s="6">
        <f>HYPERLINK("https://map.naver.com/p/search/세종특별자치시 장군면 평기리 106-12", "지도Link")</f>
        <v/>
      </c>
      <c r="N4313" s="6">
        <f>HYPERLINK("http://www.eum.go.kr/web/ar/lu/luLandDet.jsp?pnu=3611035022101060012&amp;isNoScr=script&amp;mode=search", "토지이음")</f>
        <v/>
      </c>
      <c r="O4313" s="3" t="inlineStr">
        <is>
          <t>고운동리치세종</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세종특별자치시 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HYPERLINK("https://map.naver.com/p/search/세종특별자치시 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세종특별자치시 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HYPERLINK("https://map.naver.com/p/search/세종특별자치시 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세종특별자치시 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HYPERLINK("https://map.naver.com/p/search/세종특별자치시 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세종특별자치시 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HYPERLINK("https://map.naver.com/p/search/세종특별자치시 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세종특별자치시 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HYPERLINK("https://map.naver.com/p/search/세종특별자치시 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세종특별자치시 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HYPERLINK("https://map.naver.com/p/search/세종특별자치시 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세종특별자치시 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HYPERLINK("https://map.naver.com/p/search/세종특별자치시 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세종특별자치시 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HYPERLINK("https://map.naver.com/p/search/세종특별자치시 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세종특별자치시 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HYPERLINK("https://map.naver.com/p/search/세종특별자치시 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세종특별자치시 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HYPERLINK("https://map.naver.com/p/search/세종특별자치시 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세종특별자치시 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HYPERLINK("https://map.naver.com/p/search/세종특별자치시 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세종특별자치시 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HYPERLINK("https://map.naver.com/p/search/세종특별자치시 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세종특별자치시 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HYPERLINK("https://map.naver.com/p/search/세종특별자치시 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세종특별자치시 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HYPERLINK("https://map.naver.com/p/search/세종특별자치시 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세종특별자치시 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HYPERLINK("https://map.naver.com/p/search/세종특별자치시 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세종특별자치시 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HYPERLINK("https://map.naver.com/p/search/세종특별자치시 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세종특별자치시 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HYPERLINK("https://map.naver.com/p/search/세종특별자치시 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세종특별자치시 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HYPERLINK("https://map.naver.com/p/search/세종특별자치시 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세종특별자치시 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HYPERLINK("https://map.naver.com/p/search/세종특별자치시 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세종특별자치시 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HYPERLINK("https://map.naver.com/p/search/세종특별자치시 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세종특별자치시 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장군면 평기리 2차선변 계획관리 토지, 근생시설 및 창고 등, 용암JC</t>
        </is>
      </c>
      <c r="L4334" s="6">
        <f>HYPERLINK("https://fin.land.naver.com/articles/2648742558", "매물Link")</f>
        <v/>
      </c>
      <c r="M4334" s="6">
        <f>HYPERLINK("https://map.naver.com/p/search/세종특별자치시 장군면 평기리 353-65", "지도Link")</f>
        <v/>
      </c>
      <c r="N4334" s="6">
        <f>HYPERLINK("http://www.eum.go.kr/web/ar/lu/luLandDet.jsp?pnu=3611035022103530065&amp;isNoScr=script&amp;mode=search", "토지이음")</f>
        <v/>
      </c>
      <c r="O4334" s="3" t="inlineStr">
        <is>
          <t>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세종특별자치시 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세종IC 인근 평기리 2차선변 저렴한 계획관리 토지 매매</t>
        </is>
      </c>
      <c r="L4335" s="6">
        <f>HYPERLINK("https://fin.land.naver.com/articles/2647163716", "매물Link")</f>
        <v/>
      </c>
      <c r="M4335" s="6">
        <f>HYPERLINK("https://map.naver.com/p/search/세종특별자치시 장군면 평기리 353-65", "지도Link")</f>
        <v/>
      </c>
      <c r="N4335" s="6">
        <f>HYPERLINK("http://www.eum.go.kr/web/ar/lu/luLandDet.jsp?pnu=3611035022103530065&amp;isNoScr=script&amp;mode=search", "토지이음")</f>
        <v/>
      </c>
      <c r="O4335" s="3" t="inlineStr">
        <is>
          <t>뉴스카이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세종특별자치시 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HYPERLINK("https://map.naver.com/p/search/세종특별자치시 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세종특별자치시 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HYPERLINK("https://map.naver.com/p/search/세종특별자치시 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세종특별자치시 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HYPERLINK("https://map.naver.com/p/search/세종특별자치시 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세종특별자치시 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HYPERLINK("https://map.naver.com/p/search/세종특별자치시 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세종특별자치시 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HYPERLINK("https://map.naver.com/p/search/세종특별자치시 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세종특별자치시 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HYPERLINK("https://map.naver.com/p/search/세종특별자치시 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세종특별자치시 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HYPERLINK("https://map.naver.com/p/search/세종특별자치시 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세종특별자치시 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HYPERLINK("https://map.naver.com/p/search/세종특별자치시 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세종특별자치시 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HYPERLINK("https://map.naver.com/p/search/세종특별자치시 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세종특별자치시 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HYPERLINK("https://map.naver.com/p/search/세종특별자치시 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세종특별자치시 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HYPERLINK("https://map.naver.com/p/search/세종특별자치시 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세종특별자치시 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HYPERLINK("https://map.naver.com/p/search/세종특별자치시 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세종특별자치시 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HYPERLINK("https://map.naver.com/p/search/세종특별자치시 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세종특별자치시 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HYPERLINK("https://map.naver.com/p/search/세종특별자치시 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세종특별자치시 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HYPERLINK("https://map.naver.com/p/search/세종특별자치시 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세종특별자치시 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HYPERLINK("https://map.naver.com/p/search/세종특별자치시 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세종특별자치시 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HYPERLINK("https://map.naver.com/p/search/세종특별자치시 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세종특별자치시 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HYPERLINK("https://map.naver.com/p/search/세종특별자치시 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세종특별자치시 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HYPERLINK("https://map.naver.com/p/search/세종특별자치시 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세종특별자치시 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HYPERLINK("https://map.naver.com/p/search/세종특별자치시 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세종특별자치시 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HYPERLINK("https://map.naver.com/p/search/세종특별자치시 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세종특별자치시 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HYPERLINK("https://map.naver.com/p/search/세종특별자치시 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세종특별자치시 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HYPERLINK("https://map.naver.com/p/search/세종특별자치시 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세종특별자치시 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HYPERLINK("https://map.naver.com/p/search/세종특별자치시 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세종특별자치시 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HYPERLINK("https://map.naver.com/p/search/세종특별자치시 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세종특별자치시 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HYPERLINK("https://map.naver.com/p/search/세종특별자치시 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세종특별자치시 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HYPERLINK("https://map.naver.com/p/search/세종특별자치시 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세종특별자치시 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HYPERLINK("https://map.naver.com/p/search/세종특별자치시 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세종특별자치시 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HYPERLINK("https://map.naver.com/p/search/세종특별자치시 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세종특별자치시 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HYPERLINK("https://map.naver.com/p/search/세종특별자치시 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세종특별자치시 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HYPERLINK("https://map.naver.com/p/search/세종특별자치시 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세종특별자치시 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HYPERLINK("https://map.naver.com/p/search/세종특별자치시 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세종특별자치시 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HYPERLINK("https://map.naver.com/p/search/세종특별자치시 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세종특별자치시 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HYPERLINK("https://map.naver.com/p/search/세종특별자치시 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세종특별자치시 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HYPERLINK("https://map.naver.com/p/search/세종특별자치시 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세종특별자치시 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HYPERLINK("https://map.naver.com/p/search/세종특별자치시 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세종특별자치시 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HYPERLINK("https://map.naver.com/p/search/세종특별자치시 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세종특별자치시 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HYPERLINK("https://map.naver.com/p/search/세종특별자치시 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세종특별자치시 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HYPERLINK("https://map.naver.com/p/search/세종특별자치시 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세종특별자치시 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HYPERLINK("https://map.naver.com/p/search/세종특별자치시 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세종특별자치시 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HYPERLINK("https://map.naver.com/p/search/세종특별자치시 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세종특별자치시 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HYPERLINK("https://map.naver.com/p/search/세종특별자치시 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세종특별자치시 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HYPERLINK("https://map.naver.com/p/search/세종특별자치시 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세종특별자치시 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HYPERLINK("https://map.naver.com/p/search/세종특별자치시 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세종특별자치시 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HYPERLINK("https://map.naver.com/p/search/세종특별자치시 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세종특별자치시 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HYPERLINK("https://map.naver.com/p/search/세종특별자치시 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세종특별자치시 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HYPERLINK("https://map.naver.com/p/search/세종특별자치시 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세종특별자치시 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HYPERLINK("https://map.naver.com/p/search/세종특별자치시 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세종특별자치시 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HYPERLINK("https://map.naver.com/p/search/세종특별자치시 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세종특별자치시 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HYPERLINK("https://map.naver.com/p/search/세종특별자치시 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세종특별자치시 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HYPERLINK("https://map.naver.com/p/search/세종특별자치시 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세종특별자치시 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HYPERLINK("https://map.naver.com/p/search/세종특별자치시 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세종특별자치시 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HYPERLINK("https://map.naver.com/p/search/세종특별자치시 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세종특별자치시 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HYPERLINK("https://map.naver.com/p/search/세종특별자치시 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세종특별자치시 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HYPERLINK("https://map.naver.com/p/search/세종특별자치시 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세종특별자치시 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HYPERLINK("https://map.naver.com/p/search/세종특별자치시 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세종특별자치시 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HYPERLINK("https://map.naver.com/p/search/세종특별자치시 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세종특별자치시 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HYPERLINK("https://map.naver.com/p/search/세종특별자치시 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세종특별자치시 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HYPERLINK("https://map.naver.com/p/search/세종특별자치시 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세종특별자치시 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HYPERLINK("https://map.naver.com/p/search/세종특별자치시 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세종특별자치시 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HYPERLINK("https://map.naver.com/p/search/세종특별자치시 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세종특별자치시 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HYPERLINK("https://map.naver.com/p/search/세종특별자치시 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세종특별자치시 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HYPERLINK("https://map.naver.com/p/search/세종특별자치시 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세종특별자치시 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HYPERLINK("https://map.naver.com/p/search/세종특별자치시 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세종특별자치시 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HYPERLINK("https://map.naver.com/p/search/세종특별자치시 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세종특별자치시 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HYPERLINK("https://map.naver.com/p/search/세종특별자치시 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세종특별자치시 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HYPERLINK("https://map.naver.com/p/search/세종특별자치시 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세종특별자치시 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HYPERLINK("https://map.naver.com/p/search/세종특별자치시 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세종특별자치시 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HYPERLINK("https://map.naver.com/p/search/세종특별자치시 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세종특별자치시 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HYPERLINK("https://map.naver.com/p/search/세종특별자치시 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세종특별자치시 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HYPERLINK("https://map.naver.com/p/search/세종특별자치시 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세종특별자치시 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HYPERLINK("https://map.naver.com/p/search/세종특별자치시 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세종특별자치시 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HYPERLINK("https://map.naver.com/p/search/세종특별자치시 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세종특별자치시 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HYPERLINK("https://map.naver.com/p/search/세종특별자치시 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세종특별자치시 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HYPERLINK("https://map.naver.com/p/search/세종특별자치시 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세종특별자치시 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HYPERLINK("https://map.naver.com/p/search/세종특별자치시 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세종특별자치시 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HYPERLINK("https://map.naver.com/p/search/세종특별자치시 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세종특별자치시 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HYPERLINK("https://map.naver.com/p/search/세종특별자치시 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세종특별자치시 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HYPERLINK("https://map.naver.com/p/search/세종특별자치시 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세종특별자치시 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HYPERLINK("https://map.naver.com/p/search/세종특별자치시 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세종특별자치시 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HYPERLINK("https://map.naver.com/p/search/세종특별자치시 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세종특별자치시 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HYPERLINK("https://map.naver.com/p/search/세종특별자치시 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세종특별자치시 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HYPERLINK("https://map.naver.com/p/search/세종특별자치시 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세종특별자치시 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HYPERLINK("https://map.naver.com/p/search/세종특별자치시 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세종특별자치시 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HYPERLINK("https://map.naver.com/p/search/세종특별자치시 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세종특별자치시 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HYPERLINK("https://map.naver.com/p/search/세종특별자치시 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세종특별자치시 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HYPERLINK("https://map.naver.com/p/search/세종특별자치시 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세종특별자치시 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HYPERLINK("https://map.naver.com/p/search/세종특별자치시 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세종특별자치시 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HYPERLINK("https://map.naver.com/p/search/세종특별자치시 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세종특별자치시 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HYPERLINK("https://map.naver.com/p/search/세종특별자치시 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세종특별자치시 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HYPERLINK("https://map.naver.com/p/search/세종특별자치시 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세종특별자치시 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HYPERLINK("https://map.naver.com/p/search/세종특별자치시 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세종특별자치시 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HYPERLINK("https://map.naver.com/p/search/세종특별자치시 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세종특별자치시 전동면 봉대리 194</t>
        </is>
      </c>
      <c r="B4429" s="3" t="inlineStr">
        <is>
          <t>생산관리지역</t>
        </is>
      </c>
      <c r="C4429" s="3" t="inlineStr">
        <is>
          <t>전</t>
        </is>
      </c>
      <c r="D4429" s="3" t="inlineStr">
        <is>
          <t>전</t>
        </is>
      </c>
      <c r="E4429" s="3" t="inlineStr">
        <is>
          <t>매매</t>
        </is>
      </c>
      <c r="F4429" s="4" t="n">
        <v>22000</v>
      </c>
      <c r="G4429" s="4" t="n">
        <v>2009</v>
      </c>
      <c r="H4429" s="4" t="n">
        <v>608</v>
      </c>
      <c r="I4429" s="5" t="n">
        <v>36.2</v>
      </c>
      <c r="J4429" s="4" t="n">
        <v>14.1</v>
      </c>
      <c r="K4429" s="3" t="inlineStr">
        <is>
          <t>햇살잘드는 토지 현황 과수원 건축가능토지매매</t>
        </is>
      </c>
      <c r="L4429" s="6">
        <f>HYPERLINK("https://fin.land.naver.com/articles/2648030544", "매물Link")</f>
        <v/>
      </c>
      <c r="M4429" s="6">
        <f>HYPERLINK("https://map.naver.com/p/search/세종특별자치시 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세종특별자치시 전동면 봉대리 194</t>
        </is>
      </c>
      <c r="B4430" s="3" t="inlineStr">
        <is>
          <t>생산관리지역</t>
        </is>
      </c>
      <c r="C4430" s="3" t="inlineStr">
        <is>
          <t>전</t>
        </is>
      </c>
      <c r="D4430" s="3" t="inlineStr">
        <is>
          <t>전</t>
        </is>
      </c>
      <c r="E4430" s="3" t="inlineStr">
        <is>
          <t>매매</t>
        </is>
      </c>
      <c r="F4430" s="4" t="n">
        <v>23000</v>
      </c>
      <c r="G4430" s="4" t="n">
        <v>2016</v>
      </c>
      <c r="H4430" s="4" t="n">
        <v>610</v>
      </c>
      <c r="I4430" s="5" t="n">
        <v>37.7</v>
      </c>
      <c r="J4430" s="4" t="n">
        <v>14.1</v>
      </c>
      <c r="K4430" s="3" t="inlineStr">
        <is>
          <t>건축가능한 남향토지</t>
        </is>
      </c>
      <c r="L4430" s="6">
        <f>HYPERLINK("https://fin.land.naver.com/articles/2646109691", "매물Link")</f>
        <v/>
      </c>
      <c r="M4430" s="6">
        <f>HYPERLINK("https://map.naver.com/p/search/세종특별자치시 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세종특별자치시 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HYPERLINK("https://map.naver.com/p/search/세종특별자치시 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세종특별자치시 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HYPERLINK("https://map.naver.com/p/search/세종특별자치시 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세종특별자치시 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HYPERLINK("https://map.naver.com/p/search/세종특별자치시 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세종특별자치시 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HYPERLINK("https://map.naver.com/p/search/세종특별자치시 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세종특별자치시 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HYPERLINK("https://map.naver.com/p/search/세종특별자치시 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세종특별자치시 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HYPERLINK("https://map.naver.com/p/search/세종특별자치시 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세종특별자치시 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HYPERLINK("https://map.naver.com/p/search/세종특별자치시 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세종특별자치시 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HYPERLINK("https://map.naver.com/p/search/세종특별자치시 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세종특별자치시 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HYPERLINK("https://map.naver.com/p/search/세종특별자치시 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세종특별자치시 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HYPERLINK("https://map.naver.com/p/search/세종특별자치시 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세종특별자치시 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HYPERLINK("https://map.naver.com/p/search/세종특별자치시 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세종특별자치시 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HYPERLINK("https://map.naver.com/p/search/세종특별자치시 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세종특별자치시 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HYPERLINK("https://map.naver.com/p/search/세종특별자치시 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세종특별자치시 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HYPERLINK("https://map.naver.com/p/search/세종특별자치시 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세종특별자치시 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HYPERLINK("https://map.naver.com/p/search/세종특별자치시 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세종특별자치시 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HYPERLINK("https://map.naver.com/p/search/세종특별자치시 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세종특별자치시 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HYPERLINK("https://map.naver.com/p/search/세종특별자치시 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세종특별자치시 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HYPERLINK("https://map.naver.com/p/search/세종특별자치시 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세종특별자치시 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HYPERLINK("https://map.naver.com/p/search/세종특별자치시 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세종특별자치시 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HYPERLINK("https://map.naver.com/p/search/세종특별자치시 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세종특별자치시 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HYPERLINK("https://map.naver.com/p/search/세종특별자치시 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세종특별자치시 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HYPERLINK("https://map.naver.com/p/search/세종특별자치시 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세종특별자치시 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HYPERLINK("https://map.naver.com/p/search/세종특별자치시 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세종특별자치시 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HYPERLINK("https://map.naver.com/p/search/세종특별자치시 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세종특별자치시 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HYPERLINK("https://map.naver.com/p/search/세종특별자치시 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세종특별자치시 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HYPERLINK("https://map.naver.com/p/search/세종특별자치시 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세종특별자치시 전동면 송성리 368-3</t>
        </is>
      </c>
      <c r="B4457" s="3" t="inlineStr">
        <is>
          <t>농림지역</t>
        </is>
      </c>
      <c r="C4457" s="3" t="inlineStr">
        <is>
          <t>답</t>
        </is>
      </c>
      <c r="D4457" s="3" t="inlineStr">
        <is>
          <t>답</t>
        </is>
      </c>
      <c r="E4457" s="3" t="inlineStr">
        <is>
          <t>매매</t>
        </is>
      </c>
      <c r="F4457" s="4" t="n">
        <v>32000</v>
      </c>
      <c r="G4457" s="4" t="n">
        <v>1077</v>
      </c>
      <c r="H4457" s="4" t="n">
        <v>326</v>
      </c>
      <c r="I4457" s="5" t="n">
        <v>98.2</v>
      </c>
      <c r="J4457" s="4" t="n">
        <v>13.9</v>
      </c>
      <c r="K4457" s="3" t="inlineStr">
        <is>
          <t>2차선 도로접한 토지 농림지역</t>
        </is>
      </c>
      <c r="L4457" s="6">
        <f>HYPERLINK("https://fin.land.naver.com/articles/2649497944", "매물Link")</f>
        <v/>
      </c>
      <c r="M4457" s="6">
        <f>HYPERLINK("https://map.naver.com/p/search/세종특별자치시 전동면 송성리 368-3", "지도Link")</f>
        <v/>
      </c>
      <c r="N4457" s="6">
        <f>HYPERLINK("http://www.eum.go.kr/web/ar/lu/luLandDet.jsp?pnu=3611038030103680003&amp;isNoScr=script&amp;mode=search", "토지이음")</f>
        <v/>
      </c>
      <c r="O4457" s="3" t="inlineStr">
        <is>
          <t>한솔</t>
        </is>
      </c>
      <c r="P4457" s="3" t="n">
        <v>2</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세종특별자치시 전동면 송성리 368-3</t>
        </is>
      </c>
      <c r="B4458" s="3" t="inlineStr">
        <is>
          <t>농림지역</t>
        </is>
      </c>
      <c r="C4458" s="3" t="inlineStr">
        <is>
          <t>답</t>
        </is>
      </c>
      <c r="D4458" s="3" t="inlineStr">
        <is>
          <t>답</t>
        </is>
      </c>
      <c r="E4458" s="3" t="inlineStr">
        <is>
          <t>매매</t>
        </is>
      </c>
      <c r="F4458" s="4" t="n">
        <v>26080</v>
      </c>
      <c r="G4458" s="4" t="n">
        <v>1077</v>
      </c>
      <c r="H4458" s="4" t="n">
        <v>326</v>
      </c>
      <c r="I4458" s="5" t="n">
        <v>80</v>
      </c>
      <c r="J4458" s="4" t="n">
        <v>13.9</v>
      </c>
      <c r="K4458" s="3" t="inlineStr">
        <is>
          <t>농막 설치된 2차선 도로에 접한 주말농장용 토지</t>
        </is>
      </c>
      <c r="L4458" s="6">
        <f>HYPERLINK("https://fin.land.naver.com/articles/2646158804", "매물Link")</f>
        <v/>
      </c>
      <c r="M4458" s="6">
        <f>HYPERLINK("https://map.naver.com/p/search/세종특별자치시 전동면 송성리 368-3", "지도Link")</f>
        <v/>
      </c>
      <c r="N4458" s="6">
        <f>HYPERLINK("http://www.eum.go.kr/web/ar/lu/luLandDet.jsp?pnu=3611038030103680003&amp;isNoScr=script&amp;mode=search", "토지이음")</f>
        <v/>
      </c>
      <c r="O4458" s="3" t="inlineStr">
        <is>
          <t>신와촌</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세종특별자치시 전동면 송성리 368-3</t>
        </is>
      </c>
      <c r="B4459" s="3" t="inlineStr">
        <is>
          <t>농림지역</t>
        </is>
      </c>
      <c r="C4459" s="3" t="inlineStr">
        <is>
          <t>답</t>
        </is>
      </c>
      <c r="D4459" s="3" t="inlineStr">
        <is>
          <t>답</t>
        </is>
      </c>
      <c r="E4459" s="3" t="inlineStr">
        <is>
          <t>매매</t>
        </is>
      </c>
      <c r="F4459" s="4" t="n">
        <v>32600</v>
      </c>
      <c r="G4459" s="4" t="n">
        <v>1077</v>
      </c>
      <c r="H4459" s="4" t="n">
        <v>326</v>
      </c>
      <c r="I4459" s="5" t="n">
        <v>100</v>
      </c>
      <c r="J4459" s="4" t="n">
        <v>13.9</v>
      </c>
      <c r="K4459" s="3" t="inlineStr">
        <is>
          <t>2차선 코너 토지 저렴한 매매</t>
        </is>
      </c>
      <c r="L4459" s="6">
        <f>HYPERLINK("https://fin.land.naver.com/articles/2644279475", "매물Link")</f>
        <v/>
      </c>
      <c r="M4459" s="6">
        <f>HYPERLINK("https://map.naver.com/p/search/세종특별자치시 전동면 송성리 368-3", "지도Link")</f>
        <v/>
      </c>
      <c r="N4459" s="6">
        <f>HYPERLINK("http://www.eum.go.kr/web/ar/lu/luLandDet.jsp?pnu=3611038030103680003&amp;isNoScr=script&amp;mode=search", "토지이음")</f>
        <v/>
      </c>
      <c r="O4459" s="3" t="inlineStr">
        <is>
          <t>THE행복</t>
        </is>
      </c>
      <c r="P4459" s="3" t="n">
        <v>1</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세종특별자치시 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HYPERLINK("https://map.naver.com/p/search/세종특별자치시 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세종특별자치시 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HYPERLINK("https://map.naver.com/p/search/세종특별자치시 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세종특별자치시 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HYPERLINK("https://map.naver.com/p/search/세종특별자치시 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세종특별자치시 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HYPERLINK("https://map.naver.com/p/search/세종특별자치시 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세종특별자치시 전동면 송성리 606-2</t>
        </is>
      </c>
      <c r="B4464" s="3" t="inlineStr">
        <is>
          <t>생산관리지역</t>
        </is>
      </c>
      <c r="C4464" s="3" t="inlineStr">
        <is>
          <t>전</t>
        </is>
      </c>
      <c r="D4464" s="3" t="inlineStr">
        <is>
          <t>전</t>
        </is>
      </c>
      <c r="E4464" s="3" t="inlineStr">
        <is>
          <t>매매</t>
        </is>
      </c>
      <c r="F4464" s="4" t="n">
        <v>25000</v>
      </c>
      <c r="G4464" s="4" t="n">
        <v>1399</v>
      </c>
      <c r="H4464" s="4" t="n">
        <v>423</v>
      </c>
      <c r="I4464" s="5" t="n">
        <v>59.1</v>
      </c>
      <c r="J4464" s="4" t="n">
        <v>17.3</v>
      </c>
      <c r="K4464" s="3" t="inlineStr">
        <is>
          <t>저렴하게 나온 토지를 찾으신다면 송성리 토지, 직접 현장 확인해 보세요.</t>
        </is>
      </c>
      <c r="L4464" s="6">
        <f>HYPERLINK("https://fin.land.naver.com/articles/2649874490", "매물Link")</f>
        <v/>
      </c>
      <c r="M4464" s="6">
        <f>HYPERLINK("https://map.naver.com/p/search/세종특별자치시 전동면 송성리 606-2", "지도Link")</f>
        <v/>
      </c>
      <c r="N4464" s="6">
        <f>HYPERLINK("http://www.eum.go.kr/web/ar/lu/luLandDet.jsp?pnu=3611038030106060002&amp;isNoScr=script&amp;mode=search", "토지이음")</f>
        <v/>
      </c>
      <c r="O4464" s="3" t="inlineStr">
        <is>
          <t>동원탑</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세종특별자치시 전동면 송성리 606-2</t>
        </is>
      </c>
      <c r="B4465" s="3" t="inlineStr">
        <is>
          <t>생산관리지역</t>
        </is>
      </c>
      <c r="C4465" s="3" t="inlineStr">
        <is>
          <t>전</t>
        </is>
      </c>
      <c r="D4465" s="3" t="inlineStr">
        <is>
          <t>전</t>
        </is>
      </c>
      <c r="E4465" s="3" t="inlineStr">
        <is>
          <t>매매</t>
        </is>
      </c>
      <c r="F4465" s="4" t="n">
        <v>30000</v>
      </c>
      <c r="G4465" s="4" t="n">
        <v>1399</v>
      </c>
      <c r="H4465" s="4" t="n">
        <v>423</v>
      </c>
      <c r="I4465" s="5" t="n">
        <v>70.90000000000001</v>
      </c>
      <c r="J4465" s="4" t="n">
        <v>17.3</v>
      </c>
      <c r="K4465" s="3" t="inlineStr">
        <is>
          <t>남동향,조망권있는약간높은지대,투자성양호</t>
        </is>
      </c>
      <c r="L4465" s="6">
        <f>HYPERLINK("https://fin.land.naver.com/articles/2648356011", "매물Link")</f>
        <v/>
      </c>
      <c r="M4465" s="6">
        <f>HYPERLINK("https://map.naver.com/p/search/세종특별자치시 전동면 송성리 606-2", "지도Link")</f>
        <v/>
      </c>
      <c r="N4465" s="6">
        <f>HYPERLINK("http://www.eum.go.kr/web/ar/lu/luLandDet.jsp?pnu=3611038030106060002&amp;isNoScr=script&amp;mode=search", "토지이음")</f>
        <v/>
      </c>
      <c r="O4465" s="3" t="inlineStr">
        <is>
          <t>행복가득한</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세종특별자치시 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HYPERLINK("https://map.naver.com/p/search/세종특별자치시 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세종특별자치시 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HYPERLINK("https://map.naver.com/p/search/세종특별자치시 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세종특별자치시 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HYPERLINK("https://map.naver.com/p/search/세종특별자치시 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세종특별자치시 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HYPERLINK("https://map.naver.com/p/search/세종특별자치시 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세종특별자치시 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HYPERLINK("https://map.naver.com/p/search/세종특별자치시 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세종특별자치시 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HYPERLINK("https://map.naver.com/p/search/세종특별자치시 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세종특별자치시 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HYPERLINK("https://map.naver.com/p/search/세종특별자치시 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세종특별자치시 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HYPERLINK("https://map.naver.com/p/search/세종특별자치시 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세종특별자치시 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HYPERLINK("https://map.naver.com/p/search/세종특별자치시 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세종특별자치시 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HYPERLINK("https://map.naver.com/p/search/세종특별자치시 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세종특별자치시 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HYPERLINK("https://map.naver.com/p/search/세종특별자치시 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세종특별자치시 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HYPERLINK("https://map.naver.com/p/search/세종특별자치시 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세종특별자치시 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HYPERLINK("https://map.naver.com/p/search/세종특별자치시 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세종특별자치시 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HYPERLINK("https://map.naver.com/p/search/세종특별자치시 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세종특별자치시 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HYPERLINK("https://map.naver.com/p/search/세종특별자치시 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세종특별자치시 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HYPERLINK("https://map.naver.com/p/search/세종특별자치시 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세종특별자치시 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HYPERLINK("https://map.naver.com/p/search/세종특별자치시 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세종특별자치시 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HYPERLINK("https://map.naver.com/p/search/세종특별자치시 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세종특별자치시 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HYPERLINK("https://map.naver.com/p/search/세종특별자치시 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세종특별자치시 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HYPERLINK("https://map.naver.com/p/search/세종특별자치시 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세종특별자치시 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HYPERLINK("https://map.naver.com/p/search/세종특별자치시 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세종특별자치시 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HYPERLINK("https://map.naver.com/p/search/세종특별자치시 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세종특별자치시 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HYPERLINK("https://map.naver.com/p/search/세종특별자치시 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세종특별자치시 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HYPERLINK("https://map.naver.com/p/search/세종특별자치시 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세종특별자치시 전동면 심중리 391</t>
        </is>
      </c>
      <c r="B4490" s="3" t="inlineStr">
        <is>
          <t>계획관리지역</t>
        </is>
      </c>
      <c r="C4490" s="3" t="inlineStr">
        <is>
          <t>답</t>
        </is>
      </c>
      <c r="D4490" s="3" t="inlineStr">
        <is>
          <t>답</t>
        </is>
      </c>
      <c r="E4490" s="3" t="inlineStr">
        <is>
          <t>매매</t>
        </is>
      </c>
      <c r="F4490" s="4" t="n">
        <v>45000</v>
      </c>
      <c r="G4490" s="4" t="n">
        <v>2109</v>
      </c>
      <c r="H4490" s="4" t="n">
        <v>638</v>
      </c>
      <c r="I4490" s="5" t="n">
        <v>70.5</v>
      </c>
      <c r="J4490" s="4" t="n">
        <v>18.3</v>
      </c>
      <c r="K4490" s="3" t="inlineStr">
        <is>
          <t>도로따라 긴토지 매매</t>
        </is>
      </c>
      <c r="L4490" s="6">
        <f>HYPERLINK("https://fin.land.naver.com/articles/2647111976", "매물Link")</f>
        <v/>
      </c>
      <c r="M4490" s="6">
        <f>HYPERLINK("https://map.naver.com/p/search/세종특별자치시 전동면 심중리 391", "지도Link")</f>
        <v/>
      </c>
      <c r="N4490" s="6">
        <f>HYPERLINK("http://www.eum.go.kr/web/ar/lu/luLandDet.jsp?pnu=3611038031103910000&amp;isNoScr=script&amp;mode=search", "토지이음")</f>
        <v/>
      </c>
      <c r="O4490" s="3" t="inlineStr">
        <is>
          <t>THE행복</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세종특별자치시 전동면 심중리 391</t>
        </is>
      </c>
      <c r="B4491" s="3" t="inlineStr">
        <is>
          <t>계획관리지역</t>
        </is>
      </c>
      <c r="C4491" s="3" t="inlineStr">
        <is>
          <t>답</t>
        </is>
      </c>
      <c r="D4491" s="3" t="inlineStr">
        <is>
          <t>답</t>
        </is>
      </c>
      <c r="E4491" s="3" t="inlineStr">
        <is>
          <t>매매</t>
        </is>
      </c>
      <c r="F4491" s="4" t="n">
        <v>44600</v>
      </c>
      <c r="G4491" s="4" t="n">
        <v>2110</v>
      </c>
      <c r="H4491" s="4" t="n">
        <v>638</v>
      </c>
      <c r="I4491" s="5" t="n">
        <v>69.90000000000001</v>
      </c>
      <c r="J4491" s="4" t="n">
        <v>18.3</v>
      </c>
      <c r="K4491" s="3" t="inlineStr">
        <is>
          <t>계획관리 답,현재과수원,농막있음.대토추천</t>
        </is>
      </c>
      <c r="L4491" s="6">
        <f>HYPERLINK("https://fin.land.naver.com/articles/2644414367", "매물Link")</f>
        <v/>
      </c>
      <c r="M4491" s="6">
        <f>HYPERLINK("https://map.naver.com/p/search/세종특별자치시 전동면 심중리 391", "지도Link")</f>
        <v/>
      </c>
      <c r="N4491" s="6">
        <f>HYPERLINK("http://www.eum.go.kr/web/ar/lu/luLandDet.jsp?pnu=3611038031103910000&amp;isNoScr=script&amp;mode=search", "토지이음")</f>
        <v/>
      </c>
      <c r="O4491" s="3" t="inlineStr">
        <is>
          <t>신안무소</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세종특별자치시 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HYPERLINK("https://map.naver.com/p/search/세종특별자치시 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세종특별자치시 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HYPERLINK("https://map.naver.com/p/search/세종특별자치시 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세종특별자치시 전동면 심중리 407-1</t>
        </is>
      </c>
      <c r="B4494" s="3" t="inlineStr">
        <is>
          <t>계획관리지역</t>
        </is>
      </c>
      <c r="C4494" s="3" t="inlineStr">
        <is>
          <t>답</t>
        </is>
      </c>
      <c r="D4494" s="3" t="inlineStr">
        <is>
          <t>답</t>
        </is>
      </c>
      <c r="E4494" s="3" t="inlineStr">
        <is>
          <t>매매</t>
        </is>
      </c>
      <c r="F4494" s="4" t="n">
        <v>13000</v>
      </c>
      <c r="G4494" s="4" t="n">
        <v>743</v>
      </c>
      <c r="H4494" s="4" t="n">
        <v>225</v>
      </c>
      <c r="I4494" s="5" t="n">
        <v>57.8</v>
      </c>
      <c r="J4494" s="4" t="n">
        <v>23</v>
      </c>
      <c r="K4494" s="3" t="inlineStr">
        <is>
          <t>급매,2면 도로접 계획관리지역,산조망권 뷰,다용도 사용 가능,투자용 추천</t>
        </is>
      </c>
      <c r="L4494" s="6">
        <f>HYPERLINK("https://fin.land.naver.com/articles/2647520750", "매물Link")</f>
        <v/>
      </c>
      <c r="M4494" s="6">
        <f>HYPERLINK("https://map.naver.com/p/search/세종특별자치시 전동면 심중리 407-1", "지도Link")</f>
        <v/>
      </c>
      <c r="N4494" s="6">
        <f>HYPERLINK("http://www.eum.go.kr/web/ar/lu/luLandDet.jsp?pnu=3611038031104070001&amp;isNoScr=script&amp;mode=search", "토지이음")</f>
        <v/>
      </c>
      <c r="O4494" s="3" t="inlineStr">
        <is>
          <t>고운맘</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세종특별자치시 전동면 심중리 407-1</t>
        </is>
      </c>
      <c r="B4495" s="3" t="inlineStr">
        <is>
          <t>계획관리지역</t>
        </is>
      </c>
      <c r="C4495" s="3" t="inlineStr">
        <is>
          <t>답</t>
        </is>
      </c>
      <c r="D4495" s="3" t="inlineStr">
        <is>
          <t>답</t>
        </is>
      </c>
      <c r="E4495" s="3" t="inlineStr">
        <is>
          <t>매매</t>
        </is>
      </c>
      <c r="F4495" s="4" t="n">
        <v>16000</v>
      </c>
      <c r="G4495" s="4" t="n">
        <v>743</v>
      </c>
      <c r="H4495" s="4" t="n">
        <v>225</v>
      </c>
      <c r="I4495" s="5" t="n">
        <v>71.09999999999999</v>
      </c>
      <c r="J4495" s="4" t="n">
        <v>23</v>
      </c>
      <c r="K4495" s="3" t="inlineStr">
        <is>
          <t>세종 심중리   관리하기 좋은 농지</t>
        </is>
      </c>
      <c r="L4495" s="6">
        <f>HYPERLINK("https://fin.land.naver.com/articles/2648309739", "매물Link")</f>
        <v/>
      </c>
      <c r="M4495" s="6">
        <f>HYPERLINK("https://map.naver.com/p/search/세종특별자치시 전동면 심중리 407-1", "지도Link")</f>
        <v/>
      </c>
      <c r="N4495" s="6">
        <f>HYPERLINK("http://www.eum.go.kr/web/ar/lu/luLandDet.jsp?pnu=3611038031104070001&amp;isNoScr=script&amp;mode=search", "토지이음")</f>
        <v/>
      </c>
      <c r="O4495" s="3" t="inlineStr">
        <is>
          <t>세종몽땅</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세종특별자치시 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HYPERLINK("https://map.naver.com/p/search/세종특별자치시 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세종특별자치시 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저렴한토지 매매 계획관리지역</t>
        </is>
      </c>
      <c r="L4497" s="6">
        <f>HYPERLINK("https://fin.land.naver.com/articles/2648801055", "매물Link")</f>
        <v/>
      </c>
      <c r="M4497" s="6">
        <f>HYPERLINK("https://map.naver.com/p/search/세종특별자치시 전동면 심중리 407-1", "지도Link")</f>
        <v/>
      </c>
      <c r="N4497" s="6">
        <f>HYPERLINK("http://www.eum.go.kr/web/ar/lu/luLandDet.jsp?pnu=3611038031104070001&amp;isNoScr=script&amp;mode=search", "토지이음")</f>
        <v/>
      </c>
      <c r="O4497" s="3" t="inlineStr">
        <is>
          <t>세종부부</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세종특별자치시 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HYPERLINK("https://map.naver.com/p/search/세종특별자치시 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세종특별자치시 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HYPERLINK("https://map.naver.com/p/search/세종특별자치시 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세종특별자치시 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HYPERLINK("https://map.naver.com/p/search/세종특별자치시 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세종특별자치시 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HYPERLINK("https://map.naver.com/p/search/세종특별자치시 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세종특별자치시 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HYPERLINK("https://map.naver.com/p/search/세종특별자치시 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세종특별자치시 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HYPERLINK("https://map.naver.com/p/search/세종특별자치시 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세종특별자치시 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HYPERLINK("https://map.naver.com/p/search/세종특별자치시 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세종특별자치시 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HYPERLINK("https://map.naver.com/p/search/세종특별자치시 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세종특별자치시 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HYPERLINK("https://map.naver.com/p/search/세종특별자치시 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세종특별자치시 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HYPERLINK("https://map.naver.com/p/search/세종특별자치시 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세종특별자치시 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HYPERLINK("https://map.naver.com/p/search/세종특별자치시 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세종특별자치시 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HYPERLINK("https://map.naver.com/p/search/세종특별자치시 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세종특별자치시 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HYPERLINK("https://map.naver.com/p/search/세종특별자치시 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세종특별자치시 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HYPERLINK("https://map.naver.com/p/search/세종특별자치시 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세종특별자치시 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HYPERLINK("https://map.naver.com/p/search/세종특별자치시 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세종특별자치시 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HYPERLINK("https://map.naver.com/p/search/세종특별자치시 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세종특별자치시 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HYPERLINK("https://map.naver.com/p/search/세종특별자치시 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세종특별자치시 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HYPERLINK("https://map.naver.com/p/search/세종특별자치시 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세종특별자치시 전동면 청람리 459</t>
        </is>
      </c>
      <c r="B4516" s="3" t="inlineStr">
        <is>
          <t>생산관리지역</t>
        </is>
      </c>
      <c r="C4516" s="3" t="inlineStr">
        <is>
          <t>답</t>
        </is>
      </c>
      <c r="D4516" s="3" t="inlineStr">
        <is>
          <t>답</t>
        </is>
      </c>
      <c r="E4516" s="3" t="inlineStr">
        <is>
          <t>매매</t>
        </is>
      </c>
      <c r="F4516" s="4" t="n">
        <v>43000</v>
      </c>
      <c r="G4516" s="4" t="n">
        <v>2582</v>
      </c>
      <c r="H4516" s="4" t="n">
        <v>781</v>
      </c>
      <c r="I4516" s="5" t="n">
        <v>55.1</v>
      </c>
      <c r="J4516" s="4" t="n">
        <v>17.1</v>
      </c>
      <c r="K4516" s="3" t="inlineStr">
        <is>
          <t>생산관리지역성장관리계획구역</t>
        </is>
      </c>
      <c r="L4516" s="6">
        <f>HYPERLINK("https://fin.land.naver.com/articles/2649735572", "매물Link")</f>
        <v/>
      </c>
      <c r="M4516" s="6">
        <f>HYPERLINK("https://map.naver.com/p/search/세종특별자치시 전동면 청람리 459", "지도Link")</f>
        <v/>
      </c>
      <c r="N4516" s="6">
        <f>HYPERLINK("http://www.eum.go.kr/web/ar/lu/luLandDet.jsp?pnu=3611038028104590000&amp;isNoScr=script&amp;mode=search", "토지이음")</f>
        <v/>
      </c>
      <c r="O4516" s="3" t="inlineStr">
        <is>
          <t>세종몽땅</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세종특별자치시 전동면 청람리 459</t>
        </is>
      </c>
      <c r="B4517" s="3" t="inlineStr">
        <is>
          <t>생산관리지역</t>
        </is>
      </c>
      <c r="C4517" s="3" t="inlineStr">
        <is>
          <t>답</t>
        </is>
      </c>
      <c r="D4517" s="3" t="inlineStr">
        <is>
          <t>답</t>
        </is>
      </c>
      <c r="E4517" s="3" t="inlineStr">
        <is>
          <t>매매</t>
        </is>
      </c>
      <c r="F4517" s="4" t="n">
        <v>28000</v>
      </c>
      <c r="G4517" s="4" t="n">
        <v>2582</v>
      </c>
      <c r="H4517" s="4" t="n">
        <v>781</v>
      </c>
      <c r="I4517" s="5" t="n">
        <v>35.9</v>
      </c>
      <c r="J4517" s="4" t="n">
        <v>17.1</v>
      </c>
      <c r="K4517" s="3" t="inlineStr">
        <is>
          <t>넓은 면적, 한적한 시골 주말농장, 귀촌, 대토 추천</t>
        </is>
      </c>
      <c r="L4517" s="6">
        <f>HYPERLINK("https://fin.land.naver.com/articles/2649101093", "매물Link")</f>
        <v/>
      </c>
      <c r="M4517" s="6">
        <f>HYPERLINK("https://map.naver.com/p/search/세종특별자치시 전동면 청람리 459", "지도Link")</f>
        <v/>
      </c>
      <c r="N4517" s="6">
        <f>HYPERLINK("http://www.eum.go.kr/web/ar/lu/luLandDet.jsp?pnu=3611038028104590000&amp;isNoScr=script&amp;mode=search", "토지이음")</f>
        <v/>
      </c>
      <c r="O4517" s="3" t="inlineStr">
        <is>
          <t>세종소담114</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세종특별자치시 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HYPERLINK("https://map.naver.com/p/search/세종특별자치시 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세종특별자치시 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HYPERLINK("https://map.naver.com/p/search/세종특별자치시 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세종특별자치시 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HYPERLINK("https://map.naver.com/p/search/세종특별자치시 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세종특별자치시 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HYPERLINK("https://map.naver.com/p/search/세종특별자치시 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세종특별자치시 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HYPERLINK("https://map.naver.com/p/search/세종특별자치시 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세종특별자치시 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HYPERLINK("https://map.naver.com/p/search/세종특별자치시 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세종특별자치시 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HYPERLINK("https://map.naver.com/p/search/세종특별자치시 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세종특별자치시 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HYPERLINK("https://map.naver.com/p/search/세종특별자치시 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세종특별자치시 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HYPERLINK("https://map.naver.com/p/search/세종특별자치시 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세종특별자치시 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HYPERLINK("https://map.naver.com/p/search/세종특별자치시 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세종특별자치시 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HYPERLINK("https://map.naver.com/p/search/세종특별자치시 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세종특별자치시 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HYPERLINK("https://map.naver.com/p/search/세종특별자치시 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세종특별자치시 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HYPERLINK("https://map.naver.com/p/search/세종특별자치시 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세종특별자치시 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HYPERLINK("https://map.naver.com/p/search/세종특별자치시 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세종특별자치시 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HYPERLINK("https://map.naver.com/p/search/세종특별자치시 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세종특별자치시 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HYPERLINK("https://map.naver.com/p/search/세종특별자치시 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세종특별자치시 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HYPERLINK("https://map.naver.com/p/search/세종특별자치시 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세종특별자치시 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HYPERLINK("https://map.naver.com/p/search/세종특별자치시 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세종특별자치시 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HYPERLINK("https://map.naver.com/p/search/세종특별자치시 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세종특별자치시 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HYPERLINK("https://map.naver.com/p/search/세종특별자치시 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세종특별자치시 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HYPERLINK("https://map.naver.com/p/search/세종특별자치시 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세종특별자치시 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HYPERLINK("https://map.naver.com/p/search/세종특별자치시 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세종특별자치시 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HYPERLINK("https://map.naver.com/p/search/세종특별자치시 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세종특별자치시 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HYPERLINK("https://map.naver.com/p/search/세종특별자치시 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세종특별자치시 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HYPERLINK("https://map.naver.com/p/search/세종특별자치시 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세종특별자치시 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HYPERLINK("https://map.naver.com/p/search/세종특별자치시 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세종특별자치시 전의면 관정리 227</t>
        </is>
      </c>
      <c r="B4544" s="3" t="inlineStr">
        <is>
          <t>계획관리지역</t>
        </is>
      </c>
      <c r="C4544" s="3" t="inlineStr">
        <is>
          <t>답</t>
        </is>
      </c>
      <c r="D4544" s="3" t="inlineStr">
        <is>
          <t>답</t>
        </is>
      </c>
      <c r="E4544" s="3" t="inlineStr">
        <is>
          <t>매매</t>
        </is>
      </c>
      <c r="F4544" s="4" t="n">
        <v>36400</v>
      </c>
      <c r="G4544" s="4" t="n">
        <v>2671</v>
      </c>
      <c r="H4544" s="4" t="n">
        <v>808</v>
      </c>
      <c r="I4544" s="5" t="n">
        <v>45</v>
      </c>
      <c r="J4544" s="4" t="n">
        <v>16</v>
      </c>
      <c r="K4544" s="3" t="inlineStr">
        <is>
          <t>전의산단과 스마트그린산단 인접 계획관리지역 활용잠재 토지</t>
        </is>
      </c>
      <c r="L4544" s="6">
        <f>HYPERLINK("https://fin.land.naver.com/articles/2644881414", "매물Link")</f>
        <v/>
      </c>
      <c r="M4544" s="6">
        <f>HYPERLINK("https://map.naver.com/p/search/세종특별자치시 전의면 관정리 227", "지도Link")</f>
        <v/>
      </c>
      <c r="N4544" s="6">
        <f>HYPERLINK("http://www.eum.go.kr/web/ar/lu/luLandDet.jsp?pnu=3611037027102270000&amp;isNoScr=script&amp;mode=search", "토지이음")</f>
        <v/>
      </c>
      <c r="O4544" s="3" t="inlineStr">
        <is>
          <t>세종소담황금</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세종특별자치시 전의면 관정리 227</t>
        </is>
      </c>
      <c r="B4545" s="3" t="inlineStr">
        <is>
          <t>계획관리지역</t>
        </is>
      </c>
      <c r="C4545" s="3" t="inlineStr">
        <is>
          <t>답</t>
        </is>
      </c>
      <c r="D4545" s="3" t="inlineStr">
        <is>
          <t>답</t>
        </is>
      </c>
      <c r="E4545" s="3" t="inlineStr">
        <is>
          <t>매매</t>
        </is>
      </c>
      <c r="F4545" s="4" t="n">
        <v>36360</v>
      </c>
      <c r="G4545" s="4" t="n">
        <v>2671</v>
      </c>
      <c r="H4545" s="4" t="n">
        <v>808</v>
      </c>
      <c r="I4545" s="5" t="n">
        <v>45</v>
      </c>
      <c r="J4545" s="4" t="n">
        <v>16</v>
      </c>
      <c r="K4545" s="3" t="inlineStr">
        <is>
          <t>토지보상가 이하 매도. 전의일반산단 북측 위치</t>
        </is>
      </c>
      <c r="L4545" s="6">
        <f>HYPERLINK("https://fin.land.naver.com/articles/2644332310", "매물Link")</f>
        <v/>
      </c>
      <c r="M4545" s="6">
        <f>HYPERLINK("https://map.naver.com/p/search/세종특별자치시 전의면 관정리 227", "지도Link")</f>
        <v/>
      </c>
      <c r="N4545" s="6">
        <f>HYPERLINK("http://www.eum.go.kr/web/ar/lu/luLandDet.jsp?pnu=3611037027102270000&amp;isNoScr=script&amp;mode=search", "토지이음")</f>
        <v/>
      </c>
      <c r="O4545" s="3" t="inlineStr">
        <is>
          <t>미스터홈즈강남지사</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세종특별자치시 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HYPERLINK("https://map.naver.com/p/search/세종특별자치시 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세종특별자치시 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HYPERLINK("https://map.naver.com/p/search/세종특별자치시 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세종특별자치시 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HYPERLINK("https://map.naver.com/p/search/세종특별자치시 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세종특별자치시 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HYPERLINK("https://map.naver.com/p/search/세종특별자치시 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세종특별자치시 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HYPERLINK("https://map.naver.com/p/search/세종특별자치시 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세종특별자치시 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HYPERLINK("https://map.naver.com/p/search/세종특별자치시 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세종특별자치시 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HYPERLINK("https://map.naver.com/p/search/세종특별자치시 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세종특별자치시 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HYPERLINK("https://map.naver.com/p/search/세종특별자치시 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세종특별자치시 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HYPERLINK("https://map.naver.com/p/search/세종특별자치시 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세종특별자치시 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HYPERLINK("https://map.naver.com/p/search/세종특별자치시 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세종특별자치시 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l S l 전의산업단지 l 지원시설용지 l 신축 용도 추천 l</t>
        </is>
      </c>
      <c r="L4556" s="6">
        <f>HYPERLINK("https://fin.land.naver.com/articles/2647314651", "매물Link")</f>
        <v/>
      </c>
      <c r="M4556" s="6">
        <f>HYPERLINK("https://map.naver.com/p/search/세종특별자치시 전의면 관정리 721", "지도Link")</f>
        <v/>
      </c>
      <c r="N4556" s="6">
        <f>HYPERLINK("http://www.eum.go.kr/web/ar/lu/luLandDet.jsp?pnu=3611037027107210000&amp;isNoScr=script&amp;mode=search", "토지이음")</f>
        <v/>
      </c>
      <c r="O4556" s="3" t="inlineStr">
        <is>
          <t>에스</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세종특별자치시 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나대지 전의면 일반산업단지 내  지원시설구역</t>
        </is>
      </c>
      <c r="L4557" s="6">
        <f>HYPERLINK("https://fin.land.naver.com/articles/2649638775", "매물Link")</f>
        <v/>
      </c>
      <c r="M4557" s="6">
        <f>HYPERLINK("https://map.naver.com/p/search/세종특별자치시 전의면 관정리 721", "지도Link")</f>
        <v/>
      </c>
      <c r="N4557" s="6">
        <f>HYPERLINK("http://www.eum.go.kr/web/ar/lu/luLandDet.jsp?pnu=3611037027107210000&amp;isNoScr=script&amp;mode=search", "토지이음")</f>
        <v/>
      </c>
      <c r="O4557" s="3" t="inlineStr">
        <is>
          <t>트리풀신화</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세종특별자치시 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HYPERLINK("https://map.naver.com/p/search/세종특별자치시 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세종특별자치시 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HYPERLINK("https://map.naver.com/p/search/세종특별자치시 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세종특별자치시 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HYPERLINK("https://map.naver.com/p/search/세종특별자치시 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세종특별자치시 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HYPERLINK("https://map.naver.com/p/search/세종특별자치시 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세종특별자치시 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HYPERLINK("https://map.naver.com/p/search/세종특별자치시 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세종특별자치시 전의면 금사리 159-2</t>
        </is>
      </c>
      <c r="B4563" s="3" t="inlineStr">
        <is>
          <t>생산관리지역</t>
        </is>
      </c>
      <c r="C4563" s="3" t="inlineStr">
        <is>
          <t>답</t>
        </is>
      </c>
      <c r="D4563" s="3" t="inlineStr">
        <is>
          <t>답</t>
        </is>
      </c>
      <c r="E4563" s="3" t="inlineStr">
        <is>
          <t>매매</t>
        </is>
      </c>
      <c r="F4563" s="4" t="n">
        <v>30000</v>
      </c>
      <c r="G4563" s="4" t="n">
        <v>721</v>
      </c>
      <c r="H4563" s="4" t="n">
        <v>218</v>
      </c>
      <c r="I4563" s="5" t="n">
        <v>137.6</v>
      </c>
      <c r="J4563" s="4" t="n">
        <v>16.8</v>
      </c>
      <c r="K4563" s="3" t="inlineStr">
        <is>
          <t>정안IC 인접, 토목완료된 세종 북부권 도로접 평탄지</t>
        </is>
      </c>
      <c r="L4563" s="6">
        <f>HYPERLINK("https://fin.land.naver.com/articles/2649343622", "매물Link")</f>
        <v/>
      </c>
      <c r="M4563" s="6">
        <f>HYPERLINK("https://map.naver.com/p/search/세종특별자치시 전의면 금사리 159-2", "지도Link")</f>
        <v/>
      </c>
      <c r="N4563" s="6">
        <f>HYPERLINK("http://www.eum.go.kr/web/ar/lu/luLandDet.jsp?pnu=3611037034101590002&amp;isNoScr=script&amp;mode=search", "토지이음")</f>
        <v/>
      </c>
      <c r="O4563" s="3" t="inlineStr">
        <is>
          <t>세종소담황금</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세종특별자치시 전의면 금사리 159-2</t>
        </is>
      </c>
      <c r="B4564" s="3" t="inlineStr">
        <is>
          <t>생산관리지역</t>
        </is>
      </c>
      <c r="C4564" s="3" t="inlineStr">
        <is>
          <t>답</t>
        </is>
      </c>
      <c r="D4564" s="3" t="inlineStr">
        <is>
          <t>답</t>
        </is>
      </c>
      <c r="E4564" s="3" t="inlineStr">
        <is>
          <t>매매</t>
        </is>
      </c>
      <c r="F4564" s="4" t="n">
        <v>30000</v>
      </c>
      <c r="G4564" s="4" t="n">
        <v>720</v>
      </c>
      <c r="H4564" s="4" t="n">
        <v>218</v>
      </c>
      <c r="I4564" s="5" t="n">
        <v>137.6</v>
      </c>
      <c r="J4564" s="4" t="n">
        <v>16.8</v>
      </c>
      <c r="K4564" s="3" t="inlineStr">
        <is>
          <t>2차선 도로에 접한 도로보다 높게 복토 완료된 토지</t>
        </is>
      </c>
      <c r="L4564" s="6">
        <f>HYPERLINK("https://fin.land.naver.com/articles/2644332574", "매물Link")</f>
        <v/>
      </c>
      <c r="M4564" s="6">
        <f>HYPERLINK("https://map.naver.com/p/search/세종특별자치시 전의면 금사리 159-2", "지도Link")</f>
        <v/>
      </c>
      <c r="N4564" s="6">
        <f>HYPERLINK("http://www.eum.go.kr/web/ar/lu/luLandDet.jsp?pnu=3611037034101590002&amp;isNoScr=script&amp;mode=search", "토지이음")</f>
        <v/>
      </c>
      <c r="O4564" s="3" t="inlineStr">
        <is>
          <t>신와촌</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세종특별자치시 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HYPERLINK("https://map.naver.com/p/search/세종특별자치시 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세종특별자치시 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HYPERLINK("https://map.naver.com/p/search/세종특별자치시 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세종특별자치시 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HYPERLINK("https://map.naver.com/p/search/세종특별자치시 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세종특별자치시 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HYPERLINK("https://map.naver.com/p/search/세종특별자치시 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세종특별자치시 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HYPERLINK("https://map.naver.com/p/search/세종특별자치시 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세종특별자치시 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HYPERLINK("https://map.naver.com/p/search/세종특별자치시 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세종특별자치시 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HYPERLINK("https://map.naver.com/p/search/세종특별자치시 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세종특별자치시 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HYPERLINK("https://map.naver.com/p/search/세종특별자치시 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세종특별자치시 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HYPERLINK("https://map.naver.com/p/search/세종특별자치시 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세종특별자치시 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HYPERLINK("https://map.naver.com/p/search/세종특별자치시 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세종특별자치시 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HYPERLINK("https://map.naver.com/p/search/세종특별자치시 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세종특별자치시 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HYPERLINK("https://map.naver.com/p/search/세종특별자치시 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세종특별자치시 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HYPERLINK("https://map.naver.com/p/search/세종특별자치시 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세종특별자치시 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HYPERLINK("https://map.naver.com/p/search/세종특별자치시 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세종특별자치시 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HYPERLINK("https://map.naver.com/p/search/세종특별자치시 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세종특별자치시 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급매,현재 밭으로 사용중이며,현황도로 ,가격 조율해 볼게요</t>
        </is>
      </c>
      <c r="L4580" s="6">
        <f>HYPERLINK("https://fin.land.naver.com/articles/2646241278", "매물Link")</f>
        <v/>
      </c>
      <c r="M4580" s="6">
        <f>HYPERLINK("https://map.naver.com/p/search/세종특별자치시 전의면 다방리 239", "지도Link")</f>
        <v/>
      </c>
      <c r="N4580" s="6">
        <f>HYPERLINK("http://www.eum.go.kr/web/ar/lu/luLandDet.jsp?pnu=3611037035102390000&amp;isNoScr=script&amp;mode=search", "토지이음")</f>
        <v/>
      </c>
      <c r="O4580" s="3" t="inlineStr">
        <is>
          <t>나릿재OK</t>
        </is>
      </c>
      <c r="P4580" s="3" t="n">
        <v>1</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세종특별자치시 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투자가치 좋은 자경지, 생산관리 농지, 가축사육 가능</t>
        </is>
      </c>
      <c r="L4581" s="6">
        <f>HYPERLINK("https://fin.land.naver.com/articles/2649716712", "매물Link")</f>
        <v/>
      </c>
      <c r="M4581" s="6">
        <f>HYPERLINK("https://map.naver.com/p/search/세종특별자치시 전의면 다방리 239", "지도Link")</f>
        <v/>
      </c>
      <c r="N4581" s="6">
        <f>HYPERLINK("http://www.eum.go.kr/web/ar/lu/luLandDet.jsp?pnu=3611037035102390000&amp;isNoScr=script&amp;mode=search", "토지이음")</f>
        <v/>
      </c>
      <c r="O4581" s="3" t="inlineStr">
        <is>
          <t>OK세종</t>
        </is>
      </c>
      <c r="P4581" s="3" t="n">
        <v>6</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세종특별자치시 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HYPERLINK("https://map.naver.com/p/search/세종특별자치시 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세종특별자치시 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HYPERLINK("https://map.naver.com/p/search/세종특별자치시 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세종특별자치시 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HYPERLINK("https://map.naver.com/p/search/세종특별자치시 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세종특별자치시 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HYPERLINK("https://map.naver.com/p/search/세종특별자치시 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세종특별자치시 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HYPERLINK("https://map.naver.com/p/search/세종특별자치시 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세종특별자치시 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HYPERLINK("https://map.naver.com/p/search/세종특별자치시 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세종특별자치시 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HYPERLINK("https://map.naver.com/p/search/세종특별자치시 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세종특별자치시 전의면 달전리 152-14</t>
        </is>
      </c>
      <c r="B4589" s="3" t="inlineStr">
        <is>
          <t>보전관리지역</t>
        </is>
      </c>
      <c r="C4589" s="3" t="inlineStr">
        <is>
          <t>임야</t>
        </is>
      </c>
      <c r="D4589" s="3" t="inlineStr">
        <is>
          <t>임야</t>
        </is>
      </c>
      <c r="E4589" s="3" t="inlineStr">
        <is>
          <t>매매</t>
        </is>
      </c>
      <c r="F4589" s="4" t="n">
        <v>37300</v>
      </c>
      <c r="G4589" s="4" t="n">
        <v>824</v>
      </c>
      <c r="H4589" s="4" t="n">
        <v>249</v>
      </c>
      <c r="I4589" s="5" t="n">
        <v>149.8</v>
      </c>
      <c r="J4589" s="4" t="n">
        <v>1.7</v>
      </c>
      <c r="K4589" s="3" t="inlineStr">
        <is>
          <t>조용하고 전망좋은 전원주택지</t>
        </is>
      </c>
      <c r="L4589" s="6">
        <f>HYPERLINK("https://fin.land.naver.com/articles/2645605021", "매물Link")</f>
        <v/>
      </c>
      <c r="M4589" s="6">
        <f>HYPERLINK("https://map.naver.com/p/search/세종특별자치시 전의면 달전리 152-14", "지도Link")</f>
        <v/>
      </c>
      <c r="N4589" s="6">
        <f>HYPERLINK("http://www.eum.go.kr/web/ar/lu/luLandDet.jsp?pnu=3611037033101520014&amp;isNoScr=script&amp;mode=search", "토지이음")</f>
        <v/>
      </c>
      <c r="O4589" s="3" t="inlineStr">
        <is>
          <t>미스터홈즈강남지사</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세종특별자치시 전의면 달전리 152-14</t>
        </is>
      </c>
      <c r="B4590" s="3" t="inlineStr">
        <is>
          <t>보전관리지역</t>
        </is>
      </c>
      <c r="C4590" s="3" t="inlineStr">
        <is>
          <t>임야</t>
        </is>
      </c>
      <c r="D4590" s="3" t="inlineStr">
        <is>
          <t>임야</t>
        </is>
      </c>
      <c r="E4590" s="3" t="inlineStr">
        <is>
          <t>매매</t>
        </is>
      </c>
      <c r="F4590" s="4" t="n">
        <v>39000</v>
      </c>
      <c r="G4590" s="4" t="n">
        <v>860</v>
      </c>
      <c r="H4590" s="4" t="n">
        <v>260</v>
      </c>
      <c r="I4590" s="5" t="n">
        <v>150</v>
      </c>
      <c r="J4590" s="4" t="n">
        <v>1.7</v>
      </c>
      <c r="K4590" s="3" t="inlineStr">
        <is>
          <t>nan</t>
        </is>
      </c>
      <c r="L4590" s="6">
        <f>HYPERLINK("https://fin.land.naver.com/articles/2644190869", "매물Link")</f>
        <v/>
      </c>
      <c r="M4590" s="6">
        <f>HYPERLINK("https://map.naver.com/p/search/세종특별자치시 전의면 달전리 152-14", "지도Link")</f>
        <v/>
      </c>
      <c r="N4590" s="6">
        <f>HYPERLINK("http://www.eum.go.kr/web/ar/lu/luLandDet.jsp?pnu=3611037033101520014&amp;isNoScr=script&amp;mode=search", "토지이음")</f>
        <v/>
      </c>
      <c r="O4590" s="3" t="inlineStr">
        <is>
          <t>나침반</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세종특별자치시 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HYPERLINK("https://map.naver.com/p/search/세종특별자치시 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세종특별자치시 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HYPERLINK("https://map.naver.com/p/search/세종특별자치시 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세종특별자치시 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HYPERLINK("https://map.naver.com/p/search/세종특별자치시 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세종특별자치시 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HYPERLINK("https://map.naver.com/p/search/세종특별자치시 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세종특별자치시 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HYPERLINK("https://map.naver.com/p/search/세종특별자치시 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세종특별자치시 전의면 달전리 406-1</t>
        </is>
      </c>
      <c r="B4596" s="3" t="inlineStr">
        <is>
          <t>계획관리지역</t>
        </is>
      </c>
      <c r="C4596" s="3" t="inlineStr">
        <is>
          <t>답</t>
        </is>
      </c>
      <c r="D4596" s="3" t="inlineStr">
        <is>
          <t>답</t>
        </is>
      </c>
      <c r="E4596" s="3" t="inlineStr">
        <is>
          <t>매매</t>
        </is>
      </c>
      <c r="F4596" s="4" t="n">
        <v>49000</v>
      </c>
      <c r="G4596" s="4" t="n">
        <v>1000</v>
      </c>
      <c r="H4596" s="4" t="n">
        <v>302</v>
      </c>
      <c r="I4596" s="5" t="n">
        <v>162.3</v>
      </c>
      <c r="J4596" s="4" t="n">
        <v>13.8</v>
      </c>
      <c r="K4596" s="3" t="inlineStr">
        <is>
          <t>nan</t>
        </is>
      </c>
      <c r="L4596" s="6">
        <f>HYPERLINK("https://fin.land.naver.com/articles/2649619592", "매물Link")</f>
        <v/>
      </c>
      <c r="M4596" s="6">
        <f>HYPERLINK("https://map.naver.com/p/search/세종특별자치시 전의면 달전리 406-1", "지도Link")</f>
        <v/>
      </c>
      <c r="N4596" s="6">
        <f>HYPERLINK("http://www.eum.go.kr/web/ar/lu/luLandDet.jsp?pnu=3611037033104060001&amp;isNoScr=script&amp;mode=search", "토지이음")</f>
        <v/>
      </c>
      <c r="O4596" s="3" t="inlineStr">
        <is>
          <t>그래그</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세종특별자치시 전의면 달전리 406-1</t>
        </is>
      </c>
      <c r="B4597" s="3" t="inlineStr">
        <is>
          <t>계획관리지역</t>
        </is>
      </c>
      <c r="C4597" s="3" t="inlineStr">
        <is>
          <t>답</t>
        </is>
      </c>
      <c r="D4597" s="3" t="inlineStr">
        <is>
          <t>답</t>
        </is>
      </c>
      <c r="E4597" s="3" t="inlineStr">
        <is>
          <t>매매</t>
        </is>
      </c>
      <c r="F4597" s="4" t="n">
        <v>181600</v>
      </c>
      <c r="G4597" s="4" t="n">
        <v>3752</v>
      </c>
      <c r="H4597" s="4" t="n">
        <v>1135</v>
      </c>
      <c r="I4597" s="5" t="n">
        <v>160</v>
      </c>
      <c r="J4597" s="4" t="n">
        <v>13.8</v>
      </c>
      <c r="K4597" s="3" t="inlineStr">
        <is>
          <t>세종시 전의면에 위치한 2차선 도로 접한 토지 매매</t>
        </is>
      </c>
      <c r="L4597" s="6">
        <f>HYPERLINK("https://fin.land.naver.com/articles/2647593018", "매물Link")</f>
        <v/>
      </c>
      <c r="M4597" s="6">
        <f>HYPERLINK("https://map.naver.com/p/search/세종특별자치시 전의면 달전리 406-1", "지도Link")</f>
        <v/>
      </c>
      <c r="N4597" s="6">
        <f>HYPERLINK("http://www.eum.go.kr/web/ar/lu/luLandDet.jsp?pnu=3611037033104060001&amp;isNoScr=script&amp;mode=search", "토지이음")</f>
        <v/>
      </c>
      <c r="O4597" s="3" t="inlineStr">
        <is>
          <t>대지</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세종특별자치시 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HYPERLINK("https://map.naver.com/p/search/세종특별자치시 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세종특별자치시 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HYPERLINK("https://map.naver.com/p/search/세종특별자치시 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세종특별자치시 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HYPERLINK("https://map.naver.com/p/search/세종특별자치시 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세종특별자치시 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HYPERLINK("https://map.naver.com/p/search/세종특별자치시 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세종특별자치시 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HYPERLINK("https://map.naver.com/p/search/세종특별자치시 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세종특별자치시 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HYPERLINK("https://map.naver.com/p/search/세종특별자치시 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세종특별자치시 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HYPERLINK("https://map.naver.com/p/search/세종특별자치시 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세종특별자치시 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HYPERLINK("https://map.naver.com/p/search/세종특별자치시 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세종특별자치시 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HYPERLINK("https://map.naver.com/p/search/세종특별자치시 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세종특별자치시 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HYPERLINK("https://map.naver.com/p/search/세종특별자치시 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세종특별자치시 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HYPERLINK("https://map.naver.com/p/search/세종특별자치시 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세종특별자치시 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HYPERLINK("https://map.naver.com/p/search/세종특별자치시 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세종특별자치시 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HYPERLINK("https://map.naver.com/p/search/세종특별자치시 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세종특별자치시 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HYPERLINK("https://map.naver.com/p/search/세종특별자치시 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세종특별자치시 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HYPERLINK("https://map.naver.com/p/search/세종특별자치시 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세종특별자치시 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HYPERLINK("https://map.naver.com/p/search/세종특별자치시 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세종특별자치시 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HYPERLINK("https://map.naver.com/p/search/세종특별자치시 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세종특별자치시 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HYPERLINK("https://map.naver.com/p/search/세종특별자치시 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세종특별자치시 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HYPERLINK("https://map.naver.com/p/search/세종특별자치시 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세종특별자치시 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HYPERLINK("https://map.naver.com/p/search/세종특별자치시 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세종특별자치시 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HYPERLINK("https://map.naver.com/p/search/세종특별자치시 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세종특별자치시 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2차선 도로에 접한 계획관리 토지</t>
        </is>
      </c>
      <c r="L4619" s="6">
        <f>HYPERLINK("https://fin.land.naver.com/articles/2644444564", "매물Link")</f>
        <v/>
      </c>
      <c r="M4619" s="6">
        <f>HYPERLINK("https://map.naver.com/p/search/세종특별자치시 전의면 동교리 24", "지도Link")</f>
        <v/>
      </c>
      <c r="N4619" s="6">
        <f>HYPERLINK("http://www.eum.go.kr/web/ar/lu/luLandDet.jsp?pnu=3611037022100240000&amp;isNoScr=script&amp;mode=search", "토지이음")</f>
        <v/>
      </c>
      <c r="O4619" s="3" t="inlineStr">
        <is>
          <t>세종대박</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세종특별자치시 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nan</t>
        </is>
      </c>
      <c r="L4620" s="6">
        <f>HYPERLINK("https://fin.land.naver.com/articles/2649600249", "매물Link")</f>
        <v/>
      </c>
      <c r="M4620" s="6">
        <f>HYPERLINK("https://map.naver.com/p/search/세종특별자치시 전의면 동교리 24", "지도Link")</f>
        <v/>
      </c>
      <c r="N4620" s="6">
        <f>HYPERLINK("http://www.eum.go.kr/web/ar/lu/luLandDet.jsp?pnu=3611037022100240000&amp;isNoScr=script&amp;mode=search", "토지이음")</f>
        <v/>
      </c>
      <c r="O4620" s="3" t="inlineStr">
        <is>
          <t>성훈</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세종특별자치시 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HYPERLINK("https://map.naver.com/p/search/세종특별자치시 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세종특별자치시 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HYPERLINK("https://map.naver.com/p/search/세종특별자치시 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세종특별자치시 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HYPERLINK("https://map.naver.com/p/search/세종특별자치시 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세종특별자치시 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HYPERLINK("https://map.naver.com/p/search/세종특별자치시 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세종특별자치시 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HYPERLINK("https://map.naver.com/p/search/세종특별자치시 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세종특별자치시 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HYPERLINK("https://map.naver.com/p/search/세종특별자치시 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세종특별자치시 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HYPERLINK("https://map.naver.com/p/search/세종특별자치시 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세종특별자치시 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HYPERLINK("https://map.naver.com/p/search/세종특별자치시 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세종특별자치시 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HYPERLINK("https://map.naver.com/p/search/세종특별자치시 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세종특별자치시 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HYPERLINK("https://map.naver.com/p/search/세종특별자치시 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세종특별자치시 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HYPERLINK("https://map.naver.com/p/search/세종특별자치시 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세종특별자치시 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HYPERLINK("https://map.naver.com/p/search/세종특별자치시 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세종특별자치시 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HYPERLINK("https://map.naver.com/p/search/세종특별자치시 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세종특별자치시 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HYPERLINK("https://map.naver.com/p/search/세종특별자치시 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세종특별자치시 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HYPERLINK("https://map.naver.com/p/search/세종특별자치시 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세종특별자치시 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HYPERLINK("https://map.naver.com/p/search/세종특별자치시 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세종특별자치시 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HYPERLINK("https://map.naver.com/p/search/세종특별자치시 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세종특별자치시 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HYPERLINK("https://map.naver.com/p/search/세종특별자치시 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세종특별자치시 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HYPERLINK("https://map.naver.com/p/search/세종특별자치시 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세종특별자치시 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HYPERLINK("https://map.naver.com/p/search/세종특별자치시 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세종특별자치시 전의면 서정리 80-31</t>
        </is>
      </c>
      <c r="B4641" s="3" t="inlineStr">
        <is>
          <t>계획관리지역</t>
        </is>
      </c>
      <c r="C4641" s="3" t="inlineStr">
        <is>
          <t>대</t>
        </is>
      </c>
      <c r="D4641" s="3" t="inlineStr">
        <is>
          <t>대</t>
        </is>
      </c>
      <c r="E4641" s="3" t="inlineStr">
        <is>
          <t>매매</t>
        </is>
      </c>
      <c r="F4641" s="4" t="n">
        <v>32000</v>
      </c>
      <c r="G4641" s="4" t="n">
        <v>704</v>
      </c>
      <c r="H4641" s="4" t="n">
        <v>213</v>
      </c>
      <c r="I4641" s="5" t="n">
        <v>150.2</v>
      </c>
      <c r="J4641" s="4" t="n">
        <v>44.7</v>
      </c>
      <c r="K4641" s="3" t="inlineStr">
        <is>
          <t>조망좋은 계획관리지역의 택지개발 완료한 전원주택단지 지목 대지 급매</t>
        </is>
      </c>
      <c r="L4641" s="6">
        <f>HYPERLINK("https://fin.land.naver.com/articles/2644975188", "매물Link")</f>
        <v/>
      </c>
      <c r="M4641" s="6">
        <f>HYPERLINK("https://map.naver.com/p/search/세종특별자치시 전의면 서정리 80-31", "지도Link")</f>
        <v/>
      </c>
      <c r="N4641" s="6">
        <f>HYPERLINK("http://www.eum.go.kr/web/ar/lu/luLandDet.jsp?pnu=3611037023100800031&amp;isNoScr=script&amp;mode=search", "토지이음")</f>
        <v/>
      </c>
      <c r="O4641" s="3" t="inlineStr">
        <is>
          <t>스마일세종</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세종특별자치시 전의면 서정리 80-31</t>
        </is>
      </c>
      <c r="B4642" s="3" t="inlineStr">
        <is>
          <t>계획관리지역</t>
        </is>
      </c>
      <c r="C4642" s="3" t="inlineStr">
        <is>
          <t>대</t>
        </is>
      </c>
      <c r="D4642" s="3" t="inlineStr">
        <is>
          <t>대</t>
        </is>
      </c>
      <c r="E4642" s="3" t="inlineStr">
        <is>
          <t>매매</t>
        </is>
      </c>
      <c r="F4642" s="4" t="n">
        <v>32000</v>
      </c>
      <c r="G4642" s="4" t="n">
        <v>550</v>
      </c>
      <c r="H4642" s="4" t="n">
        <v>166</v>
      </c>
      <c r="I4642" s="5" t="n">
        <v>192.8</v>
      </c>
      <c r="J4642" s="4" t="n">
        <v>44.7</v>
      </c>
      <c r="K4642" s="3" t="inlineStr">
        <is>
          <t>지가 상승여력높은지역 , 주변  스마트산업단지등, 개발계획,전의역복선전철</t>
        </is>
      </c>
      <c r="L4642" s="6">
        <f>HYPERLINK("https://fin.land.naver.com/articles/2645426813", "매물Link")</f>
        <v/>
      </c>
      <c r="M4642" s="6">
        <f>HYPERLINK("https://map.naver.com/p/search/세종특별자치시 전의면 서정리 80-31", "지도Link")</f>
        <v/>
      </c>
      <c r="N4642" s="6">
        <f>HYPERLINK("http://www.eum.go.kr/web/ar/lu/luLandDet.jsp?pnu=3611037023100800031&amp;isNoScr=script&amp;mode=search", "토지이음")</f>
        <v/>
      </c>
      <c r="O4642" s="3" t="inlineStr">
        <is>
          <t>세종특별시</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세종특별자치시 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HYPERLINK("https://map.naver.com/p/search/세종특별자치시 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세종특별자치시 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HYPERLINK("https://map.naver.com/p/search/세종특별자치시 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세종특별자치시 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HYPERLINK("https://map.naver.com/p/search/세종특별자치시 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세종특별자치시 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HYPERLINK("https://map.naver.com/p/search/세종특별자치시 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세종특별자치시 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HYPERLINK("https://map.naver.com/p/search/세종특별자치시 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세종특별자치시 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HYPERLINK("https://map.naver.com/p/search/세종특별자치시 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세종특별자치시 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HYPERLINK("https://map.naver.com/p/search/세종특별자치시 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세종특별자치시 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HYPERLINK("https://map.naver.com/p/search/세종특별자치시 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세종특별자치시 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HYPERLINK("https://map.naver.com/p/search/세종특별자치시 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세종특별자치시 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HYPERLINK("https://map.naver.com/p/search/세종특별자치시 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세종특별자치시 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HYPERLINK("https://map.naver.com/p/search/세종특별자치시 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세종특별자치시 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HYPERLINK("https://map.naver.com/p/search/세종특별자치시 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세종특별자치시 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HYPERLINK("https://map.naver.com/p/search/세종특별자치시 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세종특별자치시 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HYPERLINK("https://map.naver.com/p/search/세종특별자치시 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세종특별자치시 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HYPERLINK("https://map.naver.com/p/search/세종특별자치시 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세종특별자치시 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HYPERLINK("https://map.naver.com/p/search/세종특별자치시 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세종특별자치시 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HYPERLINK("https://map.naver.com/p/search/세종특별자치시 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세종특별자치시 전의면 신정리 61-2</t>
        </is>
      </c>
      <c r="B4660" s="3" t="inlineStr">
        <is>
          <t>계획관리지역</t>
        </is>
      </c>
      <c r="C4660" s="3" t="inlineStr">
        <is>
          <t>답</t>
        </is>
      </c>
      <c r="D4660" s="3" t="inlineStr">
        <is>
          <t>답</t>
        </is>
      </c>
      <c r="E4660" s="3" t="inlineStr">
        <is>
          <t>매매</t>
        </is>
      </c>
      <c r="F4660" s="4" t="n">
        <v>28000</v>
      </c>
      <c r="G4660" s="4" t="n">
        <v>1828</v>
      </c>
      <c r="H4660" s="4" t="n">
        <v>553</v>
      </c>
      <c r="I4660" s="5" t="n">
        <v>50.6</v>
      </c>
      <c r="J4660" s="4" t="n">
        <v>12.2</v>
      </c>
      <c r="K4660" s="3" t="inlineStr">
        <is>
          <t>전의일반산단인근 구거 접한 농지. 대토추천</t>
        </is>
      </c>
      <c r="L4660" s="6">
        <f>HYPERLINK("https://fin.land.naver.com/articles/2645605319", "매물Link")</f>
        <v/>
      </c>
      <c r="M4660" s="6">
        <f>HYPERLINK("https://map.naver.com/p/search/세종특별자치시 전의면 신정리 61-2", "지도Link")</f>
        <v/>
      </c>
      <c r="N4660" s="6">
        <f>HYPERLINK("http://www.eum.go.kr/web/ar/lu/luLandDet.jsp?pnu=3611037028100610002&amp;isNoScr=script&amp;mode=search", "토지이음")</f>
        <v/>
      </c>
      <c r="O4660" s="3" t="inlineStr">
        <is>
          <t>미스터홈즈강남지사</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세종특별자치시 전의면 신정리 61-2</t>
        </is>
      </c>
      <c r="B4661" s="3" t="inlineStr">
        <is>
          <t>계획관리지역</t>
        </is>
      </c>
      <c r="C4661" s="3" t="inlineStr">
        <is>
          <t>답</t>
        </is>
      </c>
      <c r="D4661" s="3" t="inlineStr">
        <is>
          <t>답</t>
        </is>
      </c>
      <c r="E4661" s="3" t="inlineStr">
        <is>
          <t>매매</t>
        </is>
      </c>
      <c r="F4661" s="4" t="n">
        <v>17500</v>
      </c>
      <c r="G4661" s="4" t="n">
        <v>1828</v>
      </c>
      <c r="H4661" s="4" t="n">
        <v>553</v>
      </c>
      <c r="I4661" s="5" t="n">
        <v>31.6</v>
      </c>
      <c r="J4661" s="4" t="n">
        <v>12.2</v>
      </c>
      <c r="K4661" s="3" t="inlineStr">
        <is>
          <t>세종시 계획관리토지 급매</t>
        </is>
      </c>
      <c r="L4661" s="6">
        <f>HYPERLINK("https://fin.land.naver.com/articles/2648149908", "매물Link")</f>
        <v/>
      </c>
      <c r="M4661" s="6">
        <f>HYPERLINK("https://map.naver.com/p/search/세종특별자치시 전의면 신정리 61-2", "지도Link")</f>
        <v/>
      </c>
      <c r="N4661" s="6">
        <f>HYPERLINK("http://www.eum.go.kr/web/ar/lu/luLandDet.jsp?pnu=3611037028100610002&amp;isNoScr=script&amp;mode=search", "토지이음")</f>
        <v/>
      </c>
      <c r="O4661" s="3" t="inlineStr">
        <is>
          <t>그린</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세종특별자치시 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HYPERLINK("https://map.naver.com/p/search/세종특별자치시 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세종특별자치시 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HYPERLINK("https://map.naver.com/p/search/세종특별자치시 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세종특별자치시 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HYPERLINK("https://map.naver.com/p/search/세종특별자치시 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세종특별자치시 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HYPERLINK("https://map.naver.com/p/search/세종특별자치시 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세종특별자치시 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HYPERLINK("https://map.naver.com/p/search/세종특별자치시 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세종특별자치시 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HYPERLINK("https://map.naver.com/p/search/세종특별자치시 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세종특별자치시 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HYPERLINK("https://map.naver.com/p/search/세종특별자치시 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세종특별자치시 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HYPERLINK("https://map.naver.com/p/search/세종특별자치시 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세종특별자치시 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HYPERLINK("https://map.naver.com/p/search/세종특별자치시 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세종특별자치시 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HYPERLINK("https://map.naver.com/p/search/세종특별자치시 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세종특별자치시 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HYPERLINK("https://map.naver.com/p/search/세종특별자치시 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세종특별자치시 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HYPERLINK("https://map.naver.com/p/search/세종특별자치시 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세종특별자치시 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HYPERLINK("https://map.naver.com/p/search/세종특별자치시 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세종특별자치시 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HYPERLINK("https://map.naver.com/p/search/세종특별자치시 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세종특별자치시 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HYPERLINK("https://map.naver.com/p/search/세종특별자치시 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세종특별자치시 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HYPERLINK("https://map.naver.com/p/search/세종특별자치시 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세종특별자치시 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HYPERLINK("https://map.naver.com/p/search/세종특별자치시 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세종특별자치시 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HYPERLINK("https://map.naver.com/p/search/세종특별자치시 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세종특별자치시 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HYPERLINK("https://map.naver.com/p/search/세종특별자치시 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세종특별자치시 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HYPERLINK("https://map.naver.com/p/search/세종특별자치시 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세종특별자치시 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HYPERLINK("https://map.naver.com/p/search/세종특별자치시 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세종특별자치시 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HYPERLINK("https://map.naver.com/p/search/세종특별자치시 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세종특별자치시 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HYPERLINK("https://map.naver.com/p/search/세종특별자치시 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세종특별자치시 전의면 양곡리 381-2</t>
        </is>
      </c>
      <c r="B4685" s="3" t="inlineStr">
        <is>
          <t>계획관리지역</t>
        </is>
      </c>
      <c r="C4685" s="3" t="inlineStr">
        <is>
          <t>전</t>
        </is>
      </c>
      <c r="D4685" s="3" t="inlineStr">
        <is>
          <t>전</t>
        </is>
      </c>
      <c r="E4685" s="3" t="inlineStr">
        <is>
          <t>매매</t>
        </is>
      </c>
      <c r="F4685" s="4" t="n">
        <v>45000</v>
      </c>
      <c r="G4685" s="4" t="n">
        <v>1296</v>
      </c>
      <c r="H4685" s="4" t="n">
        <v>392</v>
      </c>
      <c r="I4685" s="5" t="n">
        <v>114.8</v>
      </c>
      <c r="J4685" s="4" t="n">
        <v>46.6</v>
      </c>
      <c r="K4685" s="3" t="inlineStr">
        <is>
          <t>도로변 각지로 계획관리지역 개발 등 다양업 추천</t>
        </is>
      </c>
      <c r="L4685" s="6">
        <f>HYPERLINK("https://fin.land.naver.com/articles/2648753395", "매물Link")</f>
        <v/>
      </c>
      <c r="M4685" s="6">
        <f>HYPERLINK("https://map.naver.com/p/search/세종특별자치시 전의면 양곡리 381-2", "지도Link")</f>
        <v/>
      </c>
      <c r="N4685" s="6">
        <f>HYPERLINK("http://www.eum.go.kr/web/ar/lu/luLandDet.jsp?pnu=3611037032103810002&amp;isNoScr=script&amp;mode=search", "토지이음")</f>
        <v/>
      </c>
      <c r="O4685" s="3" t="inlineStr">
        <is>
          <t>이서방</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세종특별자치시 전의면 양곡리 381-2</t>
        </is>
      </c>
      <c r="B4686" s="3" t="inlineStr">
        <is>
          <t>계획관리지역</t>
        </is>
      </c>
      <c r="C4686" s="3" t="inlineStr">
        <is>
          <t>전</t>
        </is>
      </c>
      <c r="D4686" s="3" t="inlineStr">
        <is>
          <t>전</t>
        </is>
      </c>
      <c r="E4686" s="3" t="inlineStr">
        <is>
          <t>매매</t>
        </is>
      </c>
      <c r="F4686" s="4" t="n">
        <v>49000</v>
      </c>
      <c r="G4686" s="4" t="n">
        <v>1296</v>
      </c>
      <c r="H4686" s="4" t="n">
        <v>392</v>
      </c>
      <c r="I4686" s="5" t="n">
        <v>125</v>
      </c>
      <c r="J4686" s="4" t="n">
        <v>46.6</v>
      </c>
      <c r="K4686" s="3" t="inlineStr">
        <is>
          <t>2차선도로 접한 밭 농업경영체토지 주기장 고물상 창고 공장 야적장 가능지</t>
        </is>
      </c>
      <c r="L4686" s="6">
        <f>HYPERLINK("https://fin.land.naver.com/articles/2649965559", "매물Link")</f>
        <v/>
      </c>
      <c r="M4686" s="6">
        <f>HYPERLINK("https://map.naver.com/p/search/세종특별자치시 전의면 양곡리 381-2", "지도Link")</f>
        <v/>
      </c>
      <c r="N4686" s="6">
        <f>HYPERLINK("http://www.eum.go.kr/web/ar/lu/luLandDet.jsp?pnu=3611037032103810002&amp;isNoScr=script&amp;mode=search", "토지이음")</f>
        <v/>
      </c>
      <c r="O4686" s="3" t="inlineStr">
        <is>
          <t>지성</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세종특별자치시 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HYPERLINK("https://map.naver.com/p/search/세종특별자치시 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세종특별자치시 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HYPERLINK("https://map.naver.com/p/search/세종특별자치시 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세종특별자치시 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전의면 미래산업단지내 준주거지역 대지, 상가건축용, 대로변 옆</t>
        </is>
      </c>
      <c r="L4689" s="6">
        <f>HYPERLINK("https://fin.land.naver.com/articles/2648395435", "매물Link")</f>
        <v/>
      </c>
      <c r="M4689" s="6">
        <f>HYPERLINK("https://map.naver.com/p/search/세종특별자치시 전의면 양곡리 573", "지도Link")</f>
        <v/>
      </c>
      <c r="N4689" s="6">
        <f>HYPERLINK("http://www.eum.go.kr/web/ar/lu/luLandDet.jsp?pnu=3611037032105730000&amp;isNoScr=script&amp;mode=search", "토지이음")</f>
        <v/>
      </c>
      <c r="O4689" s="3" t="inlineStr">
        <is>
          <t>스카이</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세종특별자치시 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대로변 광고효과 좋음,  미래산업단지 지원용지 ,  투자추천</t>
        </is>
      </c>
      <c r="L4690" s="6">
        <f>HYPERLINK("https://fin.land.naver.com/articles/2645380289", "매물Link")</f>
        <v/>
      </c>
      <c r="M4690" s="6">
        <f>HYPERLINK("https://map.naver.com/p/search/세종특별자치시 전의면 양곡리 573", "지도Link")</f>
        <v/>
      </c>
      <c r="N4690" s="6">
        <f>HYPERLINK("http://www.eum.go.kr/web/ar/lu/luLandDet.jsp?pnu=3611037032105730000&amp;isNoScr=script&amp;mode=search", "토지이음")</f>
        <v/>
      </c>
      <c r="O4690" s="3" t="inlineStr">
        <is>
          <t>세종특별시</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세종특별자치시 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HYPERLINK("https://map.naver.com/p/search/세종특별자치시 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세종특별자치시 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HYPERLINK("https://map.naver.com/p/search/세종특별자치시 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세종특별자치시 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HYPERLINK("https://map.naver.com/p/search/세종특별자치시 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세종특별자치시 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HYPERLINK("https://map.naver.com/p/search/세종특별자치시 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세종특별자치시 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HYPERLINK("https://map.naver.com/p/search/세종특별자치시 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세종특별자치시 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HYPERLINK("https://map.naver.com/p/search/세종특별자치시 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세종특별자치시 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HYPERLINK("https://map.naver.com/p/search/세종특별자치시 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세종특별자치시 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HYPERLINK("https://map.naver.com/p/search/세종특별자치시 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세종특별자치시 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HYPERLINK("https://map.naver.com/p/search/세종특별자치시 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세종특별자치시 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HYPERLINK("https://map.naver.com/p/search/세종특별자치시 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세종특별자치시 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HYPERLINK("https://map.naver.com/p/search/세종특별자치시 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세종특별자치시 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HYPERLINK("https://map.naver.com/p/search/세종특별자치시 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세종특별자치시 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HYPERLINK("https://map.naver.com/p/search/세종특별자치시 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세종특별자치시 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HYPERLINK("https://map.naver.com/p/search/세종특별자치시 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세종특별자치시 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HYPERLINK("https://map.naver.com/p/search/세종특별자치시 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세종특별자치시 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HYPERLINK("https://map.naver.com/p/search/세종특별자치시 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세종특별자치시 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HYPERLINK("https://map.naver.com/p/search/세종특별자치시 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세종특별자치시 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HYPERLINK("https://map.naver.com/p/search/세종특별자치시 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세종특별자치시 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HYPERLINK("https://map.naver.com/p/search/세종특별자치시 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세종특별자치시 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HYPERLINK("https://map.naver.com/p/search/세종특별자치시 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세종특별자치시 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HYPERLINK("https://map.naver.com/p/search/세종특별자치시 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세종특별자치시 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HYPERLINK("https://map.naver.com/p/search/세종특별자치시 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세종특별자치시 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HYPERLINK("https://map.naver.com/p/search/세종특별자치시 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세종특별자치시 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HYPERLINK("https://map.naver.com/p/search/세종특별자치시 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세종특별자치시 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접근성 좋고 민원 발생여지 적어 개발이 용이한 토지</t>
        </is>
      </c>
      <c r="L4715" s="6">
        <f>HYPERLINK("https://fin.land.naver.com/articles/2648170977", "매물Link")</f>
        <v/>
      </c>
      <c r="M4715" s="6">
        <f>HYPERLINK("https://map.naver.com/p/search/세종특별자치시 전의면 유천리 84-1", "지도Link")</f>
        <v/>
      </c>
      <c r="N4715" s="6">
        <f>HYPERLINK("http://www.eum.go.kr/web/ar/lu/luLandDet.jsp?pnu=3611037026100840001&amp;isNoScr=script&amp;mode=search", "토지이음")</f>
        <v/>
      </c>
      <c r="O4715" s="3" t="inlineStr">
        <is>
          <t>연호</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세종특별자치시 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1번국도접한 광고효과 좋은 토지매매</t>
        </is>
      </c>
      <c r="L4716" s="6">
        <f>HYPERLINK("https://fin.land.naver.com/articles/2647351571", "매물Link")</f>
        <v/>
      </c>
      <c r="M4716" s="6">
        <f>HYPERLINK("https://map.naver.com/p/search/세종특별자치시 전의면 유천리 84-1", "지도Link")</f>
        <v/>
      </c>
      <c r="N4716" s="6">
        <f>HYPERLINK("http://www.eum.go.kr/web/ar/lu/luLandDet.jsp?pnu=3611037026100840001&amp;isNoScr=script&amp;mode=search", "토지이음")</f>
        <v/>
      </c>
      <c r="O4716" s="3" t="inlineStr">
        <is>
          <t>복전</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세종특별자치시 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HYPERLINK("https://map.naver.com/p/search/세종특별자치시 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세종특별자치시 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HYPERLINK("https://map.naver.com/p/search/세종특별자치시 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세종특별자치시 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HYPERLINK("https://map.naver.com/p/search/세종특별자치시 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세종특별자치시 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HYPERLINK("https://map.naver.com/p/search/세종특별자치시 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세종특별자치시 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HYPERLINK("https://map.naver.com/p/search/세종특별자치시 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세종특별자치시 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HYPERLINK("https://map.naver.com/p/search/세종특별자치시 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세종특별자치시 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HYPERLINK("https://map.naver.com/p/search/세종특별자치시 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세종특별자치시 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HYPERLINK("https://map.naver.com/p/search/세종특별자치시 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세종특별자치시 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HYPERLINK("https://map.naver.com/p/search/세종특별자치시 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세종특별자치시 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HYPERLINK("https://map.naver.com/p/search/세종특별자치시 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세종특별자치시 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HYPERLINK("https://map.naver.com/p/search/세종특별자치시 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세종특별자치시 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HYPERLINK("https://map.naver.com/p/search/세종특별자치시 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세종특별자치시 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HYPERLINK("https://map.naver.com/p/search/세종특별자치시 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세종특별자치시 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HYPERLINK("https://map.naver.com/p/search/세종특별자치시 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세종특별자치시 전의면 읍내리 410</t>
        </is>
      </c>
      <c r="B4731" s="3" t="inlineStr">
        <is>
          <t>제1종일반주거지역</t>
        </is>
      </c>
      <c r="C4731" s="3" t="inlineStr">
        <is>
          <t>대</t>
        </is>
      </c>
      <c r="D4731" s="3" t="inlineStr">
        <is>
          <t>대</t>
        </is>
      </c>
      <c r="E4731" s="3" t="inlineStr">
        <is>
          <t>매매</t>
        </is>
      </c>
      <c r="F4731" s="4" t="n">
        <v>20000</v>
      </c>
      <c r="G4731" s="4" t="n">
        <v>266</v>
      </c>
      <c r="H4731" s="4" t="n">
        <v>80</v>
      </c>
      <c r="I4731" s="5" t="n">
        <v>250</v>
      </c>
      <c r="J4731" s="4" t="n">
        <v>87</v>
      </c>
      <c r="K4731" s="3" t="inlineStr">
        <is>
          <t>초급매 3거리 코너각지의 공원 옆에 있는 대지로 상가주택부지로 좋은 대지</t>
        </is>
      </c>
      <c r="L4731" s="6">
        <f>HYPERLINK("https://fin.land.naver.com/articles/2647004452", "매물Link")</f>
        <v/>
      </c>
      <c r="M4731" s="6">
        <f>HYPERLINK("https://map.naver.com/p/search/세종특별자치시 전의면 읍내리 410", "지도Link")</f>
        <v/>
      </c>
      <c r="N4731" s="6">
        <f>HYPERLINK("http://www.eum.go.kr/web/ar/lu/luLandDet.jsp?pnu=3611037021104100000&amp;isNoScr=script&amp;mode=search", "토지이음")</f>
        <v/>
      </c>
      <c r="O4731" s="3" t="inlineStr">
        <is>
          <t>스마일세종</t>
        </is>
      </c>
      <c r="P4731" s="3" t="n">
        <v>1</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세종특별자치시 전의면 읍내리 410</t>
        </is>
      </c>
      <c r="B4732" s="3" t="inlineStr">
        <is>
          <t>제1종일반주거지역</t>
        </is>
      </c>
      <c r="C4732" s="3" t="inlineStr">
        <is>
          <t>대</t>
        </is>
      </c>
      <c r="D4732" s="3" t="inlineStr">
        <is>
          <t>대</t>
        </is>
      </c>
      <c r="E4732" s="3" t="inlineStr">
        <is>
          <t>매매</t>
        </is>
      </c>
      <c r="F4732" s="4" t="n">
        <v>15000</v>
      </c>
      <c r="G4732" s="4" t="n">
        <v>266</v>
      </c>
      <c r="H4732" s="4" t="n">
        <v>80</v>
      </c>
      <c r="I4732" s="5" t="n">
        <v>187.5</v>
      </c>
      <c r="J4732" s="4" t="n">
        <v>87</v>
      </c>
      <c r="K4732" s="3" t="inlineStr">
        <is>
          <t>전의 스마트그린산단 지역 일반 택지</t>
        </is>
      </c>
      <c r="L4732" s="6">
        <f>HYPERLINK("https://fin.land.naver.com/articles/2646666764", "매물Link")</f>
        <v/>
      </c>
      <c r="M4732" s="6">
        <f>HYPERLINK("https://map.naver.com/p/search/세종특별자치시 전의면 읍내리 410", "지도Link")</f>
        <v/>
      </c>
      <c r="N4732" s="6">
        <f>HYPERLINK("http://www.eum.go.kr/web/ar/lu/luLandDet.jsp?pnu=3611037021104100000&amp;isNoScr=script&amp;mode=search", "토지이음")</f>
        <v/>
      </c>
      <c r="O4732" s="3" t="inlineStr">
        <is>
          <t>강나루</t>
        </is>
      </c>
      <c r="P4732" s="3" t="n">
        <v>2</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세종특별자치시 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HYPERLINK("https://map.naver.com/p/search/세종특별자치시 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세종특별자치시 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HYPERLINK("https://map.naver.com/p/search/세종특별자치시 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세종특별자치시 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HYPERLINK("https://map.naver.com/p/search/세종특별자치시 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세종특별자치시 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HYPERLINK("https://map.naver.com/p/search/세종특별자치시 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세종특별자치시 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HYPERLINK("https://map.naver.com/p/search/세종특별자치시 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세종특별자치시 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HYPERLINK("https://map.naver.com/p/search/세종특별자치시 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세종특별자치시 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HYPERLINK("https://map.naver.com/p/search/세종특별자치시 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세종특별자치시 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HYPERLINK("https://map.naver.com/p/search/세종특별자치시 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세종특별자치시 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급매 분양가 이하 세종스마트그린 지원단지에 있는 택지로 상가 및 주택</t>
        </is>
      </c>
      <c r="L4741" s="6">
        <f>HYPERLINK("https://fin.land.naver.com/articles/2645379358", "매물Link")</f>
        <v/>
      </c>
      <c r="M4741" s="6">
        <f>HYPERLINK("https://map.naver.com/p/search/세종특별자치시 전의면 읍내리 515", "지도Link")</f>
        <v/>
      </c>
      <c r="N4741" s="6">
        <f>HYPERLINK("http://www.eum.go.kr/web/ar/lu/luLandDet.jsp?pnu=3611037021105150000&amp;isNoScr=script&amp;mode=search", "토지이음")</f>
        <v/>
      </c>
      <c r="O4741" s="3" t="inlineStr">
        <is>
          <t>스마일세종</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세종특별자치시 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산조망 카페 추천 , 근생가능 . 소액투자. 산업단지 풍부한 수요,</t>
        </is>
      </c>
      <c r="L4742" s="6">
        <f>HYPERLINK("https://fin.land.naver.com/articles/2646545760", "매물Link")</f>
        <v/>
      </c>
      <c r="M4742" s="6">
        <f>HYPERLINK("https://map.naver.com/p/search/세종특별자치시 전의면 읍내리 515", "지도Link")</f>
        <v/>
      </c>
      <c r="N4742" s="6">
        <f>HYPERLINK("http://www.eum.go.kr/web/ar/lu/luLandDet.jsp?pnu=3611037021105150000&amp;isNoScr=script&amp;mode=search", "토지이음")</f>
        <v/>
      </c>
      <c r="O4742" s="3" t="inlineStr">
        <is>
          <t>세종특별시</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세종특별자치시 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HYPERLINK("https://map.naver.com/p/search/세종특별자치시 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세종특별자치시 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HYPERLINK("https://map.naver.com/p/search/세종특별자치시 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세종특별자치시 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HYPERLINK("https://map.naver.com/p/search/세종특별자치시 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세종특별자치시 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HYPERLINK("https://map.naver.com/p/search/세종특별자치시 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세종특별자치시 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HYPERLINK("https://map.naver.com/p/search/세종특별자치시 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세종특별자치시 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HYPERLINK("https://map.naver.com/p/search/세종특별자치시 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세종특별자치시 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HYPERLINK("https://map.naver.com/p/search/세종특별자치시 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세종특별자치시 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HYPERLINK("https://map.naver.com/p/search/세종특별자치시 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세종특별자치시 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HYPERLINK("https://map.naver.com/p/search/세종특별자치시 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세종특별자치시 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HYPERLINK("https://map.naver.com/p/search/세종특별자치시 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세종특별자치시 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HYPERLINK("https://map.naver.com/p/search/세종특별자치시 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세종특별자치시 조치원읍 번암리 121-4</t>
        </is>
      </c>
      <c r="B4754" s="3" t="inlineStr">
        <is>
          <t>일반공업지역</t>
        </is>
      </c>
      <c r="C4754" s="3" t="inlineStr">
        <is>
          <t>잡종지</t>
        </is>
      </c>
      <c r="D4754" s="3" t="inlineStr">
        <is>
          <t>잡종지</t>
        </is>
      </c>
      <c r="E4754" s="3" t="inlineStr">
        <is>
          <t>매매</t>
        </is>
      </c>
      <c r="F4754" s="4" t="n">
        <v>280000</v>
      </c>
      <c r="G4754" s="4" t="n">
        <v>1530</v>
      </c>
      <c r="H4754" s="4" t="n">
        <v>463</v>
      </c>
      <c r="I4754" s="5" t="n">
        <v>604.8</v>
      </c>
      <c r="J4754" s="4" t="n">
        <v>201.1</v>
      </c>
      <c r="K4754" s="3" t="inlineStr">
        <is>
          <t>조치원 일반공업지역 차량진입 우수 산업형 부지</t>
        </is>
      </c>
      <c r="L4754" s="6">
        <f>HYPERLINK("https://fin.land.naver.com/articles/2648846717", "매물Link")</f>
        <v/>
      </c>
      <c r="M4754" s="6">
        <f>HYPERLINK("https://map.naver.com/p/search/세종특별자치시 조치원읍 번암리 121-4", "지도Link")</f>
        <v/>
      </c>
      <c r="N4754" s="6">
        <f>HYPERLINK("http://www.eum.go.kr/web/ar/lu/luLandDet.jsp?pnu=3611025031101210004&amp;isNoScr=script&amp;mode=search", "토지이음")</f>
        <v/>
      </c>
      <c r="O4754" s="3" t="inlineStr">
        <is>
          <t>세종소담황금</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세종특별자치시 조치원읍 번암리 121-4</t>
        </is>
      </c>
      <c r="B4755" s="3" t="inlineStr">
        <is>
          <t>일반공업지역</t>
        </is>
      </c>
      <c r="C4755" s="3" t="inlineStr">
        <is>
          <t>잡종지</t>
        </is>
      </c>
      <c r="D4755" s="3" t="inlineStr">
        <is>
          <t>잡종지</t>
        </is>
      </c>
      <c r="E4755" s="3" t="inlineStr">
        <is>
          <t>매매</t>
        </is>
      </c>
      <c r="F4755" s="4" t="n">
        <v>280000</v>
      </c>
      <c r="G4755" s="4" t="n">
        <v>1531</v>
      </c>
      <c r="H4755" s="4" t="n">
        <v>463</v>
      </c>
      <c r="I4755" s="5" t="n">
        <v>604.8</v>
      </c>
      <c r="J4755" s="4" t="n">
        <v>201.1</v>
      </c>
      <c r="K4755" s="3" t="inlineStr">
        <is>
          <t>세종산단과 오송산단을 잇는 대로 접, 광고 시인성 뛰어남, 적극조율</t>
        </is>
      </c>
      <c r="L4755" s="6">
        <f>HYPERLINK("https://fin.land.naver.com/articles/2649267602", "매물Link")</f>
        <v/>
      </c>
      <c r="M4755" s="6">
        <f>HYPERLINK("https://map.naver.com/p/search/세종특별자치시 조치원읍 번암리 121-4", "지도Link")</f>
        <v/>
      </c>
      <c r="N4755" s="6">
        <f>HYPERLINK("http://www.eum.go.kr/web/ar/lu/luLandDet.jsp?pnu=3611025031101210004&amp;isNoScr=script&amp;mode=search", "토지이음")</f>
        <v/>
      </c>
      <c r="O4755" s="3" t="inlineStr">
        <is>
          <t>새롬시티</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세종특별자치시 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HYPERLINK("https://map.naver.com/p/search/세종특별자치시 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세종특별자치시 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HYPERLINK("https://map.naver.com/p/search/세종특별자치시 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세종특별자치시 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HYPERLINK("https://map.naver.com/p/search/세종특별자치시 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세종특별자치시 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HYPERLINK("https://map.naver.com/p/search/세종특별자치시 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세종특별자치시 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HYPERLINK("https://map.naver.com/p/search/세종특별자치시 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세종특별자치시 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HYPERLINK("https://map.naver.com/p/search/세종특별자치시 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세종특별자치시 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HYPERLINK("https://map.naver.com/p/search/세종특별자치시 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세종특별자치시 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HYPERLINK("https://map.naver.com/p/search/세종특별자치시 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세종특별자치시 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HYPERLINK("https://map.naver.com/p/search/세종특별자치시 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세종특별자치시 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HYPERLINK("https://map.naver.com/p/search/세종특별자치시 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세종특별자치시 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HYPERLINK("https://map.naver.com/p/search/세종특별자치시 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세종특별자치시 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HYPERLINK("https://map.naver.com/p/search/세종특별자치시 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세종특별자치시 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HYPERLINK("https://map.naver.com/p/search/세종특별자치시 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세종특별자치시 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HYPERLINK("https://map.naver.com/p/search/세종특별자치시 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세종특별자치시 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HYPERLINK("https://map.naver.com/p/search/세종특별자치시 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세종특별자치시 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HYPERLINK("https://map.naver.com/p/search/세종특별자치시 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세종특별자치시 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HYPERLINK("https://map.naver.com/p/search/세종특별자치시 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세종특별자치시 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HYPERLINK("https://map.naver.com/p/search/세종특별자치시 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세종특별자치시 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HYPERLINK("https://map.naver.com/p/search/세종특별자치시 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세종특별자치시 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HYPERLINK("https://map.naver.com/p/search/세종특별자치시 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세종특별자치시 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HYPERLINK("https://map.naver.com/p/search/세종특별자치시 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세종특별자치시 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HYPERLINK("https://map.naver.com/p/search/세종특별자치시 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세종특별자치시 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HYPERLINK("https://map.naver.com/p/search/세종특별자치시 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세종특별자치시 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HYPERLINK("https://map.naver.com/p/search/세종특별자치시 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세종특별자치시 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HYPERLINK("https://map.naver.com/p/search/세종특별자치시 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세종특별자치시 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HYPERLINK("https://map.naver.com/p/search/세종특별자치시 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세종특별자치시 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HYPERLINK("https://map.naver.com/p/search/세종특별자치시 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세종특별자치시 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HYPERLINK("https://map.naver.com/p/search/세종특별자치시 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세종특별자치시 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HYPERLINK("https://map.naver.com/p/search/세종특별자치시 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세종특별자치시 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HYPERLINK("https://map.naver.com/p/search/세종특별자치시 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세종특별자치시 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HYPERLINK("https://map.naver.com/p/search/세종특별자치시 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세종특별자치시 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2종일반주거,2차선접 코너 나대지 토지 급매</t>
        </is>
      </c>
      <c r="L4787" s="6">
        <f>HYPERLINK("https://fin.land.naver.com/articles/2649393495", "매물Link")</f>
        <v/>
      </c>
      <c r="M4787" s="6">
        <f>HYPERLINK("https://map.naver.com/p/search/세종특별자치시 조치원읍 서창리 138-2", "지도Link")</f>
        <v/>
      </c>
      <c r="N4787" s="6">
        <f>HYPERLINK("http://www.eum.go.kr/web/ar/lu/luLandDet.jsp?pnu=3611025034101380002&amp;isNoScr=script&amp;mode=search", "토지이음")</f>
        <v/>
      </c>
      <c r="O4787" s="3" t="inlineStr">
        <is>
          <t>광장</t>
        </is>
      </c>
      <c r="P4787" s="3" t="n">
        <v>2</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세종특별자치시 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nan</t>
        </is>
      </c>
      <c r="L4788" s="6">
        <f>HYPERLINK("https://fin.land.naver.com/articles/2649067843", "매물Link")</f>
        <v/>
      </c>
      <c r="M4788" s="6">
        <f>HYPERLINK("https://map.naver.com/p/search/세종특별자치시 조치원읍 서창리 138-2", "지도Link")</f>
        <v/>
      </c>
      <c r="N4788" s="6">
        <f>HYPERLINK("http://www.eum.go.kr/web/ar/lu/luLandDet.jsp?pnu=3611025034101380002&amp;isNoScr=script&amp;mode=search", "토지이음")</f>
        <v/>
      </c>
      <c r="O4788" s="3" t="inlineStr">
        <is>
          <t>번암주공</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세종특별자치시 조치원읍 서창리 138-2</t>
        </is>
      </c>
      <c r="B4789" s="3" t="inlineStr">
        <is>
          <t>제2종일반주거지역</t>
        </is>
      </c>
      <c r="C4789" s="3" t="inlineStr">
        <is>
          <t>전</t>
        </is>
      </c>
      <c r="D4789" s="3" t="inlineStr">
        <is>
          <t>전</t>
        </is>
      </c>
      <c r="E4789" s="3" t="inlineStr">
        <is>
          <t>매매</t>
        </is>
      </c>
      <c r="F4789" s="4" t="n">
        <v>84960</v>
      </c>
      <c r="G4789" s="4" t="n">
        <v>620</v>
      </c>
      <c r="H4789" s="4" t="n">
        <v>188</v>
      </c>
      <c r="I4789" s="5" t="n">
        <v>451.9</v>
      </c>
      <c r="J4789" s="4" t="n">
        <v>178.5</v>
      </c>
      <c r="K4789" s="3" t="inlineStr">
        <is>
          <t>세종시 조치원읍 서창리 토지 급매 고려대,세종여고옆 제2종주거620㎡급매</t>
        </is>
      </c>
      <c r="L4789" s="6">
        <f>HYPERLINK("https://fin.land.naver.com/articles/2649357983", "매물Link")</f>
        <v/>
      </c>
      <c r="M4789" s="6">
        <f>HYPERLINK("https://map.naver.com/p/search/세종특별자치시 조치원읍 서창리 138-2", "지도Link")</f>
        <v/>
      </c>
      <c r="N4789" s="6">
        <f>HYPERLINK("http://www.eum.go.kr/web/ar/lu/luLandDet.jsp?pnu=3611025034101380002&amp;isNoScr=script&amp;mode=search", "토지이음")</f>
        <v/>
      </c>
      <c r="O4789" s="3" t="inlineStr">
        <is>
          <t>세종</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세종특별자치시 조치원읍 서창리 138-2</t>
        </is>
      </c>
      <c r="B4790" s="3" t="inlineStr">
        <is>
          <t>제2종일반주거지역</t>
        </is>
      </c>
      <c r="C4790" s="3" t="inlineStr">
        <is>
          <t>전</t>
        </is>
      </c>
      <c r="D4790" s="3" t="inlineStr">
        <is>
          <t>전</t>
        </is>
      </c>
      <c r="E4790" s="3" t="inlineStr">
        <is>
          <t>매매</t>
        </is>
      </c>
      <c r="F4790" s="4" t="n">
        <v>85000</v>
      </c>
      <c r="G4790" s="4" t="n">
        <v>620</v>
      </c>
      <c r="H4790" s="4" t="n">
        <v>188</v>
      </c>
      <c r="I4790" s="5" t="n">
        <v>452.1</v>
      </c>
      <c r="J4790" s="4" t="n">
        <v>178.5</v>
      </c>
      <c r="K4790" s="3" t="inlineStr">
        <is>
          <t>서창리 토지 매매</t>
        </is>
      </c>
      <c r="L4790" s="6">
        <f>HYPERLINK("https://fin.land.naver.com/articles/2648992439", "매물Link")</f>
        <v/>
      </c>
      <c r="M4790" s="6">
        <f>HYPERLINK("https://map.naver.com/p/search/세종특별자치시 조치원읍 서창리 138-2", "지도Link")</f>
        <v/>
      </c>
      <c r="N4790" s="6">
        <f>HYPERLINK("http://www.eum.go.kr/web/ar/lu/luLandDet.jsp?pnu=3611025034101380002&amp;isNoScr=script&amp;mode=search", "토지이음")</f>
        <v/>
      </c>
      <c r="O4790" s="3" t="inlineStr">
        <is>
          <t>김준희</t>
        </is>
      </c>
      <c r="P4790" s="3" t="n">
        <v>1</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세종특별자치시 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HYPERLINK("https://map.naver.com/p/search/세종특별자치시 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세종특별자치시 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HYPERLINK("https://map.naver.com/p/search/세종특별자치시 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세종특별자치시 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HYPERLINK("https://map.naver.com/p/search/세종특별자치시 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세종특별자치시 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HYPERLINK("https://map.naver.com/p/search/세종특별자치시 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세종특별자치시 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HYPERLINK("https://map.naver.com/p/search/세종특별자치시 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세종특별자치시 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HYPERLINK("https://map.naver.com/p/search/세종특별자치시 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세종특별자치시 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HYPERLINK("https://map.naver.com/p/search/세종특별자치시 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세종특별자치시 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HYPERLINK("https://map.naver.com/p/search/세종특별자치시 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세종특별자치시 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HYPERLINK("https://map.naver.com/p/search/세종특별자치시 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세종특별자치시 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HYPERLINK("https://map.naver.com/p/search/세종특별자치시 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세종특별자치시 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HYPERLINK("https://map.naver.com/p/search/세종특별자치시 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세종특별자치시 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HYPERLINK("https://map.naver.com/p/search/세종특별자치시 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세종특별자치시 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HYPERLINK("https://map.naver.com/p/search/세종특별자치시 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세종특별자치시 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토지급매 조치원역 인근 대규모 부지 정비소, 세차장, 요양원 추천</t>
        </is>
      </c>
      <c r="L4804" s="6">
        <f>HYPERLINK("https://fin.land.naver.com/articles/2646235676", "매물Link")</f>
        <v/>
      </c>
      <c r="M4804" s="6">
        <f>HYPERLINK("https://map.naver.com/p/search/세종특별자치시 조치원읍 서창리 93-20", "지도Link")</f>
        <v/>
      </c>
      <c r="N4804" s="6">
        <f>HYPERLINK("http://www.eum.go.kr/web/ar/lu/luLandDet.jsp?pnu=3611025034100930020&amp;isNoScr=script&amp;mode=search", "토지이음")</f>
        <v/>
      </c>
      <c r="O4804" s="3" t="inlineStr">
        <is>
          <t>다모아</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세종특별자치시 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HYPERLINK("https://map.naver.com/p/search/세종특별자치시 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세종특별자치시 조치원읍 서창리 93-20</t>
        </is>
      </c>
      <c r="B4806" s="3" t="inlineStr">
        <is>
          <t>자연녹지지역</t>
        </is>
      </c>
      <c r="C4806" s="3" t="inlineStr">
        <is>
          <t>답</t>
        </is>
      </c>
      <c r="D4806" s="3" t="inlineStr">
        <is>
          <t>답</t>
        </is>
      </c>
      <c r="E4806" s="3" t="inlineStr">
        <is>
          <t>매매</t>
        </is>
      </c>
      <c r="F4806" s="4" t="n">
        <v>150000</v>
      </c>
      <c r="G4806" s="4" t="n">
        <v>2920</v>
      </c>
      <c r="H4806" s="4" t="n">
        <v>883</v>
      </c>
      <c r="I4806" s="5" t="n">
        <v>169.9</v>
      </c>
      <c r="J4806" s="4" t="n">
        <v>59.7</v>
      </c>
      <c r="K4806" s="3" t="inlineStr">
        <is>
          <t>nan</t>
        </is>
      </c>
      <c r="L4806" s="6">
        <f>HYPERLINK("https://fin.land.naver.com/articles/2644060761", "매물Link")</f>
        <v/>
      </c>
      <c r="M4806" s="6">
        <f>HYPERLINK("https://map.naver.com/p/search/세종특별자치시 조치원읍 서창리 93-20", "지도Link")</f>
        <v/>
      </c>
      <c r="N4806" s="6">
        <f>HYPERLINK("http://www.eum.go.kr/web/ar/lu/luLandDet.jsp?pnu=3611025034100930020&amp;isNoScr=script&amp;mode=search", "토지이음")</f>
        <v/>
      </c>
      <c r="O4806" s="3" t="inlineStr">
        <is>
          <t>현대</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세종특별자치시 조치원읍 서창리 93-20</t>
        </is>
      </c>
      <c r="B4807" s="3" t="inlineStr">
        <is>
          <t>자연녹지지역</t>
        </is>
      </c>
      <c r="C4807" s="3" t="inlineStr">
        <is>
          <t>답</t>
        </is>
      </c>
      <c r="D4807" s="3" t="inlineStr">
        <is>
          <t>답</t>
        </is>
      </c>
      <c r="E4807" s="3" t="inlineStr">
        <is>
          <t>매매</t>
        </is>
      </c>
      <c r="F4807" s="4" t="n">
        <v>150000</v>
      </c>
      <c r="G4807" s="4" t="n">
        <v>2921</v>
      </c>
      <c r="H4807" s="4" t="n">
        <v>884</v>
      </c>
      <c r="I4807" s="5" t="n">
        <v>169.7</v>
      </c>
      <c r="J4807" s="4" t="n">
        <v>59.7</v>
      </c>
      <c r="K4807" s="3" t="inlineStr">
        <is>
          <t>서창리 자연녹지 토지,  대형토지, 창고 및 자동차시설 등</t>
        </is>
      </c>
      <c r="L4807" s="6">
        <f>HYPERLINK("https://fin.land.naver.com/articles/2649930474", "매물Link")</f>
        <v/>
      </c>
      <c r="M4807" s="6">
        <f>HYPERLINK("https://map.naver.com/p/search/세종특별자치시 조치원읍 서창리 93-20", "지도Link")</f>
        <v/>
      </c>
      <c r="N4807" s="6">
        <f>HYPERLINK("http://www.eum.go.kr/web/ar/lu/luLandDet.jsp?pnu=3611025034100930020&amp;isNoScr=script&amp;mode=search", "토지이음")</f>
        <v/>
      </c>
      <c r="O4807" s="3" t="inlineStr">
        <is>
          <t>스카이</t>
        </is>
      </c>
      <c r="P4807" s="3" t="n">
        <v>5</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세종특별자치시 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조치원 생활권 평탄 대형부지 소형창고 차량보관시설 검토</t>
        </is>
      </c>
      <c r="L4808" s="6">
        <f>HYPERLINK("https://fin.land.naver.com/articles/2644124377", "매물Link")</f>
        <v/>
      </c>
      <c r="M4808" s="6">
        <f>HYPERLINK("https://map.naver.com/p/search/세종특별자치시 조치원읍 서창리 93-20", "지도Link")</f>
        <v/>
      </c>
      <c r="N4808" s="6">
        <f>HYPERLINK("http://www.eum.go.kr/web/ar/lu/luLandDet.jsp?pnu=3611025034100930020&amp;isNoScr=script&amp;mode=search", "토지이음")</f>
        <v/>
      </c>
      <c r="O4808" s="3" t="inlineStr">
        <is>
          <t>세종소담황금</t>
        </is>
      </c>
      <c r="P4808" s="3" t="n">
        <v>1</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세종특별자치시 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HYPERLINK("https://map.naver.com/p/search/세종특별자치시 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세종특별자치시 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HYPERLINK("https://map.naver.com/p/search/세종특별자치시 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세종특별자치시 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HYPERLINK("https://map.naver.com/p/search/세종특별자치시 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세종특별자치시 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HYPERLINK("https://map.naver.com/p/search/세종특별자치시 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세종특별자치시 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HYPERLINK("https://map.naver.com/p/search/세종특별자치시 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세종특별자치시 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HYPERLINK("https://map.naver.com/p/search/세종특별자치시 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세종특별자치시 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HYPERLINK("https://map.naver.com/p/search/세종특별자치시 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세종특별자치시 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HYPERLINK("https://map.naver.com/p/search/세종특별자치시 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세종특별자치시 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HYPERLINK("https://map.naver.com/p/search/세종특별자치시 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세종특별자치시 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HYPERLINK("https://map.naver.com/p/search/세종특별자치시 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세종특별자치시 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HYPERLINK("https://map.naver.com/p/search/세종특별자치시 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세종특별자치시 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HYPERLINK("https://map.naver.com/p/search/세종특별자치시 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세종특별자치시 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HYPERLINK("https://map.naver.com/p/search/세종특별자치시 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세종특별자치시 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HYPERLINK("https://map.naver.com/p/search/세종특별자치시 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세종특별자치시 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이편한세상 아파트 983세대  초인접 공영주차장 이용가능</t>
        </is>
      </c>
      <c r="L4823" s="6">
        <f>HYPERLINK("https://fin.land.naver.com/articles/2649611209", "매물Link")</f>
        <v/>
      </c>
      <c r="M4823" s="6">
        <f>HYPERLINK("https://map.naver.com/p/search/세종특별자치시 조치원읍 신안리 436-3", "지도Link")</f>
        <v/>
      </c>
      <c r="N4823" s="6">
        <f>HYPERLINK("http://www.eum.go.kr/web/ar/lu/luLandDet.jsp?pnu=3611025032104360003&amp;isNoScr=script&amp;mode=search", "토지이음")</f>
        <v/>
      </c>
      <c r="O4823" s="3" t="inlineStr">
        <is>
          <t>그래그</t>
        </is>
      </c>
      <c r="P4823" s="3" t="n">
        <v>2</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세종특별자치시 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조치원읍 신안리 자연녹지 토지, 네모반듯, 신안지구 개발지, 단독주택</t>
        </is>
      </c>
      <c r="L4824" s="6">
        <f>HYPERLINK("https://fin.land.naver.com/articles/2645819987", "매물Link")</f>
        <v/>
      </c>
      <c r="M4824" s="6">
        <f>HYPERLINK("https://map.naver.com/p/search/세종특별자치시 조치원읍 신안리 436-3", "지도Link")</f>
        <v/>
      </c>
      <c r="N4824" s="6">
        <f>HYPERLINK("http://www.eum.go.kr/web/ar/lu/luLandDet.jsp?pnu=3611025032104360003&amp;isNoScr=script&amp;mode=search", "토지이음")</f>
        <v/>
      </c>
      <c r="O4824" s="3" t="inlineStr">
        <is>
          <t>스카이</t>
        </is>
      </c>
      <c r="P4824" s="3" t="n">
        <v>1</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세종특별자치시 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HYPERLINK("https://map.naver.com/p/search/세종특별자치시 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세종특별자치시 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HYPERLINK("https://map.naver.com/p/search/세종특별자치시 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세종특별자치시 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HYPERLINK("https://map.naver.com/p/search/세종특별자치시 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세종특별자치시 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HYPERLINK("https://map.naver.com/p/search/세종특별자치시 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세종특별자치시 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HYPERLINK("https://map.naver.com/p/search/세종특별자치시 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세종특별자치시 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HYPERLINK("https://map.naver.com/p/search/세종특별자치시 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세종특별자치시 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HYPERLINK("https://map.naver.com/p/search/세종특별자치시 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세종특별자치시 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HYPERLINK("https://map.naver.com/p/search/세종특별자치시 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세종특별자치시 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HYPERLINK("https://map.naver.com/p/search/세종특별자치시 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세종특별자치시 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HYPERLINK("https://map.naver.com/p/search/세종특별자치시 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세종특별자치시 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HYPERLINK("https://map.naver.com/p/search/세종특별자치시 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세종특별자치시 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HYPERLINK("https://map.naver.com/p/search/세종특별자치시 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세종특별자치시 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HYPERLINK("https://map.naver.com/p/search/세종특별자치시 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세종특별자치시 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HYPERLINK("https://map.naver.com/p/search/세종특별자치시 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세종특별자치시 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HYPERLINK("https://map.naver.com/p/search/세종특별자치시 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세종특별자치시 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HYPERLINK("https://map.naver.com/p/search/세종특별자치시 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세종특별자치시 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HYPERLINK("https://map.naver.com/p/search/세종특별자치시 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세종특별자치시 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HYPERLINK("https://map.naver.com/p/search/세종특별자치시 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세종특별자치시 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HYPERLINK("https://map.naver.com/p/search/세종특별자치시 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세종특별자치시 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HYPERLINK("https://map.naver.com/p/search/세종특별자치시 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세종특별자치시 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HYPERLINK("https://map.naver.com/p/search/세종특별자치시 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세종특별자치시 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HYPERLINK("https://map.naver.com/p/search/세종특별자치시 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세종특별자치시 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HYPERLINK("https://map.naver.com/p/search/세종특별자치시 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세종특별자치시 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HYPERLINK("https://map.naver.com/p/search/세종특별자치시 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세종특별자치시 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HYPERLINK("https://map.naver.com/p/search/세종특별자치시 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세종특별자치시 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HYPERLINK("https://map.naver.com/p/search/세종특별자치시 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세종특별자치시 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HYPERLINK("https://map.naver.com/p/search/세종특별자치시 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세종특별자치시 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HYPERLINK("https://map.naver.com/p/search/세종특별자치시 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세종특별자치시 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HYPERLINK("https://map.naver.com/p/search/세종특별자치시 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세종특별자치시 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HYPERLINK("https://map.naver.com/p/search/세종특별자치시 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세종특별자치시 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제1종일반주거지역, 코너토지,조치원하이마트,예술회관,조치원복컴등 인근위치</t>
        </is>
      </c>
      <c r="L4855" s="6">
        <f>HYPERLINK("https://fin.land.naver.com/articles/2643989277", "매물Link")</f>
        <v/>
      </c>
      <c r="M4855" s="6">
        <f>HYPERLINK("https://map.naver.com/p/search/세종특별자치시 조치원읍 침산리 219-3", "지도Link")</f>
        <v/>
      </c>
      <c r="N4855" s="6">
        <f>HYPERLINK("http://www.eum.go.kr/web/ar/lu/luLandDet.jsp?pnu=3611025028102190003&amp;isNoScr=script&amp;mode=search", "토지이음")</f>
        <v/>
      </c>
      <c r="O4855" s="3" t="inlineStr">
        <is>
          <t>세종일조</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세종특별자치시 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도도리파크, 문화예술회관 맞은편 토지</t>
        </is>
      </c>
      <c r="L4856" s="6">
        <f>HYPERLINK("https://fin.land.naver.com/articles/2648317472", "매물Link")</f>
        <v/>
      </c>
      <c r="M4856" s="6">
        <f>HYPERLINK("https://map.naver.com/p/search/세종특별자치시 조치원읍 침산리 219-3", "지도Link")</f>
        <v/>
      </c>
      <c r="N4856" s="6">
        <f>HYPERLINK("http://www.eum.go.kr/web/ar/lu/luLandDet.jsp?pnu=3611025028102190003&amp;isNoScr=script&amp;mode=search", "토지이음")</f>
        <v/>
      </c>
      <c r="O4856" s="3" t="inlineStr">
        <is>
          <t>KB세종</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세종특별자치시 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HYPERLINK("https://map.naver.com/p/search/세종특별자치시 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세종특별자치시 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HYPERLINK("https://map.naver.com/p/search/세종특별자치시 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세종특별자치시 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HYPERLINK("https://map.naver.com/p/search/세종특별자치시 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세종특별자치시 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HYPERLINK("https://map.naver.com/p/search/세종특별자치시 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세종특별자치시 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HYPERLINK("https://map.naver.com/p/search/세종특별자치시 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세종특별자치시 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HYPERLINK("https://map.naver.com/p/search/세종특별자치시 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세종특별자치시 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HYPERLINK("https://map.naver.com/p/search/세종특별자치시 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세종특별자치시 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HYPERLINK("https://map.naver.com/p/search/세종특별자치시 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세종특별자치시 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HYPERLINK("https://map.naver.com/p/search/세종특별자치시 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세종특별자치시 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HYPERLINK("https://map.naver.com/p/search/세종특별자치시 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세종특별자치시 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HYPERLINK("https://map.naver.com/p/search/세종특별자치시 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세종특별자치시 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HYPERLINK("https://map.naver.com/p/search/세종특별자치시 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세종특별자치시 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HYPERLINK("https://map.naver.com/p/search/세종특별자치시 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세종특별자치시 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집현동 위치 좋은 단독주택 토지매매, 사거리 코너 입지</t>
        </is>
      </c>
      <c r="L4870" s="6">
        <f>HYPERLINK("https://fin.land.naver.com/articles/2648137252", "매물Link")</f>
        <v/>
      </c>
      <c r="M4870" s="6">
        <f>HYPERLINK("https://map.naver.com/p/search/세종특별자치시 집현동 1226", "지도Link")</f>
        <v/>
      </c>
      <c r="N4870" s="6">
        <f>HYPERLINK("http://www.eum.go.kr/web/ar/lu/luLandDet.jsp?pnu=3611011800112260000&amp;isNoScr=script&amp;mode=search", "토지이음")</f>
        <v/>
      </c>
      <c r="O4870" s="3" t="inlineStr">
        <is>
          <t>명진</t>
        </is>
      </c>
      <c r="P4870" s="3" t="n">
        <v>1</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세종특별자치시 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HYPERLINK("https://map.naver.com/p/search/세종특별자치시 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세종특별자치시 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삼성천인근 남북트인위치 남쪽 보행로접함</t>
        </is>
      </c>
      <c r="L4872" s="6">
        <f>HYPERLINK("https://fin.land.naver.com/articles/2647126098", "매물Link")</f>
        <v/>
      </c>
      <c r="M4872" s="6">
        <f>HYPERLINK("https://map.naver.com/p/search/세종특별자치시 집현동 1226", "지도Link")</f>
        <v/>
      </c>
      <c r="N4872" s="6">
        <f>HYPERLINK("http://www.eum.go.kr/web/ar/lu/luLandDet.jsp?pnu=3611011800112260000&amp;isNoScr=script&amp;mode=search", "토지이음")</f>
        <v/>
      </c>
      <c r="O4872" s="3" t="inlineStr">
        <is>
          <t>세종스타</t>
        </is>
      </c>
      <c r="P4872" s="3" t="n">
        <v>2</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세종특별자치시 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코너각지 위치한 토지매매, 공원과 삼성천 뷰 가능</t>
        </is>
      </c>
      <c r="L4873" s="6">
        <f>HYPERLINK("https://fin.land.naver.com/articles/2649592856", "매물Link")</f>
        <v/>
      </c>
      <c r="M4873" s="6">
        <f>HYPERLINK("https://map.naver.com/p/search/세종특별자치시 집현동 1244", "지도Link")</f>
        <v/>
      </c>
      <c r="N4873" s="6">
        <f>HYPERLINK("http://www.eum.go.kr/web/ar/lu/luLandDet.jsp?pnu=3611011800112440000&amp;isNoScr=script&amp;mode=search", "토지이음")</f>
        <v/>
      </c>
      <c r="O4873" s="3" t="inlineStr">
        <is>
          <t>세종무지개</t>
        </is>
      </c>
      <c r="P4873" s="3" t="n">
        <v>1</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세종특별자치시 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최고위치 코너각지 공원뷰 삼성천뷰</t>
        </is>
      </c>
      <c r="L4874" s="6">
        <f>HYPERLINK("https://fin.land.naver.com/articles/2649295673", "매물Link")</f>
        <v/>
      </c>
      <c r="M4874" s="6">
        <f>HYPERLINK("https://map.naver.com/p/search/세종특별자치시 집현동 1244", "지도Link")</f>
        <v/>
      </c>
      <c r="N4874" s="6">
        <f>HYPERLINK("http://www.eum.go.kr/web/ar/lu/luLandDet.jsp?pnu=3611011800112440000&amp;isNoScr=script&amp;mode=search", "토지이음")</f>
        <v/>
      </c>
      <c r="O4874" s="3" t="inlineStr">
        <is>
          <t>세종스타</t>
        </is>
      </c>
      <c r="P4874" s="3" t="n">
        <v>2</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세종특별자치시 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HYPERLINK("https://map.naver.com/p/search/세종특별자치시 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세종특별자치시 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HYPERLINK("https://map.naver.com/p/search/세종특별자치시 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세종특별자치시 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HYPERLINK("https://map.naver.com/p/search/세종특별자치시 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세종특별자치시 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HYPERLINK("https://map.naver.com/p/search/세종특별자치시 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세종특별자치시 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HYPERLINK("https://map.naver.com/p/search/세종특별자치시 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세종특별자치시 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HYPERLINK("https://map.naver.com/p/search/세종특별자치시 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세종특별자치시 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HYPERLINK("https://map.naver.com/p/search/세종특별자치시 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세종특별자치시 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HYPERLINK("https://map.naver.com/p/search/세종특별자치시 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세종특별자치시 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HYPERLINK("https://map.naver.com/p/search/세종특별자치시 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세종특별자치시 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HYPERLINK("https://map.naver.com/p/search/세종특별자치시 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세종특별자치시 한솔동 1000</t>
        </is>
      </c>
      <c r="B4885" s="3" t="inlineStr">
        <is>
          <t>제1종전용주거지역</t>
        </is>
      </c>
      <c r="C4885" s="3" t="inlineStr">
        <is>
          <t>대</t>
        </is>
      </c>
      <c r="D4885" s="3" t="inlineStr">
        <is>
          <t>대</t>
        </is>
      </c>
      <c r="E4885" s="3" t="inlineStr">
        <is>
          <t>매매</t>
        </is>
      </c>
      <c r="F4885" s="4" t="n">
        <v>41500</v>
      </c>
      <c r="G4885" s="4" t="n">
        <v>277</v>
      </c>
      <c r="H4885" s="4" t="n">
        <v>84</v>
      </c>
      <c r="I4885" s="5" t="n">
        <v>494</v>
      </c>
      <c r="J4885" s="4" t="n">
        <v>314.9</v>
      </c>
      <c r="K4885" s="3" t="inlineStr">
        <is>
          <t>급매, 84.1p, 삼거리 코너, 상가와 공원 인근</t>
        </is>
      </c>
      <c r="L4885" s="6">
        <f>HYPERLINK("https://fin.land.naver.com/articles/2648349468", "매물Link")</f>
        <v/>
      </c>
      <c r="M4885" s="6">
        <f>HYPERLINK("https://map.naver.com/p/search/세종특별자치시 한솔동 1000", "지도Link")</f>
        <v/>
      </c>
      <c r="N4885" s="6">
        <f>HYPERLINK("http://www.eum.go.kr/web/ar/lu/luLandDet.jsp?pnu=3611010600110000000&amp;isNoScr=script&amp;mode=search", "토지이음")</f>
        <v/>
      </c>
      <c r="O4885" s="3" t="inlineStr">
        <is>
          <t>명진</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세종특별자치시 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HYPERLINK("https://map.naver.com/p/search/세종특별자치시 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세종특별자치시 한솔동 1000</t>
        </is>
      </c>
      <c r="B4887" s="3" t="inlineStr">
        <is>
          <t>제1종전용주거지역</t>
        </is>
      </c>
      <c r="C4887" s="3" t="inlineStr">
        <is>
          <t>대</t>
        </is>
      </c>
      <c r="D4887" s="3" t="inlineStr">
        <is>
          <t>대</t>
        </is>
      </c>
      <c r="E4887" s="3" t="inlineStr">
        <is>
          <t>매매</t>
        </is>
      </c>
      <c r="F4887" s="4" t="n">
        <v>41500</v>
      </c>
      <c r="G4887" s="4" t="n">
        <v>275</v>
      </c>
      <c r="H4887" s="4" t="n">
        <v>83</v>
      </c>
      <c r="I4887" s="5" t="n">
        <v>500</v>
      </c>
      <c r="J4887" s="4" t="n">
        <v>314.9</v>
      </c>
      <c r="K4887" s="3" t="inlineStr">
        <is>
          <t>급매, 총 84.1p, 삼거리 코너 토지</t>
        </is>
      </c>
      <c r="L4887" s="6">
        <f>HYPERLINK("https://fin.land.naver.com/articles/2646696153", "매물Link")</f>
        <v/>
      </c>
      <c r="M4887" s="6">
        <f>HYPERLINK("https://map.naver.com/p/search/세종특별자치시 한솔동 1000", "지도Link")</f>
        <v/>
      </c>
      <c r="N4887" s="6">
        <f>HYPERLINK("http://www.eum.go.kr/web/ar/lu/luLandDet.jsp?pnu=3611010600110000000&amp;isNoScr=script&amp;mode=search", "토지이음")</f>
        <v/>
      </c>
      <c r="O4887" s="3" t="inlineStr">
        <is>
          <t>세종무지개</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세종특별자치시 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HYPERLINK("https://map.naver.com/p/search/세종특별자치시 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세종특별자치시 한솔동 1006</t>
        </is>
      </c>
      <c r="B4889" s="3" t="inlineStr">
        <is>
          <t>제1종전용주거지역</t>
        </is>
      </c>
      <c r="C4889" s="3" t="inlineStr">
        <is>
          <t>대</t>
        </is>
      </c>
      <c r="D4889" s="3" t="inlineStr">
        <is>
          <t>대</t>
        </is>
      </c>
      <c r="E4889" s="3" t="inlineStr">
        <is>
          <t>매매</t>
        </is>
      </c>
      <c r="F4889" s="4" t="n">
        <v>59500</v>
      </c>
      <c r="G4889" s="4" t="n">
        <v>395</v>
      </c>
      <c r="H4889" s="4" t="n">
        <v>119</v>
      </c>
      <c r="I4889" s="5" t="n">
        <v>500</v>
      </c>
      <c r="J4889" s="4" t="n">
        <v>314.9</v>
      </c>
      <c r="K4889" s="3" t="inlineStr">
        <is>
          <t>넓은평형 평단가 저렴한택지 추가조율가능</t>
        </is>
      </c>
      <c r="L4889" s="6">
        <f>HYPERLINK("https://fin.land.naver.com/articles/2645487020", "매물Link")</f>
        <v/>
      </c>
      <c r="M4889" s="6">
        <f>HYPERLINK("https://map.naver.com/p/search/세종특별자치시 한솔동 1006", "지도Link")</f>
        <v/>
      </c>
      <c r="N4889" s="6">
        <f>HYPERLINK("http://www.eum.go.kr/web/ar/lu/luLandDet.jsp?pnu=3611010600110060000&amp;isNoScr=script&amp;mode=search", "토지이음")</f>
        <v/>
      </c>
      <c r="O4889" s="3" t="inlineStr">
        <is>
          <t>세종스타</t>
        </is>
      </c>
      <c r="P4889" s="3" t="n">
        <v>2</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세종특별자치시 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총 119.7p, 대형면적 단독주택토지, 한솔초.중.고 인접</t>
        </is>
      </c>
      <c r="L4890" s="6">
        <f>HYPERLINK("https://fin.land.naver.com/articles/2648349379", "매물Link")</f>
        <v/>
      </c>
      <c r="M4890" s="6">
        <f>HYPERLINK("https://map.naver.com/p/search/세종특별자치시 한솔동 1006", "지도Link")</f>
        <v/>
      </c>
      <c r="N4890" s="6">
        <f>HYPERLINK("http://www.eum.go.kr/web/ar/lu/luLandDet.jsp?pnu=3611010600110060000&amp;isNoScr=script&amp;mode=search", "토지이음")</f>
        <v/>
      </c>
      <c r="O4890" s="3" t="inlineStr">
        <is>
          <t>명진</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세종특별자치시 한솔동 1006</t>
        </is>
      </c>
      <c r="B4891" s="3" t="inlineStr">
        <is>
          <t>제1종전용주거지역</t>
        </is>
      </c>
      <c r="C4891" s="3" t="inlineStr">
        <is>
          <t>대</t>
        </is>
      </c>
      <c r="D4891" s="3" t="inlineStr">
        <is>
          <t>대</t>
        </is>
      </c>
      <c r="E4891" s="3" t="inlineStr">
        <is>
          <t>매매</t>
        </is>
      </c>
      <c r="F4891" s="4" t="n">
        <v>62000</v>
      </c>
      <c r="G4891" s="4" t="n">
        <v>394</v>
      </c>
      <c r="H4891" s="4" t="n">
        <v>119</v>
      </c>
      <c r="I4891" s="5" t="n">
        <v>521</v>
      </c>
      <c r="J4891" s="4" t="n">
        <v>314.9</v>
      </c>
      <c r="K4891" s="3" t="inlineStr">
        <is>
          <t>단독주택 토지, 학군인접</t>
        </is>
      </c>
      <c r="L4891" s="6">
        <f>HYPERLINK("https://fin.land.naver.com/articles/2646690148", "매물Link")</f>
        <v/>
      </c>
      <c r="M4891" s="6">
        <f>HYPERLINK("https://map.naver.com/p/search/세종특별자치시 한솔동 1006", "지도Link")</f>
        <v/>
      </c>
      <c r="N4891" s="6">
        <f>HYPERLINK("http://www.eum.go.kr/web/ar/lu/luLandDet.jsp?pnu=3611010600110060000&amp;isNoScr=script&amp;mode=search", "토지이음")</f>
        <v/>
      </c>
      <c r="O4891" s="3" t="inlineStr">
        <is>
          <t>세종무지개</t>
        </is>
      </c>
      <c r="P4891" s="3" t="n">
        <v>1</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세종특별자치시 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HYPERLINK("https://map.naver.com/p/search/세종특별자치시 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세종특별자치시 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HYPERLINK("https://map.naver.com/p/search/세종특별자치시 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세종특별자치시 한솔동 1036</t>
        </is>
      </c>
      <c r="B4894" s="3" t="inlineStr">
        <is>
          <t>제1종전용주거지역</t>
        </is>
      </c>
      <c r="C4894" s="3" t="inlineStr">
        <is>
          <t>대</t>
        </is>
      </c>
      <c r="D4894" s="3" t="inlineStr">
        <is>
          <t>대</t>
        </is>
      </c>
      <c r="E4894" s="3" t="inlineStr">
        <is>
          <t>매매</t>
        </is>
      </c>
      <c r="F4894" s="4" t="n">
        <v>55000</v>
      </c>
      <c r="G4894" s="4" t="n">
        <v>405</v>
      </c>
      <c r="H4894" s="4" t="n">
        <v>123</v>
      </c>
      <c r="I4894" s="5" t="n">
        <v>447.2</v>
      </c>
      <c r="J4894" s="4" t="n">
        <v>290.7</v>
      </c>
      <c r="K4894" s="3" t="inlineStr">
        <is>
          <t>제일 넓은 면적,  채광 좋음, 가격 조율 가능, 급매</t>
        </is>
      </c>
      <c r="L4894" s="6">
        <f>HYPERLINK("https://fin.land.naver.com/articles/2643912673", "매물Link")</f>
        <v/>
      </c>
      <c r="M4894" s="6">
        <f>HYPERLINK("https://map.naver.com/p/search/세종특별자치시 한솔동 1036", "지도Link")</f>
        <v/>
      </c>
      <c r="N4894" s="6">
        <f>HYPERLINK("http://www.eum.go.kr/web/ar/lu/luLandDet.jsp?pnu=3611010600110360000&amp;isNoScr=script&amp;mode=search", "토지이음")</f>
        <v/>
      </c>
      <c r="O4894" s="3" t="inlineStr">
        <is>
          <t>세종삼촌</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세종특별자치시 한솔동 1036</t>
        </is>
      </c>
      <c r="B4895" s="3" t="inlineStr">
        <is>
          <t>제1종전용주거지역</t>
        </is>
      </c>
      <c r="C4895" s="3" t="inlineStr">
        <is>
          <t>대</t>
        </is>
      </c>
      <c r="D4895" s="3" t="inlineStr">
        <is>
          <t>대</t>
        </is>
      </c>
      <c r="E4895" s="3" t="inlineStr">
        <is>
          <t>매매</t>
        </is>
      </c>
      <c r="F4895" s="4" t="n">
        <v>55000</v>
      </c>
      <c r="G4895" s="4" t="n">
        <v>403</v>
      </c>
      <c r="H4895" s="4" t="n">
        <v>122</v>
      </c>
      <c r="I4895" s="5" t="n">
        <v>450.8</v>
      </c>
      <c r="J4895" s="4" t="n">
        <v>290.7</v>
      </c>
      <c r="K4895" s="3" t="inlineStr">
        <is>
          <t>가격 좋은 넓은 평형 토지매매, 조율도 가능</t>
        </is>
      </c>
      <c r="L4895" s="6">
        <f>HYPERLINK("https://fin.land.naver.com/articles/2644185684", "매물Link")</f>
        <v/>
      </c>
      <c r="M4895" s="6">
        <f>HYPERLINK("https://map.naver.com/p/search/세종특별자치시 한솔동 1036", "지도Link")</f>
        <v/>
      </c>
      <c r="N4895" s="6">
        <f>HYPERLINK("http://www.eum.go.kr/web/ar/lu/luLandDet.jsp?pnu=3611010600110360000&amp;isNoScr=script&amp;mode=search", "토지이음")</f>
        <v/>
      </c>
      <c r="O4895" s="3" t="inlineStr">
        <is>
          <t>세종무지개</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세종특별자치시 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HYPERLINK("https://map.naver.com/p/search/세종특별자치시 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세종특별자치시 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HYPERLINK("https://map.naver.com/p/search/세종특별자치시 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세종특별자치시 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HYPERLINK("https://map.naver.com/p/search/세종특별자치시 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세종특별자치시 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근린공원인근, 조율가능</t>
        </is>
      </c>
      <c r="L4899" s="6">
        <f>HYPERLINK("https://fin.land.naver.com/articles/2646690642", "매물Link")</f>
        <v/>
      </c>
      <c r="M4899" s="6">
        <f>HYPERLINK("https://map.naver.com/p/search/세종특별자치시 한솔동 1080", "지도Link")</f>
        <v/>
      </c>
      <c r="N4899" s="6">
        <f>HYPERLINK("http://www.eum.go.kr/web/ar/lu/luLandDet.jsp?pnu=3611010600110800000&amp;isNoScr=script&amp;mode=search", "토지이음")</f>
        <v/>
      </c>
      <c r="O4899" s="3" t="inlineStr">
        <is>
          <t>세종무지개</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세종특별자치시 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한솔동 전원주택지, 위치좋은 토지</t>
        </is>
      </c>
      <c r="L4900" s="6">
        <f>HYPERLINK("https://fin.land.naver.com/articles/2648904535", "매물Link")</f>
        <v/>
      </c>
      <c r="M4900" s="6">
        <f>HYPERLINK("https://map.naver.com/p/search/세종특별자치시 한솔동 1080", "지도Link")</f>
        <v/>
      </c>
      <c r="N4900" s="6">
        <f>HYPERLINK("http://www.eum.go.kr/web/ar/lu/luLandDet.jsp?pnu=3611010600110800000&amp;isNoScr=script&amp;mode=search", "토지이음")</f>
        <v/>
      </c>
      <c r="O4900" s="3" t="inlineStr">
        <is>
          <t>명진</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세종특별자치시 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HYPERLINK("https://map.naver.com/p/search/세종특별자치시 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세종특별자치시 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HYPERLINK("https://map.naver.com/p/search/세종특별자치시 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세종특별자치시 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95.4p, 삼거리코너 맞은편, 새뜸1단지 앞 단독주택 토지</t>
        </is>
      </c>
      <c r="L4903" s="6">
        <f>HYPERLINK("https://fin.land.naver.com/articles/2649004548", "매물Link")</f>
        <v/>
      </c>
      <c r="M4903" s="6">
        <f>HYPERLINK("https://map.naver.com/p/search/세종특별자치시 한솔동 1098", "지도Link")</f>
        <v/>
      </c>
      <c r="N4903" s="6">
        <f>HYPERLINK("http://www.eum.go.kr/web/ar/lu/luLandDet.jsp?pnu=3611010600110980000&amp;isNoScr=script&amp;mode=search", "토지이음")</f>
        <v/>
      </c>
      <c r="O4903" s="3" t="inlineStr">
        <is>
          <t>명진</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세종특별자치시 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조건 파격조율가능 도심속전원 시내 시외 진출입편리 이곳은 엘도라도입니다</t>
        </is>
      </c>
      <c r="L4904" s="6">
        <f>HYPERLINK("https://fin.land.naver.com/articles/2648082909", "매물Link")</f>
        <v/>
      </c>
      <c r="M4904" s="6">
        <f>HYPERLINK("https://map.naver.com/p/search/세종특별자치시 한솔동 1098", "지도Link")</f>
        <v/>
      </c>
      <c r="N4904" s="6">
        <f>HYPERLINK("http://www.eum.go.kr/web/ar/lu/luLandDet.jsp?pnu=3611010600110980000&amp;isNoScr=script&amp;mode=search", "토지이음")</f>
        <v/>
      </c>
      <c r="O4904" s="3" t="inlineStr">
        <is>
          <t>세종시삼성래미안</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세종특별자치시 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삼거리 코너입지, 한솔동 단독주택지</t>
        </is>
      </c>
      <c r="L4905" s="6">
        <f>HYPERLINK("https://fin.land.naver.com/articles/2644183076", "매물Link")</f>
        <v/>
      </c>
      <c r="M4905" s="6">
        <f>HYPERLINK("https://map.naver.com/p/search/세종특별자치시 한솔동 1098", "지도Link")</f>
        <v/>
      </c>
      <c r="N4905" s="6">
        <f>HYPERLINK("http://www.eum.go.kr/web/ar/lu/luLandDet.jsp?pnu=3611010600110980000&amp;isNoScr=script&amp;mode=search", "토지이음")</f>
        <v/>
      </c>
      <c r="O4905" s="3" t="inlineStr">
        <is>
          <t>세종무지개</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세종특별자치시 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HYPERLINK("https://map.naver.com/p/search/세종특별자치시 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세종특별자치시 한솔동 1122</t>
        </is>
      </c>
      <c r="B4907" s="3" t="inlineStr">
        <is>
          <t>제1종전용주거지역</t>
        </is>
      </c>
      <c r="C4907" s="3" t="inlineStr">
        <is>
          <t>대</t>
        </is>
      </c>
      <c r="D4907" s="3" t="inlineStr">
        <is>
          <t>대</t>
        </is>
      </c>
      <c r="E4907" s="3" t="inlineStr">
        <is>
          <t>매매</t>
        </is>
      </c>
      <c r="F4907" s="4" t="n">
        <v>78790</v>
      </c>
      <c r="G4907" s="4" t="n">
        <v>310</v>
      </c>
      <c r="H4907" s="4" t="n">
        <v>94</v>
      </c>
      <c r="I4907" s="5" t="n">
        <v>838.2</v>
      </c>
      <c r="J4907" s="4" t="n">
        <v>376.9</v>
      </c>
      <c r="K4907" s="3" t="inlineStr">
        <is>
          <t>세종시 인기주택단지, 조율가</t>
        </is>
      </c>
      <c r="L4907" s="6">
        <f>HYPERLINK("https://fin.land.naver.com/articles/2645211525", "매물Link")</f>
        <v/>
      </c>
      <c r="M4907" s="6">
        <f>HYPERLINK("https://map.naver.com/p/search/세종특별자치시 한솔동 1122", "지도Link")</f>
        <v/>
      </c>
      <c r="N4907" s="6">
        <f>HYPERLINK("http://www.eum.go.kr/web/ar/lu/luLandDet.jsp?pnu=3611010600111220000&amp;isNoScr=script&amp;mode=search", "토지이음")</f>
        <v/>
      </c>
      <c r="O4907" s="3" t="inlineStr">
        <is>
          <t>바로그</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세종특별자치시 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총 94p, 한솔동 단독주택지 토지</t>
        </is>
      </c>
      <c r="L4908" s="6">
        <f>HYPERLINK("https://fin.land.naver.com/articles/2648901069", "매물Link")</f>
        <v/>
      </c>
      <c r="M4908" s="6">
        <f>HYPERLINK("https://map.naver.com/p/search/세종특별자치시 한솔동 1122", "지도Link")</f>
        <v/>
      </c>
      <c r="N4908" s="6">
        <f>HYPERLINK("http://www.eum.go.kr/web/ar/lu/luLandDet.jsp?pnu=3611010600111220000&amp;isNoScr=script&amp;mode=search", "토지이음")</f>
        <v/>
      </c>
      <c r="O4908" s="3" t="inlineStr">
        <is>
          <t>명진</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세종특별자치시 한솔동 1122</t>
        </is>
      </c>
      <c r="B4909" s="3" t="inlineStr">
        <is>
          <t>제1종전용주거지역</t>
        </is>
      </c>
      <c r="C4909" s="3" t="inlineStr">
        <is>
          <t>대</t>
        </is>
      </c>
      <c r="D4909" s="3" t="inlineStr">
        <is>
          <t>대</t>
        </is>
      </c>
      <c r="E4909" s="3" t="inlineStr">
        <is>
          <t>매매</t>
        </is>
      </c>
      <c r="F4909" s="4" t="n">
        <v>80000</v>
      </c>
      <c r="G4909" s="4" t="n">
        <v>310</v>
      </c>
      <c r="H4909" s="4" t="n">
        <v>94</v>
      </c>
      <c r="I4909" s="5" t="n">
        <v>851.1</v>
      </c>
      <c r="J4909" s="4" t="n">
        <v>376.9</v>
      </c>
      <c r="K4909" s="3" t="inlineStr">
        <is>
          <t>한솔동 단독주택 토지매매</t>
        </is>
      </c>
      <c r="L4909" s="6">
        <f>HYPERLINK("https://fin.land.naver.com/articles/2644189125", "매물Link")</f>
        <v/>
      </c>
      <c r="M4909" s="6">
        <f>HYPERLINK("https://map.naver.com/p/search/세종특별자치시 한솔동 1122", "지도Link")</f>
        <v/>
      </c>
      <c r="N4909" s="6">
        <f>HYPERLINK("http://www.eum.go.kr/web/ar/lu/luLandDet.jsp?pnu=3611010600111220000&amp;isNoScr=script&amp;mode=search", "토지이음")</f>
        <v/>
      </c>
      <c r="O4909" s="3" t="inlineStr">
        <is>
          <t>세종무지개</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세종특별자치시 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HYPERLINK("https://map.naver.com/p/search/세종특별자치시 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세종특별자치시 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HYPERLINK("https://map.naver.com/p/search/세종특별자치시 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세종특별자치시 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HYPERLINK("https://map.naver.com/p/search/세종특별자치시 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세종특별자치시 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총 123.4p, 새뜸1단지 맞은편</t>
        </is>
      </c>
      <c r="L4913" s="6">
        <f>HYPERLINK("https://fin.land.naver.com/articles/2648127460", "매물Link")</f>
        <v/>
      </c>
      <c r="M4913" s="6">
        <f>HYPERLINK("https://map.naver.com/p/search/세종특별자치시 한솔동 1175", "지도Link")</f>
        <v/>
      </c>
      <c r="N4913" s="6">
        <f>HYPERLINK("http://www.eum.go.kr/web/ar/lu/luLandDet.jsp?pnu=3611010600111750000&amp;isNoScr=script&amp;mode=search", "토지이음")</f>
        <v/>
      </c>
      <c r="O4913" s="3" t="inlineStr">
        <is>
          <t>명진</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세종특별자치시 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넓은 평형 토지매매, 한솔동</t>
        </is>
      </c>
      <c r="L4914" s="6">
        <f>HYPERLINK("https://fin.land.naver.com/articles/2644186059", "매물Link")</f>
        <v/>
      </c>
      <c r="M4914" s="6">
        <f>HYPERLINK("https://map.naver.com/p/search/세종특별자치시 한솔동 1175", "지도Link")</f>
        <v/>
      </c>
      <c r="N4914" s="6">
        <f>HYPERLINK("http://www.eum.go.kr/web/ar/lu/luLandDet.jsp?pnu=3611010600111750000&amp;isNoScr=script&amp;mode=search", "토지이음")</f>
        <v/>
      </c>
      <c r="O4914" s="3" t="inlineStr">
        <is>
          <t>세종무지개</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세종특별자치시 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HYPERLINK("https://map.naver.com/p/search/세종특별자치시 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세종특별자치시 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HYPERLINK("https://map.naver.com/p/search/세종특별자치시 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세종특별자치시 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101p.단독택지.1분거리.학원.마트.초중고.5분.단독주택.전원주택.추천</t>
        </is>
      </c>
      <c r="L4917" s="6">
        <f>HYPERLINK("https://fin.land.naver.com/articles/2649858793", "매물Link")</f>
        <v/>
      </c>
      <c r="M4917" s="6">
        <f>HYPERLINK("https://map.naver.com/p/search/세종특별자치시 한솔동 1194", "지도Link")</f>
        <v/>
      </c>
      <c r="N4917" s="6">
        <f>HYPERLINK("http://www.eum.go.kr/web/ar/lu/luLandDet.jsp?pnu=3611010600111940000&amp;isNoScr=script&amp;mode=search", "토지이음")</f>
        <v/>
      </c>
      <c r="O4917" s="3" t="inlineStr">
        <is>
          <t>원</t>
        </is>
      </c>
      <c r="P4917" s="3" t="n">
        <v>1</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세종특별자치시 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급매 추가조율가능 한솔D2 최저가 초중고도보 상권인접</t>
        </is>
      </c>
      <c r="L4918" s="6">
        <f>HYPERLINK("https://fin.land.naver.com/articles/2648979487", "매물Link")</f>
        <v/>
      </c>
      <c r="M4918" s="6">
        <f>HYPERLINK("https://map.naver.com/p/search/세종특별자치시 한솔동 1194", "지도Link")</f>
        <v/>
      </c>
      <c r="N4918" s="6">
        <f>HYPERLINK("http://www.eum.go.kr/web/ar/lu/luLandDet.jsp?pnu=3611010600111940000&amp;isNoScr=script&amp;mode=search", "토지이음")</f>
        <v/>
      </c>
      <c r="O4918" s="3" t="inlineStr">
        <is>
          <t>세종스타</t>
        </is>
      </c>
      <c r="P4918" s="3" t="n">
        <v>2</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세종특별자치시 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HYPERLINK("https://map.naver.com/p/search/세종특별자치시 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세종특별자치시 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HYPERLINK("https://map.naver.com/p/search/세종특별자치시 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세종특별자치시 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HYPERLINK("https://map.naver.com/p/search/세종특별자치시 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세종특별자치시 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HYPERLINK("https://map.naver.com/p/search/세종특별자치시 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세종특별자치시 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HYPERLINK("https://map.naver.com/p/search/세종특별자치시 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세종특별자치시 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HYPERLINK("https://map.naver.com/p/search/세종특별자치시 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세종특별자치시 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주변 편익 시설과 교통 좋은 위치</t>
        </is>
      </c>
      <c r="L4925" s="6">
        <f>HYPERLINK("https://fin.land.naver.com/articles/2645522248", "매물Link")</f>
        <v/>
      </c>
      <c r="M4925" s="6">
        <f>HYPERLINK("https://map.naver.com/p/search/세종특별자치시 한솔동 1211", "지도Link")</f>
        <v/>
      </c>
      <c r="N4925" s="6">
        <f>HYPERLINK("http://www.eum.go.kr/web/ar/lu/luLandDet.jsp?pnu=3611010600112110000&amp;isNoScr=script&amp;mode=search", "토지이음")</f>
        <v/>
      </c>
      <c r="O4925" s="3" t="inlineStr">
        <is>
          <t>소나무</t>
        </is>
      </c>
      <c r="P4925" s="3" t="n">
        <v>1</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세종특별자치시 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한솔동d2 최저가 조율가능</t>
        </is>
      </c>
      <c r="L4926" s="6">
        <f>HYPERLINK("https://fin.land.naver.com/articles/2650195191", "매물Link")</f>
        <v/>
      </c>
      <c r="M4926" s="6">
        <f>HYPERLINK("https://map.naver.com/p/search/세종특별자치시 한솔동 1211", "지도Link")</f>
        <v/>
      </c>
      <c r="N4926" s="6">
        <f>HYPERLINK("http://www.eum.go.kr/web/ar/lu/luLandDet.jsp?pnu=3611010600112110000&amp;isNoScr=script&amp;mode=search", "토지이음")</f>
        <v/>
      </c>
      <c r="O4926" s="3" t="inlineStr">
        <is>
          <t>세종스타</t>
        </is>
      </c>
      <c r="P4926" s="3" t="n">
        <v>2</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세종특별자치시 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HYPERLINK("https://map.naver.com/p/search/세종특별자치시 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세종특별자치시 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HYPERLINK("https://map.naver.com/p/search/세종특별자치시 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세종특별자치시 한솔동 865</t>
        </is>
      </c>
      <c r="B4929" s="3" t="inlineStr">
        <is>
          <t>제1종전용주거지역</t>
        </is>
      </c>
      <c r="C4929" s="3" t="inlineStr">
        <is>
          <t>대</t>
        </is>
      </c>
      <c r="D4929" s="3" t="inlineStr">
        <is>
          <t>대</t>
        </is>
      </c>
      <c r="E4929" s="3" t="inlineStr">
        <is>
          <t>매매</t>
        </is>
      </c>
      <c r="F4929" s="4" t="n">
        <v>80000</v>
      </c>
      <c r="G4929" s="4" t="n">
        <v>353</v>
      </c>
      <c r="H4929" s="4" t="n">
        <v>107</v>
      </c>
      <c r="I4929" s="5" t="n">
        <v>747.7</v>
      </c>
      <c r="J4929" s="4" t="n">
        <v>403</v>
      </c>
      <c r="K4929" s="3" t="inlineStr">
        <is>
          <t>총 107.1p, 한솔동 단독주택지</t>
        </is>
      </c>
      <c r="L4929" s="6">
        <f>HYPERLINK("https://fin.land.naver.com/articles/2647421737", "매물Link")</f>
        <v/>
      </c>
      <c r="M4929" s="6">
        <f>HYPERLINK("https://map.naver.com/p/search/세종특별자치시 한솔동 865", "지도Link")</f>
        <v/>
      </c>
      <c r="N4929" s="6">
        <f>HYPERLINK("http://www.eum.go.kr/web/ar/lu/luLandDet.jsp?pnu=3611010600108650000&amp;isNoScr=script&amp;mode=search", "토지이음")</f>
        <v/>
      </c>
      <c r="O4929" s="3" t="inlineStr">
        <is>
          <t>명진</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세종특별자치시 한솔동 865</t>
        </is>
      </c>
      <c r="B4930" s="3" t="inlineStr">
        <is>
          <t>제1종전용주거지역</t>
        </is>
      </c>
      <c r="C4930" s="3" t="inlineStr">
        <is>
          <t>대</t>
        </is>
      </c>
      <c r="D4930" s="3" t="inlineStr">
        <is>
          <t>대</t>
        </is>
      </c>
      <c r="E4930" s="3" t="inlineStr">
        <is>
          <t>매매</t>
        </is>
      </c>
      <c r="F4930" s="4" t="n">
        <v>80000</v>
      </c>
      <c r="G4930" s="4" t="n">
        <v>352</v>
      </c>
      <c r="H4930" s="4" t="n">
        <v>106</v>
      </c>
      <c r="I4930" s="5" t="n">
        <v>754.7</v>
      </c>
      <c r="J4930" s="4" t="n">
        <v>403</v>
      </c>
      <c r="K4930" s="3" t="inlineStr">
        <is>
          <t>공원 인근, 조용한고 편리한 단독주택지 토지매매</t>
        </is>
      </c>
      <c r="L4930" s="6">
        <f>HYPERLINK("https://fin.land.naver.com/articles/2644070631", "매물Link")</f>
        <v/>
      </c>
      <c r="M4930" s="6">
        <f>HYPERLINK("https://map.naver.com/p/search/세종특별자치시 한솔동 865", "지도Link")</f>
        <v/>
      </c>
      <c r="N4930" s="6">
        <f>HYPERLINK("http://www.eum.go.kr/web/ar/lu/luLandDet.jsp?pnu=3611010600108650000&amp;isNoScr=script&amp;mode=search", "토지이음")</f>
        <v/>
      </c>
      <c r="O4930" s="3" t="inlineStr">
        <is>
          <t>세종무지개</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세종특별자치시 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HYPERLINK("https://map.naver.com/p/search/세종특별자치시 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세종특별자치시 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HYPERLINK("https://map.naver.com/p/search/세종특별자치시 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세종특별자치시 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HYPERLINK("https://map.naver.com/p/search/세종특별자치시 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세종특별자치시 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생활 인프라가 완비된 2생활권 내 희소성 높은 알짜 토지.</t>
        </is>
      </c>
      <c r="L4934" s="6">
        <f>HYPERLINK("https://fin.land.naver.com/articles/2648288398", "매물Link")</f>
        <v/>
      </c>
      <c r="M4934" s="6">
        <f>HYPERLINK("https://map.naver.com/p/search/세종특별자치시 한솔동 989", "지도Link")</f>
        <v/>
      </c>
      <c r="N4934" s="6">
        <f>HYPERLINK("http://www.eum.go.kr/web/ar/lu/luLandDet.jsp?pnu=3611010600109890000&amp;isNoScr=script&amp;mode=search", "토지이음")</f>
        <v/>
      </c>
      <c r="O4934" s="3" t="inlineStr">
        <is>
          <t>이룸</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세종특별자치시 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나리꽃어린이공원  인접,학군 한솔초.중.고, 이마트 인근,가격조정가능</t>
        </is>
      </c>
      <c r="L4935" s="6">
        <f>HYPERLINK("https://fin.land.naver.com/articles/2647522138", "매물Link")</f>
        <v/>
      </c>
      <c r="M4935" s="6">
        <f>HYPERLINK("https://map.naver.com/p/search/세종특별자치시 한솔동 989", "지도Link")</f>
        <v/>
      </c>
      <c r="N4935" s="6">
        <f>HYPERLINK("http://www.eum.go.kr/web/ar/lu/luLandDet.jsp?pnu=3611010600109890000&amp;isNoScr=script&amp;mode=search", "토지이음")</f>
        <v/>
      </c>
      <c r="O4935" s="3" t="inlineStr">
        <is>
          <t>고운맘</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세종특별자치시 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HYPERLINK("https://map.naver.com/p/search/세종특별자치시 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세종특별자치시 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HYPERLINK("https://map.naver.com/p/search/세종특별자치시 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세종특별자치시 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HYPERLINK("https://map.naver.com/p/search/세종특별자치시 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세종특별자치시 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HYPERLINK("https://map.naver.com/p/search/세종특별자치시 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세종특별자치시 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HYPERLINK("https://map.naver.com/p/search/세종특별자치시 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세종특별자치시 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HYPERLINK("https://map.naver.com/p/search/세종특별자치시 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세종특별자치시 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HYPERLINK("https://map.naver.com/p/search/세종특별자치시 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세종특별자치시 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HYPERLINK("https://map.naver.com/p/search/세종특별자치시 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세종특별자치시 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HYPERLINK("https://map.naver.com/p/search/세종특별자치시 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세종특별자치시 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HYPERLINK("https://map.naver.com/p/search/세종특별자치시 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세종특별자치시 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HYPERLINK("https://map.naver.com/p/search/세종특별자치시 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세종특별자치시 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HYPERLINK("https://map.naver.com/p/search/세종특별자치시 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세종특별자치시 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HYPERLINK("https://map.naver.com/p/search/세종특별자치시 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세종특별자치시 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남향 원수산조망 뒷쪽 보행로접</t>
        </is>
      </c>
      <c r="L4949" s="6">
        <f>HYPERLINK("https://fin.land.naver.com/articles/2648046733", "매물Link")</f>
        <v/>
      </c>
      <c r="M4949" s="6">
        <f>HYPERLINK("https://map.naver.com/p/search/세종특별자치시 해밀동 777", "지도Link")</f>
        <v/>
      </c>
      <c r="N4949" s="6">
        <f>HYPERLINK("http://www.eum.go.kr/web/ar/lu/luLandDet.jsp?pnu=3611011600107770000&amp;isNoScr=script&amp;mode=search", "토지이음")</f>
        <v/>
      </c>
      <c r="O4949" s="3" t="inlineStr">
        <is>
          <t>세종스타</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세종특별자치시 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해밀동 가격 좋은 단독주택 매매, 공원인근</t>
        </is>
      </c>
      <c r="L4950" s="6">
        <f>HYPERLINK("https://fin.land.naver.com/articles/2647424555", "매물Link")</f>
        <v/>
      </c>
      <c r="M4950" s="6">
        <f>HYPERLINK("https://map.naver.com/p/search/세종특별자치시 해밀동 777", "지도Link")</f>
        <v/>
      </c>
      <c r="N4950" s="6">
        <f>HYPERLINK("http://www.eum.go.kr/web/ar/lu/luLandDet.jsp?pnu=3611011600107770000&amp;isNoScr=script&amp;mode=search", "토지이음")</f>
        <v/>
      </c>
      <c r="O4950" s="3" t="inlineStr">
        <is>
          <t>세종무지개</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세종특별자치시 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HYPERLINK("https://map.naver.com/p/search/세종특별자치시 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2026-09-17T09:17:08Z</dcterms:created>
  <dcterms:modified xsi:type="dcterms:W3CDTF">2026-09-17T09:17:21Z</dcterms:modified>
</cp:coreProperties>
</file>