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HYPERLINK("https://fin.land.naver.com/articles/2655907891",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4</v>
      </c>
      <c r="V61" s="5" t="n">
        <v>147.8</v>
      </c>
      <c r="W61" s="4" t="n">
        <v>1590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HYPERLINK("https://fin.land.naver.com/articles/2652234361",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2동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주2동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100-6</t>
        </is>
      </c>
      <c r="B151" s="3" t="inlineStr">
        <is>
          <t>자연녹지지역</t>
        </is>
      </c>
      <c r="C151" s="3" t="inlineStr">
        <is>
          <t>임야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13</v>
      </c>
      <c r="W151" s="4" t="n">
        <v>2703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맹지</t>
        </is>
      </c>
    </row>
    <row r="152">
      <c r="A152" s="3" t="inlineStr">
        <is>
          <t>남이면 가좌리 123-4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66.8</v>
      </c>
      <c r="W152" s="4" t="n">
        <v>1652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HYPERLINK("https://fin.land.naver.com/articles/2655925326",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156-13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 10분거리이며 청주시내권 근접한 위치의 창고로 소매점 가능</t>
        </is>
      </c>
      <c r="Q156" s="6">
        <f>HYPERLINK("https://fin.land.naver.com/articles/2652625375",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65.5</v>
      </c>
      <c r="W156" s="4" t="n">
        <v>2851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156-17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2467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156-18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기타</t>
        </is>
      </c>
      <c r="E160" s="3" t="inlineStr">
        <is>
          <t>월세</t>
        </is>
      </c>
      <c r="F160" s="4" t="n">
        <v>3500</v>
      </c>
      <c r="G160" s="4" t="n">
        <v>375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남이면 상가창고임대 마당넓고 단독사용 층고높은 귀한매물</t>
        </is>
      </c>
      <c r="Q160" s="6">
        <f>HYPERLINK("https://fin.land.naver.com/articles/2653207257", "매물Link")</f>
        <v/>
      </c>
      <c r="R160" s="6">
        <f>HYPERLINK("https://map.naver.com/p/search/남이면 가좌리 156-18",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대박</t>
        </is>
      </c>
      <c r="U160" s="4" t="n">
        <v>1</v>
      </c>
      <c r="V160" s="5" t="n">
        <v>66.09999999999999</v>
      </c>
      <c r="W160" s="4" t="n">
        <v>2476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166-3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65.40000000000001</v>
      </c>
      <c r="W163" s="4" t="n">
        <v>1140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168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65.40000000000001</v>
      </c>
      <c r="W164" s="4" t="n">
        <v>1370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176-2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1322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232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65.40000000000001</v>
      </c>
      <c r="W166" s="4" t="n">
        <v>1984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갈원리 117-5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46.7</v>
      </c>
      <c r="W167" s="4" t="n">
        <v>2421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갈원리 142-2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41.4</v>
      </c>
      <c r="W168" s="4" t="n">
        <v>812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268-4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5395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79-4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48.5</v>
      </c>
      <c r="W170" s="4" t="n">
        <v>631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290</v>
      </c>
      <c r="H172" s="4" t="n">
        <v>2579</v>
      </c>
      <c r="I172" s="4" t="n">
        <v>780</v>
      </c>
      <c r="J172" s="5" t="n">
        <v>0.4</v>
      </c>
      <c r="K172" s="4" t="n">
        <v>2579</v>
      </c>
      <c r="L172" s="4" t="n">
        <v>780</v>
      </c>
      <c r="M172" s="5" t="n">
        <v>0.4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바로 진출입 가능한 공장입니다</t>
        </is>
      </c>
      <c r="Q172" s="6">
        <f>HYPERLINK("https://fin.land.naver.com/articles/2653100457", "매물Link")</f>
        <v/>
      </c>
      <c r="R172" s="6">
        <f>HYPERLINK("https://map.naver.com/p/search/남이면 갈원리 8",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44.9</v>
      </c>
      <c r="W172" s="4" t="n">
        <v>2579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사진 有, 2차선 대로에서 바로 진입, 주변 민가 없음</t>
        </is>
      </c>
      <c r="Q175" s="6">
        <f>HYPERLINK("https://fin.land.naver.com/articles/2655789429",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태성</t>
        </is>
      </c>
      <c r="U175" s="4" t="n">
        <v>3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8-1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44.6</v>
      </c>
      <c r="W176" s="4" t="n">
        <v>1279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4" t="n">
        <v>940</v>
      </c>
      <c r="L177" s="4" t="n">
        <v>284</v>
      </c>
      <c r="M177" s="5" t="n">
        <v>2.1</v>
      </c>
      <c r="N177" s="3" t="inlineStr">
        <is>
          <t>2</t>
        </is>
      </c>
      <c r="O177" s="3" t="inlineStr">
        <is>
          <t>-</t>
        </is>
      </c>
      <c r="P177" s="3" t="inlineStr">
        <is>
          <t>3.3㎡평당 임대료 2만 1천원으로 저렴하고 물류창고 활용가능한 공장</t>
        </is>
      </c>
      <c r="Q177" s="6">
        <f>HYPERLINK("https://fin.land.naver.com/articles/2655957490", "매물Link")</f>
        <v/>
      </c>
      <c r="R177" s="6">
        <f>HYPERLINK("https://map.naver.com/p/search/남이면 구미리 1",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42.8</v>
      </c>
      <c r="W177" s="4" t="n">
        <v>2361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대형차량 진출입 용이, 사무동 있음, 남청주ic 14분</t>
        </is>
      </c>
      <c r="Q179" s="6">
        <f>HYPERLINK("https://fin.land.naver.com/articles/2655786024",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나는</t>
        </is>
      </c>
      <c r="U179" s="4" t="n">
        <v>5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150-11</t>
        </is>
      </c>
      <c r="B180" s="3" t="inlineStr">
        <is>
          <t>보전관리지역</t>
        </is>
      </c>
      <c r="C180" s="3" t="inlineStr">
        <is>
          <t>대</t>
        </is>
      </c>
      <c r="D180" s="3" t="inlineStr">
        <is>
          <t>창고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4491</v>
      </c>
      <c r="I180" s="4" t="n">
        <v>1359</v>
      </c>
      <c r="J180" s="5" t="n">
        <v>0.5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청주ic, 남청주ic 15분 야드 넓어 야적장 필요한 업체추천</t>
        </is>
      </c>
      <c r="Q180" s="6">
        <f>HYPERLINK("https://fin.land.naver.com/articles/2655671247", "매물Link")</f>
        <v/>
      </c>
      <c r="R180" s="6">
        <f>HYPERLINK("https://map.naver.com/p/search/남이면 구미리 150-11",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29.8</v>
      </c>
      <c r="W180" s="4" t="n">
        <v>4491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12분, 물류창고로도 좋은 신축급 공장 임대</t>
        </is>
      </c>
      <c r="Q182" s="6">
        <f>HYPERLINK("https://fin.land.naver.com/articles/2655981121",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 有, 위치 및 도로여건 좋음, 야드 넓음, 신축급 300형 임대</t>
        </is>
      </c>
      <c r="Q184" s="6">
        <f>HYPERLINK("https://fin.land.naver.com/articles/2655092815",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태성</t>
        </is>
      </c>
      <c r="U184" s="4" t="n">
        <v>2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소음걱정 없는 대형 물류창고 임대 대형차 진출입 용이 도크설치 완료</t>
        </is>
      </c>
      <c r="Q188" s="6">
        <f>HYPERLINK("https://fin.land.naver.com/articles/2655881720",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202-1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45034</v>
      </c>
      <c r="I189" s="4" t="n">
        <v>13623</v>
      </c>
      <c r="J189" s="5" t="n">
        <v>0.4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물류창고 임대</t>
        </is>
      </c>
      <c r="Q189" s="6">
        <f>HYPERLINK("https://fin.land.naver.com/articles/2652355624", "매물Link")</f>
        <v/>
      </c>
      <c r="R189" s="6">
        <f>HYPERLINK("https://map.naver.com/p/search/남이면 구미리 202-1",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37.2</v>
      </c>
      <c r="W189" s="4" t="n">
        <v>17187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231-8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36.4</v>
      </c>
      <c r="W190" s="4" t="n">
        <v>1417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즉시입주가능, 민원소지없는 2종근생제조업, 준식축급공장</t>
        </is>
      </c>
      <c r="Q191" s="6">
        <f>HYPERLINK("https://fin.land.naver.com/articles/2652908776",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계확관리지역 내 제2종근생 제조업소</t>
        </is>
      </c>
      <c r="Q192" s="6">
        <f>HYPERLINK("https://fin.land.naver.com/articles/2655152936",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새로이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235-24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186</v>
      </c>
      <c r="L193" s="4" t="n">
        <v>56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건물 56형 현재 공실 2종근생 제조업</t>
        </is>
      </c>
      <c r="Q193" s="6">
        <f>HYPERLINK("https://fin.land.naver.com/articles/2654155033", "매물Link")</f>
        <v/>
      </c>
      <c r="R193" s="6">
        <f>HYPERLINK("https://map.naver.com/p/search/남이면 구미리 235-24",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위더스</t>
        </is>
      </c>
      <c r="U193" s="4" t="n">
        <v>1</v>
      </c>
      <c r="V193" s="5" t="n">
        <v>39.2</v>
      </c>
      <c r="W193" s="4" t="n">
        <v>1808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4" t="n">
        <v>382</v>
      </c>
      <c r="L194" s="4" t="n">
        <v>116</v>
      </c>
      <c r="M194" s="5" t="n">
        <v>724.1</v>
      </c>
      <c r="N194" s="3" t="inlineStr">
        <is>
          <t>1</t>
        </is>
      </c>
      <c r="O194" s="3" t="inlineStr">
        <is>
          <t>-</t>
        </is>
      </c>
      <c r="P194" s="3" t="inlineStr">
        <is>
          <t>준신축공장으로 매매,임대 가능, 즉시입주가능</t>
        </is>
      </c>
      <c r="Q194" s="6">
        <f>HYPERLINK("https://fin.land.naver.com/articles/2654805433",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층고높아 물류창고로 적합한 신축공장</t>
        </is>
      </c>
      <c r="Q195" s="6">
        <f>HYPERLINK("https://fin.land.naver.com/articles/2654861003",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280000</v>
      </c>
      <c r="G196" s="4" t="n">
        <v>0</v>
      </c>
      <c r="H196" s="4" t="n">
        <v>5897</v>
      </c>
      <c r="I196" s="4" t="n">
        <v>1784</v>
      </c>
      <c r="J196" s="5" t="n">
        <v>157</v>
      </c>
      <c r="K196" s="4" t="n">
        <v>1920</v>
      </c>
      <c r="L196" s="4" t="n">
        <v>581</v>
      </c>
      <c r="M196" s="5" t="n">
        <v>481.9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HYPERLINK("https://fin.land.naver.com/articles/2652007789",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2948</v>
      </c>
      <c r="I200" s="4" t="n">
        <v>892</v>
      </c>
      <c r="J200" s="5" t="n">
        <v>0.8</v>
      </c>
      <c r="K200" s="4" t="n">
        <v>998</v>
      </c>
      <c r="L200" s="4" t="n">
        <v>302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신축단독공장,2차선인접,민원소지적고 대형차 진출입용이</t>
        </is>
      </c>
      <c r="Q200" s="6">
        <f>HYPERLINK("https://fin.land.naver.com/articles/2655509889",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992</v>
      </c>
      <c r="L201" s="4" t="n">
        <v>300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 有, 신축 중인 1개동에 300형씩 임대, 2개동 사용 가능</t>
        </is>
      </c>
      <c r="Q201" s="6">
        <f>HYPERLINK("https://fin.land.naver.com/articles/2655785512",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259-8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4.4</v>
      </c>
      <c r="W203" s="4" t="n">
        <v>1427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260-1</t>
        </is>
      </c>
      <c r="B204" s="3" t="inlineStr">
        <is>
          <t>계획관리지역</t>
        </is>
      </c>
      <c r="C204" s="3" t="inlineStr">
        <is>
          <t>전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16.9</v>
      </c>
      <c r="W204" s="4" t="n">
        <v>1623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277</t>
        </is>
      </c>
      <c r="B205" s="3" t="inlineStr">
        <is>
          <t>계획관리지역</t>
        </is>
      </c>
      <c r="C205" s="3" t="inlineStr">
        <is>
          <t>창고용지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43.5</v>
      </c>
      <c r="W205" s="4" t="n">
        <v>24837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277</t>
        </is>
      </c>
      <c r="B206" s="3" t="inlineStr">
        <is>
          <t>계획관리지역</t>
        </is>
      </c>
      <c r="C206" s="3" t="inlineStr">
        <is>
          <t>창고용지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남청주IC인접.물류 이동 최적.넓은 규모의 대형창고.물류창고</t>
        </is>
      </c>
      <c r="Q206" s="6">
        <f>HYPERLINK("https://fin.land.naver.com/articles/2654721266",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재일</t>
        </is>
      </c>
      <c r="U206" s="4" t="n">
        <v>3</v>
      </c>
      <c r="V206" s="5" t="n">
        <v>43.5</v>
      </c>
      <c r="W206" s="4" t="n">
        <v>24837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277</t>
        </is>
      </c>
      <c r="B207" s="3" t="inlineStr">
        <is>
          <t>계획관리지역</t>
        </is>
      </c>
      <c r="C207" s="3" t="inlineStr">
        <is>
          <t>창고용지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대형창고 임대</t>
        </is>
      </c>
      <c r="Q207" s="6">
        <f>HYPERLINK("https://fin.land.naver.com/articles/2652355457", "매물Link")</f>
        <v/>
      </c>
      <c r="R207" s="6">
        <f>HYPERLINK("https://map.naver.com/p/search/남이면 구미리 277",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43.5</v>
      </c>
      <c r="W207" s="4" t="n">
        <v>24837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28-5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44.6</v>
      </c>
      <c r="W208" s="4" t="n">
        <v>5540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구미리 281-16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43.1</v>
      </c>
      <c r="W209" s="4" t="n">
        <v>3779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281-16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43.1</v>
      </c>
      <c r="W210" s="4" t="n">
        <v>3779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구암리 171-1</t>
        </is>
      </c>
      <c r="B211" s="3" t="inlineStr">
        <is>
          <t>자연녹지지역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37.1</v>
      </c>
      <c r="W211" s="4" t="n">
        <v>728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구암리 308-16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49.5</v>
      </c>
      <c r="W212" s="4" t="n">
        <v>3524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대련리 57-1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87.59999999999999</v>
      </c>
      <c r="W213" s="4" t="n">
        <v>2687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57-4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76.09999999999999</v>
      </c>
      <c r="W214" s="4" t="n">
        <v>2454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57-8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72.3</v>
      </c>
      <c r="W215" s="4" t="n">
        <v>722.5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대련리 86-1</t>
        </is>
      </c>
      <c r="B216" s="3" t="inlineStr">
        <is>
          <t>자연녹지지역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71.8</v>
      </c>
      <c r="W216" s="4" t="n">
        <v>1842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대련리 86-1</t>
        </is>
      </c>
      <c r="B217" s="3" t="inlineStr">
        <is>
          <t>자연녹지지역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71.8</v>
      </c>
      <c r="W217" s="4" t="n">
        <v>1842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부용외천리 528-2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79.7</v>
      </c>
      <c r="W218" s="4" t="n">
        <v>2312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63-1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33.1</v>
      </c>
      <c r="W219" s="4" t="n">
        <v>4923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796-1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56.6</v>
      </c>
      <c r="W220" s="4" t="n">
        <v>1782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860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73.40000000000001</v>
      </c>
      <c r="W221" s="4" t="n">
        <v>252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73.40000000000001</v>
      </c>
      <c r="W222" s="4" t="n">
        <v>252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부용외천리 862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73.40000000000001</v>
      </c>
      <c r="W223" s="4" t="n">
        <v>1261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부용외천리 864-1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407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B1</t>
        </is>
      </c>
      <c r="P224" s="3" t="inlineStr">
        <is>
          <t>nan</t>
        </is>
      </c>
      <c r="Q224" s="6">
        <f>HYPERLINK("https://fin.land.naver.com/articles/2654654773",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지웰선우</t>
        </is>
      </c>
      <c r="U224" s="4" t="n">
        <v>1</v>
      </c>
      <c r="V224" s="5" t="n">
        <v>72</v>
      </c>
      <c r="W224" s="4" t="n">
        <v>3684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864-1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408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-</t>
        </is>
      </c>
      <c r="P225" s="3" t="inlineStr">
        <is>
          <t>즉시 사용 가능 남청주 IC 인접 광고 및 접근성 좋은 공장 및 창고 임</t>
        </is>
      </c>
      <c r="Q225" s="6">
        <f>HYPERLINK("https://fin.land.naver.com/articles/2655394842",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72</v>
      </c>
      <c r="W225" s="4" t="n">
        <v>3684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HYPERLINK("https://fin.land.naver.com/articles/2655488975",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870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75.09999999999999</v>
      </c>
      <c r="W227" s="4" t="n">
        <v>4210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870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2분거리,호이스트 2.8톤6개,층고 높고 야드 넓어 활용도 큼</t>
        </is>
      </c>
      <c r="Q228" s="6">
        <f>HYPERLINK("https://fin.land.naver.com/articles/2654660502",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금화랜드</t>
        </is>
      </c>
      <c r="U228" s="4" t="n">
        <v>2</v>
      </c>
      <c r="V228" s="5" t="n">
        <v>75.09999999999999</v>
      </c>
      <c r="W228" s="4" t="n">
        <v>4210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91-1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37</v>
      </c>
      <c r="W229" s="4" t="n">
        <v>1736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91-1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37</v>
      </c>
      <c r="W230" s="4" t="n">
        <v>1736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334-9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7000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사진有. 5t호이스트, 금속가공업 등. 민원없는지역</t>
        </is>
      </c>
      <c r="Q231" s="6">
        <f>HYPERLINK("https://fin.land.naver.com/articles/2652010760", "매물Link")</f>
        <v/>
      </c>
      <c r="R231" s="6">
        <f>HYPERLINK("https://map.naver.com/p/search/남이면 비룡리 334-9",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오너스</t>
        </is>
      </c>
      <c r="U231" s="4" t="n">
        <v>1</v>
      </c>
      <c r="V231" s="5" t="n">
        <v>37.5</v>
      </c>
      <c r="W231" s="4" t="n">
        <v>3452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비룡리 334-9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 ic 13분 오송청주 세종 등 접근성 우수 호이스트 5톤 설치</t>
        </is>
      </c>
      <c r="Q232" s="6">
        <f>HYPERLINK("https://fin.land.naver.com/articles/2652344609", "매물Link")</f>
        <v/>
      </c>
      <c r="R232" s="6">
        <f>HYPERLINK("https://map.naver.com/p/search/남이면 비룡리 334-9",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37.5</v>
      </c>
      <c r="W232" s="4" t="n">
        <v>3452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비룡리 336-14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34.2</v>
      </c>
      <c r="W233" s="4" t="n">
        <v>4543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비룡리 336-18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28.8</v>
      </c>
      <c r="W234" s="4" t="n">
        <v>4960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건물55형 대지340형</t>
        </is>
      </c>
      <c r="Q235" s="6">
        <f>HYPERLINK("https://fin.land.naver.com/articles/2655507861",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144-2</t>
        </is>
      </c>
      <c r="B236" s="3" t="inlineStr">
        <is>
          <t>보전녹지지역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신축건물로 주차공간 넓음</t>
        </is>
      </c>
      <c r="Q236" s="6">
        <f>HYPERLINK("https://fin.land.naver.com/articles/2653383986", "매물Link")</f>
        <v/>
      </c>
      <c r="R236" s="6">
        <f>HYPERLINK("https://map.naver.com/p/search/남이면 상발리 144-2",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길마루</t>
        </is>
      </c>
      <c r="U236" s="4" t="n">
        <v>1</v>
      </c>
      <c r="V236" s="5" t="n">
        <v>54.4</v>
      </c>
      <c r="W236" s="4" t="n">
        <v>1133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상발리 144-2</t>
        </is>
      </c>
      <c r="B237" s="3" t="inlineStr">
        <is>
          <t>보전녹지지역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HYPERLINK("https://fin.land.naver.com/articles/2652200633",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54.4</v>
      </c>
      <c r="W237" s="4" t="n">
        <v>1133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B1</t>
        </is>
      </c>
      <c r="P240" s="3" t="inlineStr">
        <is>
          <t>청주 남이 상발삼거리, 신축급 제2종근생, 도로변, 넓은 대지</t>
        </is>
      </c>
      <c r="Q240" s="6">
        <f>HYPERLINK("https://fin.land.naver.com/articles/2653740974",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라인</t>
        </is>
      </c>
      <c r="U240" s="4" t="n">
        <v>2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60형 신축 공장 창고 제2종근생</t>
        </is>
      </c>
      <c r="Q242" s="6">
        <f>HYPERLINK("https://fin.land.naver.com/articles/2651814834",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86-1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61.7</v>
      </c>
      <c r="W243" s="4" t="n">
        <v>2698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87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61.7</v>
      </c>
      <c r="W244" s="4" t="n">
        <v>2271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120</v>
      </c>
      <c r="H247" s="4" t="n">
        <v>935</v>
      </c>
      <c r="I247" s="4" t="n">
        <v>283</v>
      </c>
      <c r="J247" s="5" t="n">
        <v>0.4</v>
      </c>
      <c r="K247" s="4" t="n">
        <v>360</v>
      </c>
      <c r="L247" s="4" t="n">
        <v>109</v>
      </c>
      <c r="M247" s="5" t="n">
        <v>1.1</v>
      </c>
      <c r="N247" s="3" t="inlineStr">
        <is>
          <t>2</t>
        </is>
      </c>
      <c r="O247" s="3" t="inlineStr">
        <is>
          <t>B2</t>
        </is>
      </c>
      <c r="P247" s="3" t="inlineStr">
        <is>
          <t>대형차량 진출입 용이, 주차 완전 편리,완전 깨끗한 2종근생 제조업소</t>
        </is>
      </c>
      <c r="Q247" s="6">
        <f>HYPERLINK("https://fin.land.naver.com/articles/2653555067",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HYPERLINK("https://fin.land.naver.com/articles/2655913098",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HYPERLINK("https://fin.land.naver.com/articles/2655672570",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HYPERLINK("https://fin.land.naver.com/articles/2654155444",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1010</v>
      </c>
      <c r="I255" s="4" t="n">
        <v>306</v>
      </c>
      <c r="J255" s="5" t="n">
        <v>0.6</v>
      </c>
      <c r="K255" s="4" t="n">
        <v>182</v>
      </c>
      <c r="L255" s="4" t="n">
        <v>55</v>
      </c>
      <c r="M255" s="5" t="n">
        <v>3.2</v>
      </c>
      <c r="N255" s="3" t="inlineStr">
        <is>
          <t>1</t>
        </is>
      </c>
      <c r="O255" s="3" t="inlineStr">
        <is>
          <t>-</t>
        </is>
      </c>
      <c r="P255" s="3" t="inlineStr">
        <is>
          <t>2차선변에 위치한 소규모창고시설</t>
        </is>
      </c>
      <c r="Q255" s="6">
        <f>HYPERLINK("https://fin.land.naver.com/articles/2651890982",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HYPERLINK("https://fin.land.naver.com/articles/2655910923",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제이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석실리 2차선도로 단독소형 신축공장.창고임대 대형차 진출입가능</t>
        </is>
      </c>
      <c r="Q257" s="6">
        <f>HYPERLINK("https://fin.land.naver.com/articles/2655682481",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석곡회전교차로 가까운 위치, 대형 차량 진출입 용이, 120형 임대</t>
        </is>
      </c>
      <c r="Q261" s="6">
        <f>HYPERLINK("https://fin.land.naver.com/articles/2651805707",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36-14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239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435</t>
        </is>
      </c>
      <c r="B266" s="3" t="inlineStr">
        <is>
          <t>자연녹지지역</t>
        </is>
      </c>
      <c r="C266" s="3" t="inlineStr">
        <is>
          <t>도로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435", "지도Link")</f>
        <v/>
      </c>
      <c r="S266" s="6">
        <f>HYPERLINK("http://www.eum.go.kr/web/ar/lu/luLandDet.jsp?pnu=4311231037104350000&amp;isNoScr=script&amp;mode=search",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16.2</v>
      </c>
      <c r="W266" s="4" t="n">
        <v>2844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사진有 저온창고 임대</t>
        </is>
      </c>
      <c r="Q268" s="6">
        <f>HYPERLINK("https://fin.land.naver.com/articles/2653029028",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HYPERLINK("https://fin.land.naver.com/articles/2654893254",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남청주IC와 가까워 진출입이 용이하며, 1층 공장,연구실 3층 사무실</t>
        </is>
      </c>
      <c r="Q279" s="6">
        <f>HYPERLINK("https://fin.land.naver.com/articles/2654986030",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척산리 113-3</t>
        </is>
      </c>
      <c r="B305" s="3" t="inlineStr">
        <is>
          <t>생산관리지역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47.6</v>
      </c>
      <c r="W305" s="4" t="n">
        <v>2494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113-3</t>
        </is>
      </c>
      <c r="B306" s="3" t="inlineStr">
        <is>
          <t>생산관리지역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47.6</v>
      </c>
      <c r="W306" s="4" t="n">
        <v>2494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HYPERLINK("https://fin.land.naver.com/articles/2656042964",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136-1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59.2</v>
      </c>
      <c r="W312" s="4" t="n">
        <v>1470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65</v>
      </c>
      <c r="W313" s="4" t="n">
        <v>1462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157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65</v>
      </c>
      <c r="W314" s="4" t="n">
        <v>1462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64.90000000000001</v>
      </c>
      <c r="W315" s="4" t="n">
        <v>1436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</t>
        </is>
      </c>
      <c r="B316" s="3" t="inlineStr">
        <is>
          <t>계획관리지역</t>
        </is>
      </c>
      <c r="C316" s="3" t="inlineStr">
        <is>
          <t>잡종지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65.09999999999999</v>
      </c>
      <c r="W316" s="4" t="n">
        <v>7000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327-1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65.09999999999999</v>
      </c>
      <c r="W322" s="4" t="n">
        <v>1249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343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50.8</v>
      </c>
      <c r="W323" s="4" t="n">
        <v>886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빠른입주 가능,남청주IC 인근위치, 야드 넓어 대형차량 회전 용이</t>
        </is>
      </c>
      <c r="Q330" s="6">
        <f>HYPERLINK("https://fin.land.naver.com/articles/2655142292",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금화랜드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HYPERLINK("https://fin.land.naver.com/articles/2654996678",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39-2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60.9</v>
      </c>
      <c r="W335" s="4" t="n">
        <v>1158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소로한면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575-2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64.90000000000001</v>
      </c>
      <c r="W341" s="4" t="n">
        <v>1435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592-1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144.9</v>
      </c>
      <c r="W342" s="4" t="n">
        <v>1021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세로각지(가)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652-1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64.7</v>
      </c>
      <c r="W346" s="4" t="n">
        <v>1336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665-4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61</v>
      </c>
      <c r="W348" s="4" t="n">
        <v>893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HYPERLINK("https://fin.land.naver.com/articles/2655369431",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388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HYPERLINK("https://fin.land.naver.com/articles/2655763493",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3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공장 임대</t>
        </is>
      </c>
      <c r="Q370" s="6">
        <f>HYPERLINK("https://fin.land.naver.com/articles/2652988007",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 완료, 단독건물, 1층소매점,2층공장 겸 사무실</t>
        </is>
      </c>
      <c r="Q376" s="6">
        <f>HYPERLINK("https://fin.land.naver.com/articles/2655921066",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(주)미르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부2동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7.65m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HYPERLINK("https://fin.land.naver.com/articles/2655625134",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사진0, 제조업 가능하고 대형차량 진입 자유로운 창고임대</t>
        </is>
      </c>
      <c r="Q397" s="6">
        <f>HYPERLINK("https://fin.land.naver.com/articles/2655582732",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소형 창고 임대 대로변에 접하여 진출입 매우 용이 근생건물</t>
        </is>
      </c>
      <c r="Q399" s="6">
        <f>HYPERLINK("https://fin.land.naver.com/articles/2654877663",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태광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공장</t>
        </is>
      </c>
      <c r="AB401" s="3" t="inlineStr">
        <is>
          <t>4.5m</t>
        </is>
      </c>
      <c r="AC401" s="3" t="inlineStr">
        <is>
          <t>2012-02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10동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4" t="n">
        <v>760</v>
      </c>
      <c r="L411" s="4" t="n">
        <v>230</v>
      </c>
      <c r="M411" s="5" t="n">
        <v>3.7</v>
      </c>
      <c r="N411" s="3" t="inlineStr">
        <is>
          <t>1</t>
        </is>
      </c>
      <c r="O411" s="3" t="inlineStr">
        <is>
          <t>-</t>
        </is>
      </c>
      <c r="P411" s="3" t="inlineStr">
        <is>
          <t>귀한 냉동창고와 냉장저온작업실을 구비한 창고 사무실 공간 완비</t>
        </is>
      </c>
      <c r="Q411" s="6">
        <f>HYPERLINK("https://fin.land.naver.com/articles/2654874674",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4" t="n">
        <v>726</v>
      </c>
      <c r="L412" s="4" t="n">
        <v>220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사진有 공장 임대</t>
        </is>
      </c>
      <c r="Q412" s="6">
        <f>HYPERLINK("https://fin.land.naver.com/articles/2652988089",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월드</t>
        </is>
      </c>
      <c r="U412" s="4" t="n">
        <v>2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4" t="n">
        <v>733</v>
      </c>
      <c r="L413" s="4" t="n">
        <v>222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남청주IC인근 임대료 저렴한 넓은 창고임대 진출입 용이 전력높음</t>
        </is>
      </c>
      <c r="Q413" s="6">
        <f>HYPERLINK("https://fin.land.naver.com/articles/2655626606",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17동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2005-12</t>
        </is>
      </c>
      <c r="AD417" s="3" t="inlineStr">
        <is>
          <t>세로한면(가)</t>
        </is>
      </c>
    </row>
    <row r="418">
      <c r="A418" s="3" t="inlineStr">
        <is>
          <t>부강면 행산리 371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4251</v>
      </c>
      <c r="L421" s="4" t="n">
        <v>1286</v>
      </c>
      <c r="M421" s="5" t="n">
        <v>1.3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HYPERLINK("https://fin.land.naver.com/articles/2655431787", "매물Link")</f>
        <v/>
      </c>
      <c r="R421" s="6">
        <f>HYPERLINK("https://map.naver.com/p/search/소정면 고등리 695",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크라운</t>
        </is>
      </c>
      <c r="U421" s="4" t="n">
        <v>2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2247</v>
      </c>
      <c r="L423" s="4" t="n">
        <v>680</v>
      </c>
      <c r="M423" s="5" t="n">
        <v>2.5</v>
      </c>
      <c r="N423" s="3" t="inlineStr">
        <is>
          <t>1</t>
        </is>
      </c>
      <c r="O423" s="3" t="inlineStr">
        <is>
          <t>-</t>
        </is>
      </c>
      <c r="P423" s="3" t="inlineStr">
        <is>
          <t>소정면 세종첨단산업단지내 공장임대 전기700kw 층고12m 호이스트다수</t>
        </is>
      </c>
      <c r="Q423" s="6">
        <f>HYPERLINK("https://fin.land.naver.com/articles/2655371143", "매물Link")</f>
        <v/>
      </c>
      <c r="R423" s="6">
        <f>HYPERLINK("https://map.naver.com/p/search/소정면 고등리 695",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4" t="n">
        <v>5520</v>
      </c>
      <c r="L426" s="4" t="n">
        <v>1670</v>
      </c>
      <c r="M426" s="5" t="n">
        <v>1377.2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6분, 남풍세IC 9분 소요</t>
        </is>
      </c>
      <c r="Q426" s="6">
        <f>HYPERLINK("https://fin.land.naver.com/articles/2654663049", "매물Link")</f>
        <v/>
      </c>
      <c r="R426" s="6">
        <f>HYPERLINK("https://map.naver.com/p/search/소정면 고등리 710-1",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미더스</t>
        </is>
      </c>
      <c r="U426" s="4" t="n">
        <v>3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4" t="n">
        <v>3676</v>
      </c>
      <c r="L427" s="4" t="n">
        <v>1112</v>
      </c>
      <c r="M427" s="5" t="n">
        <v>2.2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 6기 높은 층고, 넓은 마당 대형 공장 임대</t>
        </is>
      </c>
      <c r="Q427" s="6">
        <f>HYPERLINK("https://fin.land.naver.com/articles/2654666090", "매물Link")</f>
        <v/>
      </c>
      <c r="R427" s="6">
        <f>HYPERLINK("https://map.naver.com/p/search/소정면 고등리 710-1",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5515</v>
      </c>
      <c r="L428" s="4" t="n">
        <v>1668</v>
      </c>
      <c r="M428" s="5" t="n">
        <v>1.5</v>
      </c>
      <c r="N428" s="3" t="inlineStr">
        <is>
          <t>3</t>
        </is>
      </c>
      <c r="O428" s="3" t="inlineStr">
        <is>
          <t>-</t>
        </is>
      </c>
      <c r="P428" s="3" t="inlineStr">
        <is>
          <t>즉시입주가능,호이스트 다수 설치된 층고 높고 야드 넓은 공장</t>
        </is>
      </c>
      <c r="Q428" s="6">
        <f>HYPERLINK("https://fin.land.naver.com/articles/2654960761", "매물Link")</f>
        <v/>
      </c>
      <c r="R428" s="6">
        <f>HYPERLINK("https://map.naver.com/p/search/소정면 고등리 710-1",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금화랜드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3676</v>
      </c>
      <c r="L429" s="4" t="n">
        <v>1112</v>
      </c>
      <c r="M429" s="5" t="n">
        <v>2.2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세종첨담산업단지내 공장임대 전기990kw 층고12m 호이스트다수 C25</t>
        </is>
      </c>
      <c r="Q429" s="6">
        <f>HYPERLINK("https://fin.land.naver.com/articles/2655367254", "매물Link")</f>
        <v/>
      </c>
      <c r="R429" s="6">
        <f>HYPERLINK("https://map.naver.com/p/search/소정면 고등리 710-1",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태양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대형공장 임대</t>
        </is>
      </c>
      <c r="Q430" s="6">
        <f>HYPERLINK("https://fin.land.naver.com/articles/2654158574", "매물Link")</f>
        <v/>
      </c>
      <c r="R430" s="6">
        <f>HYPERLINK("https://map.naver.com/p/search/소정면 고등리 712",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마니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nan</t>
        </is>
      </c>
      <c r="Q433" s="6">
        <f>HYPERLINK("https://fin.land.naver.com/articles/2655738592", "매물Link")</f>
        <v/>
      </c>
      <c r="R433" s="6">
        <f>HYPERLINK("https://map.naver.com/p/search/소정면 고등리 712",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크라운</t>
        </is>
      </c>
      <c r="U433" s="4" t="n">
        <v>4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4" t="n">
        <v>1312</v>
      </c>
      <c r="L434" s="4" t="n">
        <v>397</v>
      </c>
      <c r="M434" s="5" t="n">
        <v>2.3</v>
      </c>
      <c r="N434" s="3" t="inlineStr">
        <is>
          <t>2</t>
        </is>
      </c>
      <c r="O434" s="3" t="inlineStr">
        <is>
          <t>-</t>
        </is>
      </c>
      <c r="P434" s="3" t="inlineStr">
        <is>
          <t>남풍세ic 남천안ic 접근성 좋은 위치 호이스트 3톤2대 전력700kw</t>
        </is>
      </c>
      <c r="Q434" s="6">
        <f>HYPERLINK("https://fin.land.naver.com/articles/2655671589", "매물Link")</f>
        <v/>
      </c>
      <c r="R434" s="6">
        <f>HYPERLINK("https://map.naver.com/p/search/소정면 고등리 712",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10.2m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남풍세IC 7분 1번국도 2분 넓은야드 가설건축물 고가성비 공장 매매</t>
        </is>
      </c>
      <c r="Q436" s="6">
        <f>HYPERLINK("https://fin.land.naver.com/articles/2654036343", "매물Link")</f>
        <v/>
      </c>
      <c r="R436" s="6">
        <f>HYPERLINK("https://map.naver.com/p/search/소정면 대곡리 195",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불당대원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4" t="n">
        <v>559</v>
      </c>
      <c r="L438" s="4" t="n">
        <v>169</v>
      </c>
      <c r="M438" s="5" t="n">
        <v>887.6</v>
      </c>
      <c r="N438" s="3" t="inlineStr">
        <is>
          <t>1</t>
        </is>
      </c>
      <c r="O438" s="3" t="inlineStr">
        <is>
          <t>-</t>
        </is>
      </c>
      <c r="P438" s="3" t="inlineStr">
        <is>
          <t>세종특별자치시 공장 매매</t>
        </is>
      </c>
      <c r="Q438" s="6">
        <f>HYPERLINK("https://fin.land.naver.com/articles/2651855797", "매물Link")</f>
        <v/>
      </c>
      <c r="R438" s="6">
        <f>HYPERLINK("https://map.naver.com/p/search/소정면 대곡리 195",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성성합동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주건축물제3동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공장</t>
        </is>
      </c>
      <c r="AB459" s="3" t="inlineStr">
        <is>
          <t>4.2m</t>
        </is>
      </c>
      <c r="AC459" s="3" t="inlineStr">
        <is>
          <t>2010-12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3266</v>
      </c>
      <c r="L460" s="4" t="n">
        <v>988</v>
      </c>
      <c r="M460" s="5" t="n">
        <v>0.4</v>
      </c>
      <c r="N460" s="3" t="inlineStr">
        <is>
          <t>2</t>
        </is>
      </c>
      <c r="O460" s="3" t="inlineStr">
        <is>
          <t>B1</t>
        </is>
      </c>
      <c r="P460" s="3" t="inlineStr">
        <is>
          <t>사통팔달세종시 창고 및 공장 임대</t>
        </is>
      </c>
      <c r="Q460" s="6">
        <f>HYPERLINK("https://fin.land.naver.com/articles/2652104001",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써밋</t>
        </is>
      </c>
      <c r="U460" s="4" t="n">
        <v>1</v>
      </c>
      <c r="V460" s="5" t="n">
        <v>78.3</v>
      </c>
      <c r="W460" s="4" t="n">
        <v>6682</v>
      </c>
      <c r="X460" s="3" t="inlineStr">
        <is>
          <t>주건축물제3동</t>
        </is>
      </c>
      <c r="Y460" s="7" t="inlineStr">
        <is>
          <t>1층</t>
        </is>
      </c>
      <c r="Z460" s="3" t="inlineStr">
        <is>
          <t>경량철골구조</t>
        </is>
      </c>
      <c r="AA460" s="3" t="inlineStr">
        <is>
          <t>공장</t>
        </is>
      </c>
      <c r="AB460" s="3" t="inlineStr">
        <is>
          <t>4.2m</t>
        </is>
      </c>
      <c r="AC460" s="3" t="inlineStr">
        <is>
          <t>2010-12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주건축물제3동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공장</t>
        </is>
      </c>
      <c r="AB461" s="3" t="inlineStr">
        <is>
          <t>4.2m</t>
        </is>
      </c>
      <c r="AC461" s="3" t="inlineStr">
        <is>
          <t>2010-12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주건축물제3동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공장</t>
        </is>
      </c>
      <c r="AB462" s="3" t="inlineStr">
        <is>
          <t>4.2m</t>
        </is>
      </c>
      <c r="AC462" s="3" t="inlineStr">
        <is>
          <t>2010-12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5동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8.52m</t>
        </is>
      </c>
      <c r="AC463" s="3" t="inlineStr">
        <is>
          <t>2013-05</t>
        </is>
      </c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5동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8.52m</t>
        </is>
      </c>
      <c r="AC464" s="3" t="inlineStr">
        <is>
          <t>2013-05</t>
        </is>
      </c>
      <c r="AD464" s="3" t="inlineStr">
        <is>
          <t>소로한면</t>
        </is>
      </c>
    </row>
    <row r="465">
      <c r="A465" s="3" t="inlineStr">
        <is>
          <t>연동면 응암리 676-12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2015-03</t>
        </is>
      </c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국촌리 7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4동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2011-01</t>
        </is>
      </c>
      <c r="AD467" s="3" t="inlineStr">
        <is>
          <t>소로한면</t>
        </is>
      </c>
    </row>
    <row r="468">
      <c r="A468" s="3" t="inlineStr">
        <is>
          <t>연서면 봉암리 620-133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HYPERLINK("https://fin.land.naver.com/articles/2654940209",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5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일반산업단지내 위치, 세종,대전,청주 등 중부권 공장, 창고 강추</t>
        </is>
      </c>
      <c r="Q475" s="6">
        <f>HYPERLINK("https://fin.land.naver.com/articles/2650797209",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우리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월하천 뷰의 전망이 좋고 투자가치 탁월한 공장,창고 매매</t>
        </is>
      </c>
      <c r="Q478" s="6">
        <f>HYPERLINK("https://fin.land.naver.com/articles/2650985014",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비타민무소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4" t="n">
        <v>594</v>
      </c>
      <c r="L493" s="4" t="n">
        <v>180</v>
      </c>
      <c r="M493" s="5" t="n">
        <v>2.5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세종신도심, 조치원, 오송 접근성 좋은 2차선도로변 준신축 창고임대</t>
        </is>
      </c>
      <c r="Q493" s="6">
        <f>HYPERLINK("https://fin.land.naver.com/articles/2654666248", "매물Link")</f>
        <v/>
      </c>
      <c r="R493" s="6">
        <f>HYPERLINK("https://map.naver.com/p/search/연서면 월하리 902",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주건축물제2동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7.0m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4" t="n">
        <v>53</v>
      </c>
      <c r="L494" s="4" t="n">
        <v>16</v>
      </c>
      <c r="M494" s="5" t="n">
        <v>11.2</v>
      </c>
      <c r="N494" s="3" t="inlineStr">
        <is>
          <t>1</t>
        </is>
      </c>
      <c r="O494" s="3" t="inlineStr">
        <is>
          <t>-</t>
        </is>
      </c>
      <c r="P494" s="3" t="inlineStr">
        <is>
          <t>즉시입주 신축 2종근생  활용도 높은 건물임대</t>
        </is>
      </c>
      <c r="Q494" s="6">
        <f>HYPERLINK("https://fin.land.naver.com/articles/2654518316", "매물Link")</f>
        <v/>
      </c>
      <c r="R494" s="6">
        <f>HYPERLINK("https://map.naver.com/p/search/연서면 월하리 902",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주건축물제2동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7.0m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77</v>
      </c>
      <c r="W496" s="4" t="n">
        <v>660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세로한면(가)</t>
        </is>
      </c>
    </row>
    <row r="497">
      <c r="A497" s="3" t="inlineStr">
        <is>
          <t>오송읍 공북리 271-4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77</v>
      </c>
      <c r="W497" s="4" t="n">
        <v>660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세로한면(가)</t>
        </is>
      </c>
    </row>
    <row r="498">
      <c r="A498" s="3" t="inlineStr">
        <is>
          <t>오송읍 궁평리 308-4</t>
        </is>
      </c>
      <c r="B498" s="3" t="inlineStr">
        <is>
          <t>농림지역</t>
        </is>
      </c>
      <c r="C498" s="3" t="inlineStr">
        <is>
          <t>창고용지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41.8</v>
      </c>
      <c r="W498" s="4" t="n">
        <v>506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세로한면(가)</t>
        </is>
      </c>
    </row>
    <row r="499">
      <c r="A499" s="3" t="inlineStr">
        <is>
          <t>오송읍 만수리 301-4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113.4</v>
      </c>
      <c r="W499" s="4" t="n">
        <v>733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소로각지</t>
        </is>
      </c>
    </row>
    <row r="500">
      <c r="A500" s="3" t="inlineStr">
        <is>
          <t>오송읍 쌍청리 108-11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70.09999999999999</v>
      </c>
      <c r="W500" s="4" t="n">
        <v>68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세로한면(가)</t>
        </is>
      </c>
    </row>
    <row r="501">
      <c r="A501" s="3" t="inlineStr">
        <is>
          <t>오송읍 쌍청리 131-6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70.09999999999999</v>
      </c>
      <c r="W501" s="4" t="n">
        <v>1458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세로한면(가)</t>
        </is>
      </c>
    </row>
    <row r="502">
      <c r="A502" s="3" t="inlineStr">
        <is>
          <t>오송읍 연제리 610-1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70.3</v>
      </c>
      <c r="W502" s="4" t="n">
        <v>2307.9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중로한면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610-2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70.40000000000001</v>
      </c>
      <c r="W504" s="4" t="n">
        <v>2165.9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중로각지</t>
        </is>
      </c>
    </row>
    <row r="505">
      <c r="A505" s="3" t="inlineStr">
        <is>
          <t>오송읍 오송리 242-18</t>
        </is>
      </c>
      <c r="B505" s="3" t="inlineStr">
        <is>
          <t>계획관리지역</t>
        </is>
      </c>
      <c r="C505" s="3" t="inlineStr">
        <is>
          <t>창고용지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129.4</v>
      </c>
      <c r="W505" s="4" t="n">
        <v>1807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세로한면(가)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246-51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163.6</v>
      </c>
      <c r="W507" s="4" t="n">
        <v>1447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세로한면(가)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317-1</t>
        </is>
      </c>
      <c r="B509" s="3" t="inlineStr">
        <is>
          <t>농림지역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25.2</v>
      </c>
      <c r="W509" s="4" t="n">
        <v>237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세로한면(가)</t>
        </is>
      </c>
    </row>
    <row r="510">
      <c r="A510" s="3" t="inlineStr">
        <is>
          <t>오송읍 정중리 636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66.90000000000001</v>
      </c>
      <c r="W510" s="4" t="n">
        <v>2000.1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중로한면</t>
        </is>
      </c>
    </row>
    <row r="511">
      <c r="A511" s="3" t="inlineStr">
        <is>
          <t>오송읍 정중리 651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68.40000000000001</v>
      </c>
      <c r="W511" s="4" t="n">
        <v>16494.5</v>
      </c>
      <c r="X511" s="3" t="inlineStr">
        <is>
          <t>주2동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12.2m</t>
        </is>
      </c>
      <c r="AC511" s="3" t="inlineStr">
        <is>
          <t>2025-03</t>
        </is>
      </c>
      <c r="AD511" s="3" t="inlineStr">
        <is>
          <t>광대로한면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주건축물제2동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8.6m</t>
        </is>
      </c>
      <c r="AC512" s="3" t="inlineStr">
        <is>
          <t>2022-06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8.6m</t>
        </is>
      </c>
      <c r="AC513" s="3" t="inlineStr">
        <is>
          <t>2022-06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HYPERLINK("https://fin.land.naver.com/articles/2654295052",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HYPERLINK("https://fin.land.naver.com/articles/2655682737",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592</v>
      </c>
      <c r="L518" s="4" t="n">
        <v>179</v>
      </c>
      <c r="M518" s="5" t="n">
        <v>5.6</v>
      </c>
      <c r="N518" s="3" t="inlineStr">
        <is>
          <t>1</t>
        </is>
      </c>
      <c r="O518" s="3" t="inlineStr">
        <is>
          <t>-</t>
        </is>
      </c>
      <c r="P518" s="3" t="inlineStr">
        <is>
          <t>시설이 완벽하게 갖춰져 있는 건물,공장 월세 임대 가능한 매물입니다</t>
        </is>
      </c>
      <c r="Q518" s="6">
        <f>HYPERLINK("https://fin.land.naver.com/articles/2651110067",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HYPERLINK("https://fin.land.naver.com/articles/2655941111",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주건축물제2동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8.6m</t>
        </is>
      </c>
      <c r="AC519" s="3" t="inlineStr">
        <is>
          <t>2022-06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HYPERLINK("https://fin.land.naver.com/articles/2655948346",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HYPERLINK("https://fin.land.naver.com/articles/2654798106",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청주ic 오송ktx 10분이내 오송산업단지공장 화학업종 가능</t>
        </is>
      </c>
      <c r="Q527" s="6">
        <f>HYPERLINK("https://fin.land.naver.com/articles/2654807124",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매매</t>
        </is>
      </c>
      <c r="Q528" s="6">
        <f>HYPERLINK("https://fin.land.naver.com/articles/2654917110",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부1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6.32m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4" t="n">
        <v>9900</v>
      </c>
      <c r="L531" s="4" t="n">
        <v>2995</v>
      </c>
      <c r="M531" s="5" t="n">
        <v>384</v>
      </c>
      <c r="N531" s="3" t="inlineStr">
        <is>
          <t>3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HYPERLINK("https://fin.land.naver.com/articles/2652985451",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일오팔팔(주)</t>
        </is>
      </c>
      <c r="U531" s="4" t="n">
        <v>2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장군면 금암리 99-1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2차선 도로 접한 소형 창고 내부 화장실 있으며 주차 용이합니다</t>
        </is>
      </c>
      <c r="Q545" s="6">
        <f>HYPERLINK("https://fin.land.naver.com/articles/2650884073",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세종공주원탑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4" t="n">
        <v>249</v>
      </c>
      <c r="L547" s="4" t="n">
        <v>75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평기리 냉장냉동 창고임대</t>
        </is>
      </c>
      <c r="Q547" s="6">
        <f>HYPERLINK("https://fin.land.naver.com/articles/2652590871", "매물Link")</f>
        <v/>
      </c>
      <c r="R547" s="6">
        <f>HYPERLINK("https://map.naver.com/p/search/장군면 평기리 173",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대전신화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제3동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제2종근생</t>
        </is>
      </c>
      <c r="AB547" s="3" t="inlineStr">
        <is>
          <t>7.6m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110</v>
      </c>
      <c r="H550" s="4" t="n">
        <v>727</v>
      </c>
      <c r="I550" s="4" t="n">
        <v>220</v>
      </c>
      <c r="J550" s="5" t="n">
        <v>0.5</v>
      </c>
      <c r="K550" s="4" t="n">
        <v>150</v>
      </c>
      <c r="L550" s="4" t="n">
        <v>45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2층 구조 일정 면적 사무 공간으로 설치됨</t>
        </is>
      </c>
      <c r="Q550" s="6">
        <f>HYPERLINK("https://fin.land.naver.com/articles/2655039332", "매물Link")</f>
        <v/>
      </c>
      <c r="R550" s="6">
        <f>HYPERLINK("https://map.naver.com/p/search/장군면 평기리 288-4",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주건축물제3동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 IC 인접, 태양광설치, 민원소지 적은곳</t>
        </is>
      </c>
      <c r="Q553" s="6">
        <f>HYPERLINK("https://fin.land.naver.com/articles/2654118503", "매물Link")</f>
        <v/>
      </c>
      <c r="R553" s="6">
        <f>HYPERLINK("https://map.naver.com/p/search/장군면 하봉리 182",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부원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2동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2002-10</t>
        </is>
      </c>
      <c r="AD554" s="3" t="inlineStr">
        <is>
          <t>세로한면(가)</t>
        </is>
      </c>
    </row>
    <row r="555">
      <c r="A555" s="3" t="inlineStr">
        <is>
          <t>전동면 노장리 512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부2동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2.7m</t>
        </is>
      </c>
      <c r="AC564" s="3" t="inlineStr">
        <is>
          <t>2018-12</t>
        </is>
      </c>
      <c r="AD564" s="3" t="inlineStr">
        <is>
          <t>소로한면</t>
        </is>
      </c>
    </row>
    <row r="565">
      <c r="A565" s="3" t="inlineStr">
        <is>
          <t>전의면 유천리 285-8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5동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2014-08</t>
        </is>
      </c>
      <c r="AD565" s="3" t="inlineStr">
        <is>
          <t>세로한면(가)</t>
        </is>
      </c>
    </row>
    <row r="566">
      <c r="A566" s="3" t="inlineStr">
        <is>
          <t>전의면 유천리 296-13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단독 공장 창고 제조업 2종근생 임대</t>
        </is>
      </c>
      <c r="Q568" s="6">
        <f>HYPERLINK("https://fin.land.naver.com/articles/2651733829",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THE행복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HYPERLINK("https://fin.land.naver.com/articles/2651341207", "매물Link")</f>
        <v/>
      </c>
      <c r="R569" s="6">
        <f>HYPERLINK("https://map.naver.com/p/search/전의면 유천리 537-16",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상희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공장임대</t>
        </is>
      </c>
      <c r="Q570" s="6">
        <f>HYPERLINK("https://fin.land.naver.com/articles/2652599291", "매물Link")</f>
        <v/>
      </c>
      <c r="R570" s="6">
        <f>HYPERLINK("https://map.naver.com/p/search/전의면 유천리 537-16",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김준희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3동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8.0m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단독사용  2종근생  하수 직관  근생 창고 매매</t>
        </is>
      </c>
      <c r="Q572" s="6">
        <f>HYPERLINK("https://fin.land.naver.com/articles/2651733853", "매물Link")</f>
        <v/>
      </c>
      <c r="R572" s="6">
        <f>HYPERLINK("https://map.naver.com/p/search/조치원읍 서창리 202-5",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THE행복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조치원 시내 4차선 도로변 사무실 완비된 컨디션 좋은 창고 매매</t>
        </is>
      </c>
      <c r="Q573" s="6">
        <f>HYPERLINK("https://fin.land.naver.com/articles/2654666015", "매물Link")</f>
        <v/>
      </c>
      <c r="R573" s="6">
        <f>HYPERLINK("https://map.naver.com/p/search/조치원읍 서창리 202-5",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청담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마당 넓은 단독 공장 도크 시설 있어 물류창고 추천 대형 공장 및 창고</t>
        </is>
      </c>
      <c r="Q576" s="6">
        <f>HYPERLINK("https://fin.land.naver.com/articles/2650885089",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대전토지로무소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남청주ic인접 야적장넓은 단독공장 도크시설있고 대형차 진출입용이</t>
        </is>
      </c>
      <c r="Q578" s="6">
        <f>HYPERLINK("https://fin.land.naver.com/articles/2650940963",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더원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210-2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5160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단독공장  대형차량 진입가능  민원없는곳</t>
        </is>
      </c>
      <c r="Q579" s="6">
        <f>HYPERLINK("https://fin.land.naver.com/articles/2651774105",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대박</t>
        </is>
      </c>
      <c r="U579" s="4" t="n">
        <v>1</v>
      </c>
      <c r="V579" s="5" t="n">
        <v>63.5</v>
      </c>
      <c r="W579" s="4" t="n">
        <v>5159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세로한면(가)</t>
        </is>
      </c>
    </row>
    <row r="580">
      <c r="A580" s="3" t="inlineStr">
        <is>
          <t>현도면 상삼리 210-2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남청주IC 인근 단독으로 사용하는 대형공장임대 진출입용이</t>
        </is>
      </c>
      <c r="Q580" s="6">
        <f>HYPERLINK("https://fin.land.naver.com/articles/2651993511", "매물Link")</f>
        <v/>
      </c>
      <c r="R580" s="6">
        <f>HYPERLINK("https://map.naver.com/p/search/현도면 상삼리 210-2",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태광</t>
        </is>
      </c>
      <c r="U580" s="4" t="n">
        <v>1</v>
      </c>
      <c r="V580" s="5" t="n">
        <v>63.5</v>
      </c>
      <c r="W580" s="4" t="n">
        <v>5159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세로한면(가)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324-1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65.8</v>
      </c>
      <c r="W582" s="4" t="n">
        <v>1120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45-1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65.8</v>
      </c>
      <c r="W583" s="4" t="n">
        <v>1808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HYPERLINK("https://fin.land.naver.com/articles/2653328422",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다온팩토리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실사진0k 층고8.5m 단독 근생창고 무권리 공장등록가능</t>
        </is>
      </c>
      <c r="Q585" s="6">
        <f>HYPERLINK("https://fin.land.naver.com/articles/2655034601",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이음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50-1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즉시 사용 가능 접근성 좋고 노출효과 좋음 층고 높은 공장 창고</t>
        </is>
      </c>
      <c r="Q586" s="6">
        <f>HYPERLINK("https://fin.land.naver.com/articles/2655405780", "매물Link")</f>
        <v/>
      </c>
      <c r="R586" s="6">
        <f>HYPERLINK("https://map.naver.com/p/search/현도면 상삼리 50-1",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대전토지로무소</t>
        </is>
      </c>
      <c r="U586" s="4" t="n">
        <v>1</v>
      </c>
      <c r="V586" s="5" t="n">
        <v>69.2</v>
      </c>
      <c r="W586" s="4" t="n">
        <v>996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소로한면</t>
        </is>
      </c>
    </row>
    <row r="587">
      <c r="A587" s="3" t="inlineStr">
        <is>
          <t>현도면 상삼리 67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59.8</v>
      </c>
      <c r="W587" s="4" t="n">
        <v>629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67-3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59.8</v>
      </c>
      <c r="W588" s="4" t="n">
        <v>1591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상삼리 67-6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59.8</v>
      </c>
      <c r="W589" s="4" t="n">
        <v>1242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세로한면(가)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시동리 369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62.5</v>
      </c>
      <c r="W591" s="4" t="n">
        <v>2484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4" t="n">
        <v>10465</v>
      </c>
      <c r="L593" s="4" t="n">
        <v>3166</v>
      </c>
      <c r="M593" s="5" t="n">
        <v>473.8</v>
      </c>
      <c r="N593" s="3" t="inlineStr">
        <is>
          <t>2</t>
        </is>
      </c>
      <c r="O593" s="3" t="inlineStr">
        <is>
          <t>-</t>
        </is>
      </c>
      <c r="P593" s="3" t="inlineStr">
        <is>
          <t>현도면의 대규모 물류창고 매매</t>
        </is>
      </c>
      <c r="Q593" s="6">
        <f>HYPERLINK("https://fin.land.naver.com/articles/2654660101",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금화랜드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10000</v>
      </c>
      <c r="G594" s="4" t="n">
        <v>1000</v>
      </c>
      <c r="H594" s="4" t="n">
        <v>4954</v>
      </c>
      <c r="I594" s="4" t="n">
        <v>1499</v>
      </c>
      <c r="J594" s="5" t="n">
        <v>0.7</v>
      </c>
      <c r="K594" s="4" t="n">
        <v>1718</v>
      </c>
      <c r="L594" s="4" t="n">
        <v>520</v>
      </c>
      <c r="M594" s="5" t="n">
        <v>1.9</v>
      </c>
      <c r="N594" s="3" t="inlineStr">
        <is>
          <t>2</t>
        </is>
      </c>
      <c r="O594" s="3" t="inlineStr">
        <is>
          <t>-</t>
        </is>
      </c>
      <c r="P594" s="3" t="inlineStr">
        <is>
          <t>고속도로 바로 옆에 위치하여 광고효과 좋고, 호이스트 설치된 창고</t>
        </is>
      </c>
      <c r="Q594" s="6">
        <f>HYPERLINK("https://fin.land.naver.com/articles/2654296576",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남청주IC에서 가까워 대형차 진출입이 용이한 대규모 물류창고</t>
        </is>
      </c>
      <c r="Q595" s="6">
        <f>HYPERLINK("https://fin.land.naver.com/articles/2655095778",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(주)미르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 고속도로 옆 광고효과 가시성 좋은 물류창고 호이스트설치</t>
        </is>
      </c>
      <c r="Q596" s="6">
        <f>HYPERLINK("https://fin.land.naver.com/articles/2654184518",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더원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1</t>
        </is>
      </c>
      <c r="O597" s="3" t="inlineStr">
        <is>
          <t>-</t>
        </is>
      </c>
      <c r="P597" s="3" t="inlineStr">
        <is>
          <t>경부고속도로 옆 광고효과최상 단독사용 호이스트2대 남청주ic 5분거리</t>
        </is>
      </c>
      <c r="Q597" s="6">
        <f>HYPERLINK("https://fin.land.naver.com/articles/2650948034",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5600</v>
      </c>
      <c r="G598" s="4" t="n">
        <v>560</v>
      </c>
      <c r="H598" s="4" t="n">
        <v>4954</v>
      </c>
      <c r="I598" s="4" t="n">
        <v>1499</v>
      </c>
      <c r="J598" s="5" t="n">
        <v>0.4</v>
      </c>
      <c r="K598" s="4" t="n">
        <v>925</v>
      </c>
      <c r="L598" s="4" t="n">
        <v>280</v>
      </c>
      <c r="M598" s="5" t="n">
        <v>2</v>
      </c>
      <c r="N598" s="3" t="inlineStr">
        <is>
          <t>1</t>
        </is>
      </c>
      <c r="O598" s="3" t="inlineStr">
        <is>
          <t>-</t>
        </is>
      </c>
      <c r="P598" s="3" t="inlineStr">
        <is>
          <t>즉시 사용 가능 남청주 IC 인근 , 호이스트, 대형차 진출입 원활</t>
        </is>
      </c>
      <c r="Q598" s="6">
        <f>HYPERLINK("https://fin.land.naver.com/articles/2652174883",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545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2</t>
        </is>
      </c>
      <c r="O599" s="3" t="inlineStr">
        <is>
          <t>-</t>
        </is>
      </c>
      <c r="P599" s="3" t="inlineStr">
        <is>
          <t>사진有 창고 임대</t>
        </is>
      </c>
      <c r="Q599" s="6">
        <f>HYPERLINK("https://fin.land.naver.com/articles/2652988720",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59.5</v>
      </c>
      <c r="W599" s="4" t="n">
        <v>4954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545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1</t>
        </is>
      </c>
      <c r="O600" s="3" t="inlineStr">
        <is>
          <t>-</t>
        </is>
      </c>
      <c r="P600" s="3" t="inlineStr">
        <is>
          <t>고속도로 광고효과 좋은 대형 물류창고, 호이스트, 대형차 진출입 원활</t>
        </is>
      </c>
      <c r="Q600" s="6">
        <f>HYPERLINK("https://fin.land.naver.com/articles/2652882825",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대전토지로무소</t>
        </is>
      </c>
      <c r="U600" s="4" t="n">
        <v>1</v>
      </c>
      <c r="V600" s="5" t="n">
        <v>59.5</v>
      </c>
      <c r="W600" s="4" t="n">
        <v>4954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남청주ic 고속도로 옆 광고효과 가시성 좋은 대형공장이나 물류창고</t>
        </is>
      </c>
      <c r="Q601" s="6">
        <f>HYPERLINK("https://fin.land.naver.com/articles/2652625183",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2</t>
        </is>
      </c>
      <c r="O604" s="3" t="inlineStr">
        <is>
          <t>-</t>
        </is>
      </c>
      <c r="P604" s="3" t="inlineStr">
        <is>
          <t>고속도로 광고 효과 최고 대형 공장 물류 창고, 호이스트  대형차 진출</t>
        </is>
      </c>
      <c r="Q604" s="6">
        <f>HYPERLINK("https://fin.land.naver.com/articles/2652885559",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548-6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9164</v>
      </c>
      <c r="I605" s="4" t="n">
        <v>2772</v>
      </c>
      <c r="J605" s="5" t="n">
        <v>360.8</v>
      </c>
      <c r="K605" s="4" t="n">
        <v>6783</v>
      </c>
      <c r="L605" s="4" t="n">
        <v>2052</v>
      </c>
      <c r="M605" s="5" t="n">
        <v>487.3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남청주IC에서 가까워 대형차 진출입이 용이한 대규모 물류창고</t>
        </is>
      </c>
      <c r="Q605" s="6">
        <f>HYPERLINK("https://fin.land.naver.com/articles/2651033406",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(주)미르</t>
        </is>
      </c>
      <c r="U605" s="4" t="n">
        <v>1</v>
      </c>
      <c r="V605" s="5" t="n">
        <v>64.40000000000001</v>
      </c>
      <c r="W605" s="4" t="n">
        <v>6619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548-6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4" t="n">
        <v>925</v>
      </c>
      <c r="L606" s="4" t="n">
        <v>280</v>
      </c>
      <c r="M606" s="5" t="n">
        <v>2.1</v>
      </c>
      <c r="N606" s="3" t="inlineStr">
        <is>
          <t>3</t>
        </is>
      </c>
      <c r="O606" s="3" t="inlineStr">
        <is>
          <t>-</t>
        </is>
      </c>
      <c r="P606" s="3" t="inlineStr">
        <is>
          <t>신탄진 현도교에서  8분거리 위치한 공장 및 창고 입니다</t>
        </is>
      </c>
      <c r="Q606" s="6">
        <f>HYPERLINK("https://fin.land.naver.com/articles/2654292750",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더행복</t>
        </is>
      </c>
      <c r="U606" s="4" t="n">
        <v>1</v>
      </c>
      <c r="V606" s="5" t="n">
        <v>64.40000000000001</v>
      </c>
      <c r="W606" s="4" t="n">
        <v>6619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548-6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4" t="n">
        <v>3322</v>
      </c>
      <c r="L607" s="4" t="n">
        <v>1005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경부고속도로옆 광고효과 좋고 남청주ic 5분거리로 공장이나 물류창고</t>
        </is>
      </c>
      <c r="Q607" s="6">
        <f>HYPERLINK("https://fin.land.naver.com/articles/2650873464",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64.40000000000001</v>
      </c>
      <c r="W607" s="4" t="n">
        <v>6619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730-1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3601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 신탄진.대전등 접근성 좋은 위치의 공장</t>
        </is>
      </c>
      <c r="Q608" s="6">
        <f>HYPERLINK("https://fin.land.naver.com/articles/2653351717", "매물Link")</f>
        <v/>
      </c>
      <c r="R608" s="6">
        <f>HYPERLINK("https://map.naver.com/p/search/현도면 우록리 730-1",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72.09999999999999</v>
      </c>
      <c r="W608" s="4" t="n">
        <v>2985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730-1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72.09999999999999</v>
      </c>
      <c r="W609" s="4" t="n">
        <v>2985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740-3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2216</v>
      </c>
      <c r="L610" s="4" t="n">
        <v>670</v>
      </c>
      <c r="M610" s="5" t="n">
        <v>1119.4</v>
      </c>
      <c r="N610" s="3" t="inlineStr">
        <is>
          <t>3</t>
        </is>
      </c>
      <c r="O610" s="3" t="inlineStr">
        <is>
          <t>-</t>
        </is>
      </c>
      <c r="P610" s="3" t="inlineStr">
        <is>
          <t>대지가 넓은 공장으로 민원소지가 없으며 광고 효과가 좋음</t>
        </is>
      </c>
      <c r="Q610" s="6">
        <f>HYPERLINK("https://fin.land.naver.com/articles/2655487194", "매물Link")</f>
        <v/>
      </c>
      <c r="R610" s="6">
        <f>HYPERLINK("https://map.naver.com/p/search/현도면 우록리 740-3",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59.8</v>
      </c>
      <c r="W610" s="4" t="n">
        <v>11365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740-3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2217</v>
      </c>
      <c r="L611" s="4" t="n">
        <v>671</v>
      </c>
      <c r="M611" s="5" t="n">
        <v>1117.7</v>
      </c>
      <c r="N611" s="3" t="inlineStr">
        <is>
          <t>3</t>
        </is>
      </c>
      <c r="O611" s="3" t="inlineStr">
        <is>
          <t>-</t>
        </is>
      </c>
      <c r="P611" s="3" t="inlineStr">
        <is>
          <t>민원소지 없는 주차공간 넓은 공장 매매, 공장,창고로 강력추천</t>
        </is>
      </c>
      <c r="Q611" s="6">
        <f>HYPERLINK("https://fin.land.naver.com/articles/2654281379",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59.8</v>
      </c>
      <c r="W611" s="4" t="n">
        <v>11365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753-13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15.6</v>
      </c>
      <c r="W612" s="4" t="n">
        <v>6268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753-14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58.9</v>
      </c>
      <c r="W613" s="4" t="n">
        <v>2561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171</t>
        </is>
      </c>
      <c r="B615" s="3" t="inlineStr">
        <is>
          <t>보전관리지역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1층2개동전체249P중대형공장,남청주IC근접</t>
        </is>
      </c>
      <c r="Q615" s="6">
        <f>HYPERLINK("https://fin.land.naver.com/articles/2655798826",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하나+The 사무소</t>
        </is>
      </c>
      <c r="U615" s="4" t="n">
        <v>1</v>
      </c>
      <c r="V615" s="5" t="n">
        <v>47</v>
      </c>
      <c r="W615" s="4" t="n">
        <v>7491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171</t>
        </is>
      </c>
      <c r="B616" s="3" t="inlineStr">
        <is>
          <t>보전관리지역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47</v>
      </c>
      <c r="W616" s="4" t="n">
        <v>7491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4" t="n">
        <v>837</v>
      </c>
      <c r="L618" s="4" t="n">
        <v>253</v>
      </c>
      <c r="M618" s="5" t="n">
        <v>1185.8</v>
      </c>
      <c r="N618" s="3" t="inlineStr">
        <is>
          <t>1</t>
        </is>
      </c>
      <c r="O618" s="3" t="inlineStr">
        <is>
          <t>-</t>
        </is>
      </c>
      <c r="P618" s="3" t="inlineStr">
        <is>
          <t>대전, 세종, 청주 접근성 우수 남청주IC 7분, 부지 넓은 신축창고 매</t>
        </is>
      </c>
      <c r="Q618" s="6">
        <f>HYPERLINK("https://fin.land.naver.com/articles/2654665859",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221-3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6016</v>
      </c>
      <c r="I619" s="4" t="n">
        <v>1820</v>
      </c>
      <c r="J619" s="5" t="n">
        <v>0.4</v>
      </c>
      <c r="K619" s="4" t="n">
        <v>837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남청주IC 7분, 2차선도로변 넓은 야드 단독사용 중형 신축창고 임대</t>
        </is>
      </c>
      <c r="Q619" s="6">
        <f>HYPERLINK("https://fin.land.naver.com/articles/2654665842",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44.6</v>
      </c>
      <c r="W619" s="4" t="n">
        <v>4202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죽암리 353-2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57.4</v>
      </c>
      <c r="W620" s="4" t="n">
        <v>281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390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60.8</v>
      </c>
      <c r="W622" s="4" t="n">
        <v>5631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408-1</t>
        </is>
      </c>
      <c r="B626" s="3" t="inlineStr">
        <is>
          <t>보전관리지역</t>
        </is>
      </c>
      <c r="C626" s="3" t="inlineStr">
        <is>
          <t>주유소용지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991</v>
      </c>
      <c r="L626" s="4" t="n">
        <v>300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위험물 보관 창고 고압 가스, 특수가스 보관 창고 , 분할 임대 가능</t>
        </is>
      </c>
      <c r="Q626" s="6">
        <f>HYPERLINK("https://fin.land.naver.com/articles/2652879956",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43.8</v>
      </c>
      <c r="W626" s="4" t="n">
        <v>14876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7120</v>
      </c>
      <c r="L627" s="4" t="n">
        <v>2154</v>
      </c>
      <c r="M627" s="5" t="n">
        <v>0.4</v>
      </c>
      <c r="N627" s="3" t="inlineStr">
        <is>
          <t>3</t>
        </is>
      </c>
      <c r="O627" s="3" t="inlineStr">
        <is>
          <t>-</t>
        </is>
      </c>
      <c r="P627" s="3" t="inlineStr">
        <is>
          <t>대형차 진출입이 편리한 냉장, 냉동 창고 임대,  남청주IC인근</t>
        </is>
      </c>
      <c r="Q627" s="6">
        <f>HYPERLINK("https://fin.land.naver.com/articles/2653660248",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35000</v>
      </c>
      <c r="G628" s="4" t="n">
        <v>3500</v>
      </c>
      <c r="H628" s="4" t="n">
        <v>19215</v>
      </c>
      <c r="I628" s="4" t="n">
        <v>5813</v>
      </c>
      <c r="J628" s="5" t="n">
        <v>0.6</v>
      </c>
      <c r="K628" s="4" t="n">
        <v>2269</v>
      </c>
      <c r="L628" s="4" t="n">
        <v>686</v>
      </c>
      <c r="M628" s="5" t="n">
        <v>5.1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남청주ic4분거리 대형컨테이너차량 접안가능 냉동냉장상온창고임대</t>
        </is>
      </c>
      <c r="Q628" s="6">
        <f>HYPERLINK("https://fin.land.naver.com/articles/2652625565",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 4분거리로 고속도로 접근성좋은위치의냉동창고임대</t>
        </is>
      </c>
      <c r="Q629" s="6">
        <f>HYPERLINK("https://fin.land.naver.com/articles/2652625528",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19215</v>
      </c>
      <c r="I631" s="4" t="n">
        <v>5813</v>
      </c>
      <c r="J631" s="5" t="n">
        <v>0.3</v>
      </c>
      <c r="K631" s="4" t="n">
        <v>7120</v>
      </c>
      <c r="L631" s="4" t="n">
        <v>2154</v>
      </c>
      <c r="M631" s="5" t="n">
        <v>0.9</v>
      </c>
      <c r="N631" s="3" t="inlineStr">
        <is>
          <t>3</t>
        </is>
      </c>
      <c r="O631" s="3" t="inlineStr">
        <is>
          <t>B1</t>
        </is>
      </c>
      <c r="P631" s="3" t="inlineStr">
        <is>
          <t>진출입 편리한 대형 냉동냉장창고 다양한 평수 가능 상세정보 확인요망</t>
        </is>
      </c>
      <c r="Q631" s="6">
        <f>HYPERLINK("https://fin.land.naver.com/articles/2655616952",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56000</v>
      </c>
      <c r="G632" s="4" t="n">
        <v>5600</v>
      </c>
      <c r="H632" s="4" t="n">
        <v>59748</v>
      </c>
      <c r="I632" s="4" t="n">
        <v>18074</v>
      </c>
      <c r="J632" s="5" t="n">
        <v>0.3</v>
      </c>
      <c r="K632" s="4" t="n">
        <v>6520</v>
      </c>
      <c r="L632" s="4" t="n">
        <v>1972</v>
      </c>
      <c r="M632" s="5" t="n">
        <v>2.8</v>
      </c>
      <c r="N632" s="3" t="inlineStr">
        <is>
          <t>3</t>
        </is>
      </c>
      <c r="O632" s="3" t="inlineStr">
        <is>
          <t>B1</t>
        </is>
      </c>
      <c r="P632" s="3" t="inlineStr">
        <is>
          <t>대형 상온창고 도크시설완비 남청주IC인근, 층고6m</t>
        </is>
      </c>
      <c r="Q632" s="6">
        <f>HYPERLINK("https://fin.land.naver.com/articles/2655945594",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3500000</v>
      </c>
      <c r="G633" s="4" t="n">
        <v>0</v>
      </c>
      <c r="H633" s="4" t="n">
        <v>19215</v>
      </c>
      <c r="I633" s="4" t="n">
        <v>5813</v>
      </c>
      <c r="J633" s="5" t="n">
        <v>602.1</v>
      </c>
      <c r="K633" s="4" t="n">
        <v>7120</v>
      </c>
      <c r="L633" s="4" t="n">
        <v>2154</v>
      </c>
      <c r="M633" s="5" t="n">
        <v>1624.9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 냉장,냉동,상온창고 도크시설완비 남청주IC인근, 층고6m</t>
        </is>
      </c>
      <c r="Q633" s="6">
        <f>HYPERLINK("https://fin.land.naver.com/articles/2654296503",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(주)미르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517</v>
      </c>
      <c r="L635" s="4" t="n">
        <v>156</v>
      </c>
      <c r="M635" s="5" t="n">
        <v>6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저온 창고 임대</t>
        </is>
      </c>
      <c r="Q635" s="6">
        <f>HYPERLINK("https://fin.land.naver.com/articles/2652988644",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B1</t>
        </is>
      </c>
      <c r="P636" s="3" t="inlineStr">
        <is>
          <t>대형냉동냉장창고 다양한 평수가능 남청주IC인근 진출입용이 상세내용 확인</t>
        </is>
      </c>
      <c r="Q636" s="6">
        <f>HYPERLINK("https://fin.land.naver.com/articles/2654872944",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4" t="n">
        <v>1373</v>
      </c>
      <c r="L637" s="4" t="n">
        <v>415</v>
      </c>
      <c r="M637" s="5" t="n">
        <v>6</v>
      </c>
      <c r="N637" s="3" t="inlineStr">
        <is>
          <t>3</t>
        </is>
      </c>
      <c r="O637" s="3" t="inlineStr">
        <is>
          <t>B1</t>
        </is>
      </c>
      <c r="P637" s="3" t="inlineStr">
        <is>
          <t>즉시 사용 가능한 냉동, 냉장 창고 임대, 도크시설 남청주IC 인접</t>
        </is>
      </c>
      <c r="Q637" s="6">
        <f>HYPERLINK("https://fin.land.naver.com/articles/2651936825",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0.5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 인근 대형 냉동 냉장창고 임대 다양한 평수 상세정보 확인요망</t>
        </is>
      </c>
      <c r="Q638" s="6">
        <f>HYPERLINK("https://fin.land.naver.com/articles/2654877131",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죽암리 415-1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26000</v>
      </c>
      <c r="G639" s="4" t="n">
        <v>2600</v>
      </c>
      <c r="H639" s="4" t="n">
        <v>19215</v>
      </c>
      <c r="I639" s="4" t="n">
        <v>5813</v>
      </c>
      <c r="J639" s="5" t="n">
        <v>0.4</v>
      </c>
      <c r="K639" s="4" t="n">
        <v>2948</v>
      </c>
      <c r="L639" s="4" t="n">
        <v>892</v>
      </c>
      <c r="M639" s="5" t="n">
        <v>2.9</v>
      </c>
      <c r="N639" s="3" t="inlineStr">
        <is>
          <t>3</t>
        </is>
      </c>
      <c r="O639" s="3" t="inlineStr">
        <is>
          <t>-</t>
        </is>
      </c>
      <c r="P639" s="3" t="inlineStr">
        <is>
          <t>사진有 창고 임대</t>
        </is>
      </c>
      <c r="Q639" s="6">
        <f>HYPERLINK("https://fin.land.naver.com/articles/2652988691",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월드</t>
        </is>
      </c>
      <c r="U639" s="4" t="n">
        <v>1</v>
      </c>
      <c r="V639" s="5" t="n">
        <v>52.9</v>
      </c>
      <c r="W639" s="4" t="n">
        <v>17908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월세</t>
        </is>
      </c>
      <c r="F640" s="4" t="n">
        <v>22000</v>
      </c>
      <c r="G640" s="4" t="n">
        <v>2200</v>
      </c>
      <c r="H640" s="4" t="n">
        <v>4819</v>
      </c>
      <c r="I640" s="4" t="n">
        <v>1458</v>
      </c>
      <c r="J640" s="5" t="n">
        <v>1.5</v>
      </c>
      <c r="K640" s="4" t="n">
        <v>3572</v>
      </c>
      <c r="L640" s="4" t="n">
        <v>1081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남청주IC인근 진출입용이 매우 저렴한 깔끔한 대형창고 임대</t>
        </is>
      </c>
      <c r="Q640" s="6">
        <f>HYPERLINK("https://fin.land.naver.com/articles/2654874017",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태광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인근으로 대형차 진출입이 편리한 창고 임대</t>
        </is>
      </c>
      <c r="Q641" s="6">
        <f>HYPERLINK("https://fin.land.naver.com/articles/2652114936",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남청주IC인근으로 대형차진출입 용이,대로에서 약300m,사무동 보유</t>
        </is>
      </c>
      <c r="Q642" s="6">
        <f>HYPERLINK("https://fin.land.naver.com/articles/2654990711",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500000</v>
      </c>
      <c r="G643" s="4" t="n">
        <v>0</v>
      </c>
      <c r="H643" s="4" t="n">
        <v>4819</v>
      </c>
      <c r="I643" s="4" t="n">
        <v>1458</v>
      </c>
      <c r="J643" s="5" t="n">
        <v>342.9</v>
      </c>
      <c r="K643" s="4" t="n">
        <v>3752</v>
      </c>
      <c r="L643" s="4" t="n">
        <v>1135</v>
      </c>
      <c r="M643" s="5" t="n">
        <v>440.5</v>
      </c>
      <c r="N643" s="3" t="inlineStr">
        <is>
          <t>2</t>
        </is>
      </c>
      <c r="O643" s="3" t="inlineStr">
        <is>
          <t>-</t>
        </is>
      </c>
      <c r="P643" s="3" t="inlineStr">
        <is>
          <t>죽암휴게소 대형 물류창고,남청주ic인접,교통편리,태양광300kw</t>
        </is>
      </c>
      <c r="Q643" s="6">
        <f>HYPERLINK("https://fin.land.naver.com/articles/2651893139",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금강이편한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현도면 산업단지 창고 시설 매매 대형 화물차 진출입 용이 ic근접</t>
        </is>
      </c>
      <c r="Q644" s="6">
        <f>HYPERLINK("https://fin.land.naver.com/articles/2653689719",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은행나무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4870</v>
      </c>
      <c r="I646" s="4" t="n">
        <v>1473</v>
      </c>
      <c r="J646" s="5" t="n">
        <v>305.5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 있는 물류창고 남청주 IC 인근 대형차 진출입 원활,</t>
        </is>
      </c>
      <c r="Q646" s="6">
        <f>HYPERLINK("https://fin.land.naver.com/articles/2655488468",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5분, 도크시설 있음 2톤 화물리프트 신설, 물류창고 최적</t>
        </is>
      </c>
      <c r="Q648" s="6">
        <f>HYPERLINK("https://fin.land.naver.com/articles/2653810240", "매물Link")</f>
        <v/>
      </c>
      <c r="R648" s="6">
        <f>HYPERLINK("https://map.naver.com/p/search/현도면 죽전리 15-1",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대성오투그란데</t>
        </is>
      </c>
      <c r="U648" s="4" t="n">
        <v>1</v>
      </c>
      <c r="V648" s="5" t="n">
        <v>70.40000000000001</v>
      </c>
      <c r="W648" s="4" t="n">
        <v>4819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세로각지(가)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360-1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4" t="n">
        <v>3290</v>
      </c>
      <c r="L652" s="4" t="n">
        <v>995</v>
      </c>
      <c r="M652" s="5" t="n">
        <v>351.8</v>
      </c>
      <c r="N652" s="3" t="inlineStr">
        <is>
          <t>3</t>
        </is>
      </c>
      <c r="O652" s="3" t="inlineStr">
        <is>
          <t>B1</t>
        </is>
      </c>
      <c r="P652" s="3" t="inlineStr">
        <is>
          <t>층고7m 전력3kw 호이스트2.8톤2기 남청주IC 경부고속도로 현도산단인</t>
        </is>
      </c>
      <c r="Q652" s="6">
        <f>HYPERLINK("https://fin.land.naver.com/articles/2653347280", "매물Link")</f>
        <v/>
      </c>
      <c r="R652" s="6">
        <f>HYPERLINK("https://map.naver.com/p/search/현도면 죽전리 360-1",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에이피엔주식회사</t>
        </is>
      </c>
      <c r="U652" s="4" t="n">
        <v>1</v>
      </c>
      <c r="V652" s="5" t="n">
        <v>56.5</v>
      </c>
      <c r="W652" s="4" t="n">
        <v>8464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죽전리 620-3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54.3</v>
      </c>
      <c r="W654" s="4" t="n">
        <v>1937.1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206000</v>
      </c>
      <c r="G655" s="4" t="n">
        <v>0</v>
      </c>
      <c r="H655" s="4" t="n">
        <v>4545</v>
      </c>
      <c r="I655" s="4" t="n">
        <v>1375</v>
      </c>
      <c r="J655" s="5" t="n">
        <v>149.8</v>
      </c>
      <c r="K655" s="4" t="n">
        <v>803</v>
      </c>
      <c r="L655" s="4" t="n">
        <v>243</v>
      </c>
      <c r="M655" s="5" t="n">
        <v>847.7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 현도일반산업단지 바로 옆 저렴한 공장매매</t>
        </is>
      </c>
      <c r="Q655" s="6">
        <f>HYPERLINK("https://fin.land.naver.com/articles/2654778642", "매물Link")</f>
        <v/>
      </c>
      <c r="R655" s="6">
        <f>HYPERLINK("https://map.naver.com/p/search/현도면 중삼리 12", "지도Link")</f>
        <v/>
      </c>
      <c r="S655" s="6">
        <f>HYPERLINK("http://www.eum.go.kr/web/ar/lu/luLandDet.jsp?pnu=4311232022100120000&amp;isNoScr=script&amp;mode=search",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56.1</v>
      </c>
      <c r="W655" s="4" t="n">
        <v>2418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12-1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514500</v>
      </c>
      <c r="G657" s="4" t="n">
        <v>0</v>
      </c>
      <c r="H657" s="4" t="n">
        <v>11336</v>
      </c>
      <c r="I657" s="4" t="n">
        <v>3429</v>
      </c>
      <c r="J657" s="5" t="n">
        <v>150</v>
      </c>
      <c r="K657" s="4" t="n">
        <v>2794</v>
      </c>
      <c r="L657" s="4" t="n">
        <v>845</v>
      </c>
      <c r="M657" s="5" t="n">
        <v>608.9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남청주IC인근,도시가스인입,현도일반산업단지 바로 옆 저렴한 공장매매</t>
        </is>
      </c>
      <c r="Q657" s="6">
        <f>HYPERLINK("https://fin.land.naver.com/articles/2655092999", "매물Link")</f>
        <v/>
      </c>
      <c r="R657" s="6">
        <f>HYPERLINK("https://map.naver.com/p/search/현도면 중삼리 12-1", "지도Link")</f>
        <v/>
      </c>
      <c r="S657" s="6">
        <f>HYPERLINK("http://www.eum.go.kr/web/ar/lu/luLandDet.jsp?pnu=4311232022100120001&amp;isNoScr=script&amp;mode=search",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53.5</v>
      </c>
      <c r="W657" s="4" t="n">
        <v>2748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13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53.5</v>
      </c>
      <c r="W658" s="4" t="n">
        <v>2127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실사진0k 층고9m 깔끔하게 관리잘된 근생창고 대형트럭 진입가능</t>
        </is>
      </c>
      <c r="Q660" s="6">
        <f>HYPERLINK("https://fin.land.naver.com/articles/2655035107",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이음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144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HYPERLINK("https://fin.land.naver.com/articles/2651863359", "매물Link")</f>
        <v/>
      </c>
      <c r="R661" s="6">
        <f>HYPERLINK("https://map.naver.com/p/search/현도면 중삼리 144",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58</v>
      </c>
      <c r="W661" s="4" t="n">
        <v>717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2930</v>
      </c>
      <c r="L662" s="4" t="n">
        <v>886</v>
      </c>
      <c r="M662" s="5" t="n">
        <v>406.3</v>
      </c>
      <c r="N662" s="3" t="inlineStr">
        <is>
          <t>3</t>
        </is>
      </c>
      <c r="O662" s="3" t="inlineStr">
        <is>
          <t>-</t>
        </is>
      </c>
      <c r="P662" s="3" t="inlineStr">
        <is>
          <t>남청주 IC인근, 호이스트, 높은층고, 주요도시 이동 편리</t>
        </is>
      </c>
      <c r="Q662" s="6">
        <f>HYPERLINK("https://fin.land.naver.com/articles/2655093041",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18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6340</v>
      </c>
      <c r="I664" s="4" t="n">
        <v>1918</v>
      </c>
      <c r="J664" s="5" t="n">
        <v>187.7</v>
      </c>
      <c r="K664" s="4" t="n">
        <v>2934</v>
      </c>
      <c r="L664" s="4" t="n">
        <v>888</v>
      </c>
      <c r="M664" s="5" t="n">
        <v>405.4</v>
      </c>
      <c r="N664" s="3" t="inlineStr">
        <is>
          <t>3</t>
        </is>
      </c>
      <c r="O664" s="3" t="inlineStr">
        <is>
          <t>-</t>
        </is>
      </c>
      <c r="P664" s="3" t="inlineStr">
        <is>
          <t>즉시 사용가능한 마당넓고 층고높고 2차선 접해 있고 호이스트2대인 공장</t>
        </is>
      </c>
      <c r="Q664" s="6">
        <f>HYPERLINK("https://fin.land.naver.com/articles/2655489733", "매물Link")</f>
        <v/>
      </c>
      <c r="R664" s="6">
        <f>HYPERLINK("https://map.naver.com/p/search/현도면 중삼리 18",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61.7</v>
      </c>
      <c r="W664" s="4" t="n">
        <v>4088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53.5</v>
      </c>
      <c r="W666" s="4" t="n">
        <v>3904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4" t="n">
        <v>2461</v>
      </c>
      <c r="L668" s="4" t="n">
        <v>744</v>
      </c>
      <c r="M668" s="5" t="n">
        <v>0.9</v>
      </c>
      <c r="N668" s="3" t="inlineStr">
        <is>
          <t>1</t>
        </is>
      </c>
      <c r="O668" s="3" t="inlineStr">
        <is>
          <t>-</t>
        </is>
      </c>
      <c r="P668" s="3" t="inlineStr">
        <is>
          <t>실사진0k 층고9.5m 착한 임대료 대형평수 즉시입주가능</t>
        </is>
      </c>
      <c r="Q668" s="6">
        <f>HYPERLINK("https://fin.land.naver.com/articles/2655034984",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이음</t>
        </is>
      </c>
      <c r="U668" s="4" t="n">
        <v>1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nan</t>
        </is>
      </c>
      <c r="Q669" s="6">
        <f>HYPERLINK("https://fin.land.naver.com/articles/2653911084",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KS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979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현도면 남청주톨게이트 5분거리 2차선 접한 마당넓은 공장 및 창고</t>
        </is>
      </c>
      <c r="Q670" s="6">
        <f>HYPERLINK("https://fin.land.naver.com/articles/2654151842",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신탄진다온</t>
        </is>
      </c>
      <c r="U670" s="4" t="n">
        <v>2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890</v>
      </c>
      <c r="L672" s="4" t="n">
        <v>269</v>
      </c>
      <c r="M672" s="5" t="n">
        <v>2416.4</v>
      </c>
      <c r="N672" s="3" t="inlineStr">
        <is>
          <t>1</t>
        </is>
      </c>
      <c r="O672" s="3" t="inlineStr">
        <is>
          <t>-</t>
        </is>
      </c>
      <c r="P672" s="3" t="inlineStr">
        <is>
          <t>남청주 현도면에 위치한 신축 공장 매매</t>
        </is>
      </c>
      <c r="Q672" s="6">
        <f>HYPERLINK("https://fin.land.naver.com/articles/2651107587",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대지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213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48.1</v>
      </c>
      <c r="W674" s="4" t="n">
        <v>5702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22-1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61.7</v>
      </c>
      <c r="W675" s="4" t="n">
        <v>1464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소로한면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245-1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HYPERLINK("https://fin.land.naver.com/articles/2651895291", "매물Link")</f>
        <v/>
      </c>
      <c r="R677" s="6">
        <f>HYPERLINK("https://map.naver.com/p/search/현도면 중삼리 245-1",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KS</t>
        </is>
      </c>
      <c r="U677" s="4" t="n">
        <v>1</v>
      </c>
      <c r="V677" s="5" t="n">
        <v>52.9</v>
      </c>
      <c r="W677" s="4" t="n">
        <v>1860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245-1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건물 129형 대지600형 단독건물 2종근생제조업</t>
        </is>
      </c>
      <c r="Q678" s="6">
        <f>HYPERLINK("https://fin.land.naver.com/articles/2652949751", "매물Link")</f>
        <v/>
      </c>
      <c r="R678" s="6">
        <f>HYPERLINK("https://map.naver.com/p/search/현도면 중삼리 245-1",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위더스</t>
        </is>
      </c>
      <c r="U678" s="4" t="n">
        <v>1</v>
      </c>
      <c r="V678" s="5" t="n">
        <v>52.9</v>
      </c>
      <c r="W678" s="4" t="n">
        <v>1860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290-1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48.9</v>
      </c>
      <c r="W679" s="4" t="n">
        <v>4298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290-1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48.9</v>
      </c>
      <c r="W680" s="4" t="n">
        <v>4298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297-12</t>
        </is>
      </c>
      <c r="B682" s="3" t="inlineStr">
        <is>
          <t>계획관리지역</t>
        </is>
      </c>
      <c r="C682" s="3" t="inlineStr">
        <is>
          <t>잡종지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48.9</v>
      </c>
      <c r="W682" s="4" t="n">
        <v>2167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297-12</t>
        </is>
      </c>
      <c r="B683" s="3" t="inlineStr">
        <is>
          <t>계획관리지역</t>
        </is>
      </c>
      <c r="C683" s="3" t="inlineStr">
        <is>
          <t>잡종지</t>
        </is>
      </c>
      <c r="D683" s="3" t="inlineStr">
        <is>
          <t>기타</t>
        </is>
      </c>
      <c r="E683" s="3" t="inlineStr">
        <is>
          <t>매매</t>
        </is>
      </c>
      <c r="F683" s="4" t="n">
        <v>150000</v>
      </c>
      <c r="G683" s="4" t="n">
        <v>0</v>
      </c>
      <c r="H683" s="4" t="n">
        <v>2167</v>
      </c>
      <c r="I683" s="4" t="n">
        <v>656</v>
      </c>
      <c r="J683" s="5" t="n">
        <v>228.7</v>
      </c>
      <c r="K683" s="4" t="n">
        <v>431</v>
      </c>
      <c r="L683" s="4" t="n">
        <v>130</v>
      </c>
      <c r="M683" s="5" t="n">
        <v>1153.8</v>
      </c>
      <c r="N683" s="3" t="inlineStr">
        <is>
          <t>1</t>
        </is>
      </c>
      <c r="O683" s="3" t="inlineStr">
        <is>
          <t>-</t>
        </is>
      </c>
      <c r="P683" s="3" t="inlineStr">
        <is>
          <t>민원 걱정없는 고물상, 재활용 폐기물처리장 등 자원순환관련시설 매매,임대</t>
        </is>
      </c>
      <c r="Q683" s="6">
        <f>HYPERLINK("https://fin.land.naver.com/articles/2655969273", "매물Link")</f>
        <v/>
      </c>
      <c r="R683" s="6">
        <f>HYPERLINK("https://map.naver.com/p/search/현도면 중삼리 297-12",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청담</t>
        </is>
      </c>
      <c r="U683" s="4" t="n">
        <v>1</v>
      </c>
      <c r="V683" s="5" t="n">
        <v>48.9</v>
      </c>
      <c r="W683" s="4" t="n">
        <v>2167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297-5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48.9</v>
      </c>
      <c r="W684" s="4" t="n">
        <v>4959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298-4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46.5</v>
      </c>
      <c r="W685" s="4" t="n">
        <v>2692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322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58.8</v>
      </c>
      <c r="W686" s="4" t="n">
        <v>17686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38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52.7</v>
      </c>
      <c r="W687" s="4" t="n">
        <v>2107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38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52.7</v>
      </c>
      <c r="W688" s="4" t="n">
        <v>2107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459</t>
        </is>
      </c>
      <c r="B22" s="3" t="inlineStr">
        <is>
          <t>보전관리지역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50.5</v>
      </c>
      <c r="V22" s="4" t="n">
        <v>476</v>
      </c>
      <c r="W22" s="3" t="inlineStr">
        <is>
          <t>지정되지않음</t>
        </is>
      </c>
      <c r="X22" s="3" t="inlineStr">
        <is>
          <t>주상용</t>
        </is>
      </c>
      <c r="Y22" s="3" t="inlineStr">
        <is>
          <t>평지</t>
        </is>
      </c>
      <c r="Z22" s="3" t="inlineStr">
        <is>
          <t>부정형</t>
        </is>
      </c>
      <c r="AA22" s="3" t="inlineStr">
        <is>
          <t>소로한면</t>
        </is>
      </c>
    </row>
    <row r="23">
      <c r="A23" s="3" t="inlineStr">
        <is>
          <t>강내면 사인리 49-18</t>
        </is>
      </c>
      <c r="B23" s="3" t="inlineStr">
        <is>
          <t>자연녹지지역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53.1</v>
      </c>
      <c r="V23" s="4" t="n">
        <v>477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사인리 49-27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51.4</v>
      </c>
      <c r="V24" s="4" t="n">
        <v>491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부정형</t>
        </is>
      </c>
      <c r="AA24" s="3" t="inlineStr">
        <is>
          <t>세로한면(가)</t>
        </is>
      </c>
    </row>
    <row r="25">
      <c r="A25" s="3" t="inlineStr">
        <is>
          <t>강내면 사인리 78-5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50.3</v>
      </c>
      <c r="V25" s="4" t="n">
        <v>446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완경사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사인리 84-1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45.8</v>
      </c>
      <c r="V26" s="4" t="n">
        <v>812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세로한면(불)</t>
        </is>
      </c>
    </row>
    <row r="27">
      <c r="A27" s="3" t="inlineStr">
        <is>
          <t>강내면 석화리 10-11</t>
        </is>
      </c>
      <c r="B27" s="3" t="inlineStr">
        <is>
          <t>자연녹지지역</t>
        </is>
      </c>
      <c r="C27" s="3" t="inlineStr">
        <is>
          <t>답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27</v>
      </c>
      <c r="V27" s="4" t="n">
        <v>558</v>
      </c>
      <c r="W27" s="3" t="inlineStr">
        <is>
          <t>지정되지않음</t>
        </is>
      </c>
      <c r="X27" s="3" t="inlineStr">
        <is>
          <t>답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331-14</t>
        </is>
      </c>
      <c r="B35" s="3" t="inlineStr">
        <is>
          <t>제1종일반주거지역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168.5</v>
      </c>
      <c r="V35" s="4" t="n">
        <v>407</v>
      </c>
      <c r="W35" s="3" t="inlineStr">
        <is>
          <t>지정되지않음</t>
        </is>
      </c>
      <c r="X35" s="3" t="inlineStr">
        <is>
          <t>주거기타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소로한면</t>
        </is>
      </c>
    </row>
    <row r="36">
      <c r="A36" s="3" t="inlineStr">
        <is>
          <t>강내면 월탄리 38-6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89.2</v>
      </c>
      <c r="V36" s="4" t="n">
        <v>195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38-7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89.2</v>
      </c>
      <c r="V37" s="4" t="n">
        <v>676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46-22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87.40000000000001</v>
      </c>
      <c r="V38" s="4" t="n">
        <v>453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49-13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87.40000000000001</v>
      </c>
      <c r="V40" s="4" t="n">
        <v>430</v>
      </c>
      <c r="W40" s="3" t="inlineStr">
        <is>
          <t>지정되지않음</t>
        </is>
      </c>
      <c r="X40" s="3" t="inlineStr">
        <is>
          <t>다세대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세로한면(가)</t>
        </is>
      </c>
    </row>
    <row r="41">
      <c r="A41" s="3" t="inlineStr">
        <is>
          <t>강내면 월탄리 63-2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336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333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63-5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83.90000000000001</v>
      </c>
      <c r="V43" s="4" t="n">
        <v>322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자루형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68-8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495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87.40000000000001</v>
      </c>
      <c r="V47" s="4" t="n">
        <v>307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72-4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368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89-1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87.40000000000001</v>
      </c>
      <c r="V54" s="4" t="n">
        <v>441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89-24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433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89-7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87.40000000000001</v>
      </c>
      <c r="V56" s="4" t="n">
        <v>299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95-7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33.4</v>
      </c>
      <c r="V57" s="4" t="n">
        <v>545</v>
      </c>
      <c r="W57" s="3" t="inlineStr">
        <is>
          <t>지정되지않음</t>
        </is>
      </c>
      <c r="X57" s="3" t="inlineStr">
        <is>
          <t>전</t>
        </is>
      </c>
      <c r="Y57" s="3" t="inlineStr">
        <is>
          <t>완경사</t>
        </is>
      </c>
      <c r="Z57" s="3" t="inlineStr">
        <is>
          <t>부정형</t>
        </is>
      </c>
      <c r="AA57" s="3" t="inlineStr">
        <is>
          <t>맹지</t>
        </is>
      </c>
    </row>
    <row r="58">
      <c r="A58" s="3" t="inlineStr">
        <is>
          <t>강내면 저산리 100-12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HYPERLINK("https://fin.land.naver.com/articles/2651099785",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43.5</v>
      </c>
      <c r="V58" s="4" t="n">
        <v>629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100-13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39.2</v>
      </c>
      <c r="V60" s="4" t="n">
        <v>538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완경사</t>
        </is>
      </c>
      <c r="Z60" s="3" t="inlineStr">
        <is>
          <t>정방형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57.5</v>
      </c>
      <c r="V62" s="4" t="n">
        <v>543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12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4" t="n">
        <v>1312</v>
      </c>
      <c r="M63" s="4" t="n">
        <v>397</v>
      </c>
      <c r="N63" s="5" t="n">
        <v>151.1</v>
      </c>
      <c r="O63" s="3" t="inlineStr">
        <is>
          <t>nan</t>
        </is>
      </c>
      <c r="P63" s="6">
        <f>HYPERLINK("https://fin.land.naver.com/articles/2654889417", "매물Link")</f>
        <v/>
      </c>
      <c r="Q63" s="6">
        <f>HYPERLINK("https://map.naver.com/p/search/강내면 저산리 12",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아주</t>
        </is>
      </c>
      <c r="T63" s="4" t="n">
        <v>1</v>
      </c>
      <c r="U63" s="5" t="n">
        <v>41.7</v>
      </c>
      <c r="V63" s="4" t="n">
        <v>530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12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4" t="n">
        <v>121</v>
      </c>
      <c r="M64" s="4" t="n">
        <v>37</v>
      </c>
      <c r="N64" s="5" t="n">
        <v>2162.2</v>
      </c>
      <c r="O64" s="3" t="inlineStr">
        <is>
          <t>은적산의 좋은 기운을 받는 저산리에 위치한 전원주택 급매</t>
        </is>
      </c>
      <c r="P64" s="6">
        <f>HYPERLINK("https://fin.land.naver.com/articles/2651762692", "매물Link")</f>
        <v/>
      </c>
      <c r="Q64" s="6">
        <f>HYPERLINK("https://map.naver.com/p/search/강내면 저산리 12",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41.7</v>
      </c>
      <c r="V64" s="4" t="n">
        <v>530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224-1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44.5</v>
      </c>
      <c r="V65" s="4" t="n">
        <v>495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81-8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39.2</v>
      </c>
      <c r="V66" s="4" t="n">
        <v>559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세로장방</t>
        </is>
      </c>
      <c r="AA66" s="3" t="inlineStr">
        <is>
          <t>세로한면(가)</t>
        </is>
      </c>
    </row>
    <row r="67">
      <c r="A67" s="3" t="inlineStr">
        <is>
          <t>강내면 탑연리 62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80.40000000000001</v>
      </c>
      <c r="V67" s="4" t="n">
        <v>284</v>
      </c>
      <c r="W67" s="3" t="inlineStr">
        <is>
          <t>지정되지않음</t>
        </is>
      </c>
      <c r="X67" s="3" t="inlineStr">
        <is>
          <t>주거기타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학천리 69</t>
        </is>
      </c>
      <c r="B68" s="3" t="inlineStr">
        <is>
          <t>자연녹지지역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76.7</v>
      </c>
      <c r="V68" s="4" t="n">
        <v>579</v>
      </c>
      <c r="W68" s="3" t="inlineStr">
        <is>
          <t>지정되지않음</t>
        </is>
      </c>
      <c r="X68" s="3" t="inlineStr">
        <is>
          <t>다세대</t>
        </is>
      </c>
      <c r="Y68" s="3" t="inlineStr">
        <is>
          <t>평지</t>
        </is>
      </c>
      <c r="Z68" s="3" t="inlineStr">
        <is>
          <t>부정형</t>
        </is>
      </c>
      <c r="AA68" s="3" t="inlineStr">
        <is>
          <t>세로한면(가)</t>
        </is>
      </c>
    </row>
    <row r="69">
      <c r="A69" s="3" t="inlineStr">
        <is>
          <t>강내면 황탄리 60-2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46.7</v>
      </c>
      <c r="V69" s="4" t="n">
        <v>337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세로한면(가)</t>
        </is>
      </c>
    </row>
    <row r="70">
      <c r="A70" s="3" t="inlineStr">
        <is>
          <t>고운동 1006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남향. 잘지어진집. 철근콘크리트. 구조 좋아요.</t>
        </is>
      </c>
      <c r="P97" s="6">
        <f>HYPERLINK("https://fin.land.naver.com/articles/2655689645",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세종삼촌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입지좋은 타운하우스매매, A타입, 온빛초, 정남향</t>
        </is>
      </c>
      <c r="P113" s="6">
        <f>HYPERLINK("https://fin.land.naver.com/articles/2652815452",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유럽마을 C타입  관리상태좋음  학교 근린생활시설가까운 입지 최고 단지</t>
        </is>
      </c>
      <c r="P114" s="6">
        <f>HYPERLINK("https://fin.land.naver.com/articles/2652588602",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고운힐스테이트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4" t="n">
        <v>253</v>
      </c>
      <c r="M118" s="4" t="n">
        <v>77</v>
      </c>
      <c r="N118" s="5" t="n">
        <v>2077.9</v>
      </c>
      <c r="O118" s="3" t="inlineStr">
        <is>
          <t>아르티엠 더블랙  초품아 프리미엄과 풀옵션이 만난 완벽한 타운하우스</t>
        </is>
      </c>
      <c r="P118" s="6">
        <f>HYPERLINK("https://fin.land.naver.com/articles/2651672445",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급매,C타입,주인거주로집상태좋음.</t>
        </is>
      </c>
      <c r="P122" s="6">
        <f>HYPERLINK("https://fin.land.naver.com/articles/2653085610",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세종황소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3.4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4" t="n">
        <v>192</v>
      </c>
      <c r="M131" s="4" t="n">
        <v>58</v>
      </c>
      <c r="N131" s="5" t="n">
        <v>1379.3</v>
      </c>
      <c r="O131" s="3" t="inlineStr">
        <is>
          <t>고급 타운하우스 전세, 월세도 가능, 협의 입주 가능</t>
        </is>
      </c>
      <c r="P131" s="6">
        <f>HYPERLINK("https://fin.land.naver.com/articles/2654220722",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협의입주 고운동리치먼드힐타운하우스급매</t>
        </is>
      </c>
      <c r="P146" s="6">
        <f>HYPERLINK("https://fin.land.naver.com/articles/2651811295",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고운동리치세종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4" t="n">
        <v>141</v>
      </c>
      <c r="M148" s="4" t="n">
        <v>43</v>
      </c>
      <c r="N148" s="5" t="n">
        <v>1855.8</v>
      </c>
      <c r="O148" s="3" t="inlineStr">
        <is>
          <t>고운동 단독주택 급매, 정원, 다락, 금액조절가능</t>
        </is>
      </c>
      <c r="P148" s="6">
        <f>HYPERLINK("https://fin.land.naver.com/articles/2651472215",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4" t="n">
        <v>194</v>
      </c>
      <c r="M154" s="4" t="n">
        <v>59</v>
      </c>
      <c r="N154" s="5" t="n">
        <v>796.6</v>
      </c>
      <c r="O154" s="3" t="inlineStr">
        <is>
          <t>조율가능,급매, 고운동 타운하우스</t>
        </is>
      </c>
      <c r="P154" s="6">
        <f>HYPERLINK("https://fin.land.naver.com/articles/2652790063",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4" t="n">
        <v>73</v>
      </c>
      <c r="M157" s="4" t="n">
        <v>22</v>
      </c>
      <c r="N157" s="5" t="n">
        <v>3627.3</v>
      </c>
      <c r="O157" s="3" t="inlineStr">
        <is>
          <t>급매,입주협의,고운동 단독주택,숲속 힐링 타운하우스</t>
        </is>
      </c>
      <c r="P157" s="6">
        <f>HYPERLINK("https://fin.land.naver.com/articles/2653212973",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세종현대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4" t="n">
        <v>196</v>
      </c>
      <c r="M169" s="4" t="n">
        <v>59</v>
      </c>
      <c r="N169" s="5" t="n">
        <v>2152.5</v>
      </c>
      <c r="O169" s="3" t="inlineStr">
        <is>
          <t>타운하우스매매 가격조정가능 상태좋음 방3개 테라스 다락있음 옵션풀</t>
        </is>
      </c>
      <c r="P169" s="6">
        <f>HYPERLINK("https://fin.land.naver.com/articles/2654272968",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새롬스마트</t>
        </is>
      </c>
      <c r="T169" s="4" t="n">
        <v>2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4" t="n">
        <v>171</v>
      </c>
      <c r="M171" s="4" t="n">
        <v>52</v>
      </c>
      <c r="N171" s="5" t="n">
        <v>2222.7</v>
      </c>
      <c r="O171" s="3" t="inlineStr">
        <is>
          <t>인기 있는 타운하우스 , 매매추천, 적극조율</t>
        </is>
      </c>
      <c r="P171" s="6">
        <f>HYPERLINK("https://fin.land.naver.com/articles/2654725621",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HYPERLINK("https://fin.land.naver.com/articles/2651190293",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2년전 전체리모델링, 풀옵션, 방4개, 화장실3개, 창고</t>
        </is>
      </c>
      <c r="P201" s="6">
        <f>HYPERLINK("https://fin.land.naver.com/articles/2653583999",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세종시 15분거리 단독주택 매매</t>
        </is>
      </c>
      <c r="P206" s="6">
        <f>HYPERLINK("https://fin.land.naver.com/articles/2655760728",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세종태양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4" t="n">
        <v>54</v>
      </c>
      <c r="M208" s="4" t="n">
        <v>16</v>
      </c>
      <c r="N208" s="5" t="n">
        <v>1437.5</v>
      </c>
      <c r="O208" s="3" t="inlineStr">
        <is>
          <t>복층구조로 협의 입주가능 단독세대로 편하게 사용가능 합니다</t>
        </is>
      </c>
      <c r="P208" s="6">
        <f>HYPERLINK("https://fin.land.naver.com/articles/2651214190", "매물Link")</f>
        <v/>
      </c>
      <c r="Q208" s="6">
        <f>HYPERLINK("https://map.naver.com/p/search/금남면 도남리 97",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은성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4" t="n">
        <v>54</v>
      </c>
      <c r="M209" s="4" t="n">
        <v>16</v>
      </c>
      <c r="N209" s="5" t="n">
        <v>1312.5</v>
      </c>
      <c r="O209" s="3" t="inlineStr">
        <is>
          <t>세종시 금남면도남리 다세대주택 급매매 방3 금강수목원앞 엘리베이터·주차장</t>
        </is>
      </c>
      <c r="P209" s="6">
        <f>HYPERLINK("https://fin.land.naver.com/articles/2650869054",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세종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HYPERLINK("https://fin.land.naver.com/articles/2650848725",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남동향으로 지대가 높고 앞에는 공원부지라 조망이 탁 트인 전원주택입니다</t>
        </is>
      </c>
      <c r="P217" s="6">
        <f>HYPERLINK("https://fin.land.naver.com/articles/2655558713",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스마일세종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공실없고, 위치좋음, 대평시장 인근, 수요많음</t>
        </is>
      </c>
      <c r="P258" s="6">
        <f>HYPERLINK("https://fin.land.naver.com/articles/2653006777",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세종온정성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 걱정없는 대평시장 터미널 인접한 수익형 다가구</t>
        </is>
      </c>
      <c r="P260" s="6">
        <f>HYPERLINK("https://fin.land.naver.com/articles/2655557110",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뉴엘리트탑</t>
        </is>
      </c>
      <c r="T260" s="4" t="n">
        <v>2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수익성 좋은 다가구주택 매매, 대평시장 인접한 세입자 선호 입지</t>
        </is>
      </c>
      <c r="P261" s="6">
        <f>HYPERLINK("https://fin.land.naver.com/articles/2656008237",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한빛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916.7</v>
      </c>
      <c r="O262" s="3" t="inlineStr">
        <is>
          <t>복층형 귀한 전세, 무융자</t>
        </is>
      </c>
      <c r="P262" s="6">
        <f>HYPERLINK("https://fin.land.naver.com/articles/2653961808",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</t>
        </is>
      </c>
      <c r="B294" s="3" t="inlineStr">
        <is>
          <t>제1종일반주거지역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367.9</v>
      </c>
      <c r="V294" s="4" t="n">
        <v>341.2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중로각지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가좌리 134-1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72.40000000000001</v>
      </c>
      <c r="V296" s="4" t="n">
        <v>518</v>
      </c>
      <c r="W296" s="3" t="inlineStr">
        <is>
          <t>보전녹지지역</t>
        </is>
      </c>
      <c r="X296" s="3" t="inlineStr">
        <is>
          <t>단독</t>
        </is>
      </c>
      <c r="Y296" s="3" t="inlineStr">
        <is>
          <t>완경사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134-33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71.8</v>
      </c>
      <c r="V299" s="4" t="n">
        <v>465</v>
      </c>
      <c r="W299" s="3" t="inlineStr">
        <is>
          <t>보전녹지지역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남이면 가좌리 134-36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66.8</v>
      </c>
      <c r="V300" s="4" t="n">
        <v>472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남이면 가좌리 223-4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청주시 인근 마당과 정원이 예쁜 1층 단독주택</t>
        </is>
      </c>
      <c r="P301" s="6">
        <f>HYPERLINK("https://fin.land.naver.com/articles/2655454095", "매물Link")</f>
        <v/>
      </c>
      <c r="Q301" s="6">
        <f>HYPERLINK("https://map.naver.com/p/search/남이면 가좌리 223-4",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청주원</t>
        </is>
      </c>
      <c r="T301" s="4" t="n">
        <v>1</v>
      </c>
      <c r="U301" s="5" t="n">
        <v>69</v>
      </c>
      <c r="V301" s="4" t="n">
        <v>510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226</v>
      </c>
      <c r="M319" s="4" t="n">
        <v>68</v>
      </c>
      <c r="N319" s="5" t="n">
        <v>1397.1</v>
      </c>
      <c r="O319" s="3" t="inlineStr">
        <is>
          <t>사진有 급매 남이면 석판리 고급전원주택매매.시스템에어컨.도심접근성좋은곳</t>
        </is>
      </c>
      <c r="P319" s="6">
        <f>HYPERLINK("https://fin.land.naver.com/articles/2651216398",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행복도시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110000</v>
      </c>
      <c r="H320" s="4" t="n">
        <v>0</v>
      </c>
      <c r="I320" s="4" t="n">
        <v>902</v>
      </c>
      <c r="J320" s="4" t="n">
        <v>273</v>
      </c>
      <c r="K320" s="5" t="n">
        <v>402.9</v>
      </c>
      <c r="L320" s="4" t="n">
        <v>226</v>
      </c>
      <c r="M320" s="4" t="n">
        <v>68</v>
      </c>
      <c r="N320" s="5" t="n">
        <v>1617.6</v>
      </c>
      <c r="O320" s="3" t="inlineStr">
        <is>
          <t>급매 접근성 좋은 지중해풍 멋진주택</t>
        </is>
      </c>
      <c r="P320" s="6">
        <f>HYPERLINK("https://fin.land.naver.com/articles/2654837912",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228</v>
      </c>
      <c r="M321" s="4" t="n">
        <v>69</v>
      </c>
      <c r="N321" s="5" t="n">
        <v>1376.8</v>
      </c>
      <c r="O321" s="3" t="inlineStr">
        <is>
          <t>파격급매 력셔리한 신축 전원주택 매매</t>
        </is>
      </c>
      <c r="P321" s="6">
        <f>HYPERLINK("https://fin.land.naver.com/articles/2654776576",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청주 합동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382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77.40000000000001</v>
      </c>
      <c r="V322" s="4" t="n">
        <v>483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상태굿   입주협의   그림같은 전원주택</t>
        </is>
      </c>
      <c r="P323" s="6">
        <f>HYPERLINK("https://fin.land.naver.com/articles/2652389858",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지웰시티합동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47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남이면 석판리  전원주택 매매</t>
        </is>
      </c>
      <c r="P324" s="6">
        <f>HYPERLINK("https://fin.land.naver.com/articles/2651347383", "매물Link")</f>
        <v/>
      </c>
      <c r="Q324" s="6">
        <f>HYPERLINK("https://map.naver.com/p/search/남이면 석판리 47",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금호사랑</t>
        </is>
      </c>
      <c r="T324" s="4" t="n">
        <v>1</v>
      </c>
      <c r="U324" s="5" t="n">
        <v>82.2</v>
      </c>
      <c r="V324" s="4" t="n">
        <v>427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세로각지(가)</t>
        </is>
      </c>
    </row>
    <row r="325">
      <c r="A325" s="3" t="inlineStr">
        <is>
          <t>남이면 석판리 65-1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95.90000000000001</v>
      </c>
      <c r="V325" s="4" t="n">
        <v>160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65000</v>
      </c>
      <c r="H327" s="4" t="n">
        <v>0</v>
      </c>
      <c r="I327" s="4" t="n">
        <v>887</v>
      </c>
      <c r="J327" s="4" t="n">
        <v>268</v>
      </c>
      <c r="K327" s="5" t="n">
        <v>242.5</v>
      </c>
      <c r="L327" s="4" t="n">
        <v>99</v>
      </c>
      <c r="M327" s="4" t="n">
        <v>30</v>
      </c>
      <c r="N327" s="5" t="n">
        <v>2166.7</v>
      </c>
      <c r="O327" s="3" t="inlineStr">
        <is>
          <t>남이초등학교앞   전원주택단지</t>
        </is>
      </c>
      <c r="P327" s="6">
        <f>HYPERLINK("https://fin.land.naver.com/articles/2655224441",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금슬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5년차준신축,수대리위치좋은2층주택,방3,화장실2,이사협의</t>
        </is>
      </c>
      <c r="P329" s="6">
        <f>HYPERLINK("https://fin.land.naver.com/articles/2651927684",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금호스마트</t>
        </is>
      </c>
      <c r="T329" s="4" t="n">
        <v>1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남이초 인근 두껍게 잘지은2층단독매매,태양광 설치,지하수공사됨.</t>
        </is>
      </c>
      <c r="P331" s="6">
        <f>HYPERLINK("https://fin.land.naver.com/articles/2654414183",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주공그린빌</t>
        </is>
      </c>
      <c r="T331" s="4" t="n">
        <v>1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방4, 화장실4구조, 즉시입주가능, 텃밭 가꾸기 용이함</t>
        </is>
      </c>
      <c r="P332" s="6">
        <f>HYPERLINK("https://fin.land.naver.com/articles/2655099488",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한방</t>
        </is>
      </c>
      <c r="T332" s="4" t="n">
        <v>3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532</v>
      </c>
      <c r="J333" s="4" t="n">
        <v>161</v>
      </c>
      <c r="K333" s="5" t="n">
        <v>242.2</v>
      </c>
      <c r="L333" s="4" t="n">
        <v>220</v>
      </c>
      <c r="M333" s="4" t="n">
        <v>67</v>
      </c>
      <c r="N333" s="5" t="n">
        <v>582.1</v>
      </c>
      <c r="O333" s="3" t="inlineStr">
        <is>
          <t>탁트인전망 햇빛잘들고 텃밭과 넓은 지하주차장을 겸비한 살기좋은집</t>
        </is>
      </c>
      <c r="P333" s="6">
        <f>HYPERLINK("https://fin.land.naver.com/articles/2655518915",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신두꺼비</t>
        </is>
      </c>
      <c r="T333" s="4" t="n">
        <v>1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텃밭 있고 상태 양호한 전원주택</t>
        </is>
      </c>
      <c r="P334" s="6">
        <f>HYPERLINK("https://fin.land.naver.com/articles/2655039846",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옥산금정</t>
        </is>
      </c>
      <c r="T334" s="4" t="n">
        <v>1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137-2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가격절충가능, 남이면 햇살 잘드는 전원주택,가경동에서 20분 이내</t>
        </is>
      </c>
      <c r="P335" s="6">
        <f>HYPERLINK("https://fin.land.naver.com/articles/2654522037",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소원</t>
        </is>
      </c>
      <c r="T335" s="4" t="n">
        <v>3</v>
      </c>
      <c r="U335" s="5" t="n">
        <v>52.9</v>
      </c>
      <c r="V335" s="4" t="n">
        <v>488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165-24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70.2</v>
      </c>
      <c r="V336" s="4" t="n">
        <v>686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161-28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65.40000000000001</v>
      </c>
      <c r="V337" s="4" t="n">
        <v>397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양촌리 245-1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116</v>
      </c>
      <c r="V338" s="4" t="n">
        <v>854</v>
      </c>
      <c r="W338" s="3" t="inlineStr">
        <is>
          <t>지정되지않음</t>
        </is>
      </c>
      <c r="X338" s="3" t="inlineStr">
        <is>
          <t>상업기타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중로한면</t>
        </is>
      </c>
    </row>
    <row r="339">
      <c r="A339" s="3" t="inlineStr">
        <is>
          <t>남이면 양촌리 3-16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101.6</v>
      </c>
      <c r="V339" s="4" t="n">
        <v>686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양촌리 3-7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103.6</v>
      </c>
      <c r="V340" s="4" t="n">
        <v>512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세로각지(가)</t>
        </is>
      </c>
    </row>
    <row r="341">
      <c r="A341" s="3" t="inlineStr">
        <is>
          <t>남이면 양촌리 392-1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80.3</v>
      </c>
      <c r="V341" s="4" t="n">
        <v>660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양촌리 392-2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83.59999999999999</v>
      </c>
      <c r="V342" s="4" t="n">
        <v>640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세로각지(가)</t>
        </is>
      </c>
    </row>
    <row r="343">
      <c r="A343" s="3" t="inlineStr">
        <is>
          <t>남이면 외천리 343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343-2</t>
        </is>
      </c>
      <c r="B344" s="3" t="inlineStr">
        <is>
          <t>농림지역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48.4</v>
      </c>
      <c r="V344" s="4" t="n">
        <v>660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469-6</t>
        </is>
      </c>
      <c r="B345" s="3" t="inlineStr">
        <is>
          <t>보전관리지역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43.2</v>
      </c>
      <c r="V345" s="4" t="n">
        <v>641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외천리 615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60.6</v>
      </c>
      <c r="V346" s="4" t="n">
        <v>298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척북리 74-7</t>
        </is>
      </c>
      <c r="B347" s="3" t="inlineStr">
        <is>
          <t>계획관리지역</t>
        </is>
      </c>
      <c r="C347" s="3" t="inlineStr">
        <is>
          <t>임야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89.5</v>
      </c>
      <c r="V347" s="4" t="n">
        <v>24362</v>
      </c>
      <c r="W347" s="3" t="inlineStr">
        <is>
          <t>지정되지않음</t>
        </is>
      </c>
      <c r="X347" s="3" t="inlineStr">
        <is>
          <t>아파트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남이면 척북리 74-7</t>
        </is>
      </c>
      <c r="B348" s="3" t="inlineStr">
        <is>
          <t>계획관리지역</t>
        </is>
      </c>
      <c r="C348" s="3" t="inlineStr">
        <is>
          <t>임야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4" t="n">
        <v>36</v>
      </c>
      <c r="M348" s="4" t="n">
        <v>11</v>
      </c>
      <c r="N348" s="5" t="n">
        <v>200</v>
      </c>
      <c r="O348" s="3" t="inlineStr">
        <is>
          <t>척북리 삼포그린힐 투베이 월세 안고 매매 희망</t>
        </is>
      </c>
      <c r="P348" s="6">
        <f>HYPERLINK("https://fin.land.naver.com/articles/2656032355", "매물Link")</f>
        <v/>
      </c>
      <c r="Q348" s="6">
        <f>HYPERLINK("https://map.naver.com/p/search/남이면 척북리 74-7",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보배</t>
        </is>
      </c>
      <c r="T348" s="4" t="n">
        <v>1</v>
      </c>
      <c r="U348" s="5" t="n">
        <v>89.5</v>
      </c>
      <c r="V348" s="4" t="n">
        <v>24362</v>
      </c>
      <c r="W348" s="3" t="inlineStr">
        <is>
          <t>지정되지않음</t>
        </is>
      </c>
      <c r="X348" s="3" t="inlineStr">
        <is>
          <t>아파트</t>
        </is>
      </c>
      <c r="Y348" s="3" t="inlineStr">
        <is>
          <t>평지</t>
        </is>
      </c>
      <c r="Z348" s="3" t="inlineStr">
        <is>
          <t>부정형</t>
        </is>
      </c>
      <c r="AA348" s="3" t="inlineStr">
        <is>
          <t>소로한면</t>
        </is>
      </c>
    </row>
    <row r="349">
      <c r="A349" s="3" t="inlineStr">
        <is>
          <t>남이면 척북리 74-7</t>
        </is>
      </c>
      <c r="B349" s="3" t="inlineStr">
        <is>
          <t>계획관리지역</t>
        </is>
      </c>
      <c r="C349" s="3" t="inlineStr">
        <is>
          <t>임야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4" t="n">
        <v>59</v>
      </c>
      <c r="M349" s="4" t="n">
        <v>18</v>
      </c>
      <c r="N349" s="5" t="n">
        <v>1.7</v>
      </c>
      <c r="O349" s="3" t="inlineStr">
        <is>
          <t>햇빛 잘들고 앞전망 산쪽으로 조용하고 공기좋은 살기좋은집</t>
        </is>
      </c>
      <c r="P349" s="6">
        <f>HYPERLINK("https://fin.land.naver.com/articles/2655757795", "매물Link")</f>
        <v/>
      </c>
      <c r="Q349" s="6">
        <f>HYPERLINK("https://map.naver.com/p/search/남이면 척북리 74-7",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신두꺼비</t>
        </is>
      </c>
      <c r="T349" s="4" t="n">
        <v>2</v>
      </c>
      <c r="U349" s="5" t="n">
        <v>89.5</v>
      </c>
      <c r="V349" s="4" t="n">
        <v>24362</v>
      </c>
      <c r="W349" s="3" t="inlineStr">
        <is>
          <t>지정되지않음</t>
        </is>
      </c>
      <c r="X349" s="3" t="inlineStr">
        <is>
          <t>아파트</t>
        </is>
      </c>
      <c r="Y349" s="3" t="inlineStr">
        <is>
          <t>평지</t>
        </is>
      </c>
      <c r="Z349" s="3" t="inlineStr">
        <is>
          <t>부정형</t>
        </is>
      </c>
      <c r="AA349" s="3" t="inlineStr">
        <is>
          <t>소로한면</t>
        </is>
      </c>
    </row>
    <row r="350">
      <c r="A350" s="3" t="inlineStr">
        <is>
          <t>남이면 척산리 109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42.3</v>
      </c>
      <c r="V350" s="4" t="n">
        <v>581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자루형</t>
        </is>
      </c>
      <c r="AA350" s="3" t="inlineStr">
        <is>
          <t>세로한면(불)</t>
        </is>
      </c>
    </row>
    <row r="351">
      <c r="A351" s="3" t="inlineStr">
        <is>
          <t>남이면 척산리 514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58.5</v>
      </c>
      <c r="V351" s="4" t="n">
        <v>846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척산리 533-3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54.9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100-3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46.1</v>
      </c>
      <c r="V353" s="4" t="n">
        <v>496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남이면 팔봉리 174-3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41.5</v>
      </c>
      <c r="V354" s="4" t="n">
        <v>559</v>
      </c>
      <c r="W354" s="3" t="inlineStr">
        <is>
          <t>보전녹지지역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218-10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44.8</v>
      </c>
      <c r="V355" s="4" t="n">
        <v>702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팔봉리 218-20</t>
        </is>
      </c>
      <c r="B356" s="3" t="inlineStr">
        <is>
          <t>보전관리지역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36</v>
      </c>
      <c r="V356" s="4" t="n">
        <v>631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남이면 팔봉리 218-3</t>
        </is>
      </c>
      <c r="B357" s="3" t="inlineStr">
        <is>
          <t>보전관리지역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37.5</v>
      </c>
      <c r="V357" s="4" t="n">
        <v>714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남이면 팔봉리 218-30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42.1</v>
      </c>
      <c r="V358" s="4" t="n">
        <v>733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218-30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42.1</v>
      </c>
      <c r="V359" s="4" t="n">
        <v>733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도담동 신축주택. 공원인접</t>
        </is>
      </c>
      <c r="P371" s="6">
        <f>HYPERLINK("https://fin.land.naver.com/articles/2655648064",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최무연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테라스, 공원 인접, 인근 충남대병원, 방축천, 로컬푸드, 6생활권 근접</t>
        </is>
      </c>
      <c r="P372" s="6">
        <f>HYPERLINK("https://fin.land.naver.com/articles/2655652107",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온뜰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전용 53.4p, 층고 높고 조망 좋은집, 테라스, 공원인근</t>
        </is>
      </c>
      <c r="P373" s="6">
        <f>HYPERLINK("https://fin.land.naver.com/articles/2654924033",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명진</t>
        </is>
      </c>
      <c r="T373" s="4" t="n">
        <v>2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nan</t>
        </is>
      </c>
      <c r="P381" s="6">
        <f>HYPERLINK("https://fin.land.naver.com/articles/2655659815",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세종삼촌</t>
        </is>
      </c>
      <c r="T381" s="4" t="n">
        <v>2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청사와홈플인근 입지좋고 세컨하우스로 사용할수있는 모듈하우스</t>
        </is>
      </c>
      <c r="P388" s="6">
        <f>HYPERLINK("https://fin.land.naver.com/articles/2653841691",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웅진스타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생명나무,도담동 아담한 모듈하우스 경작가능 주말쉼터로도 좋아요</t>
        </is>
      </c>
      <c r="P391" s="6">
        <f>HYPERLINK("https://fin.land.naver.com/articles/2651373721",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생명나무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금강변  복층전원주택(관리 최상)</t>
        </is>
      </c>
      <c r="P401" s="6">
        <f>HYPERLINK("https://fin.land.naver.com/articles/2653362510",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이레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탁트인 전망 별장같은 멋진주택</t>
        </is>
      </c>
      <c r="P402" s="6">
        <f>HYPERLINK("https://fin.land.naver.com/articles/2654261184",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학사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금강뷰 전원주택, 금호교 개통으로 4생활권에서 5분거리</t>
        </is>
      </c>
      <c r="P403" s="6">
        <f>HYPERLINK("https://fin.land.naver.com/articles/2655632602",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세종삼촌</t>
        </is>
      </c>
      <c r="T403" s="4" t="n">
        <v>3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50</v>
      </c>
      <c r="I418" s="4" t="n">
        <v>45</v>
      </c>
      <c r="J418" s="4" t="n">
        <v>14</v>
      </c>
      <c r="K418" s="5" t="n">
        <v>3.6</v>
      </c>
      <c r="L418" s="4" t="n">
        <v>33</v>
      </c>
      <c r="M418" s="4" t="n">
        <v>10</v>
      </c>
      <c r="N418" s="5" t="n">
        <v>5</v>
      </c>
      <c r="O418" s="3" t="inlineStr">
        <is>
          <t>편의시설 초근접 풀옵션 1.5룸</t>
        </is>
      </c>
      <c r="P418" s="6">
        <f>HYPERLINK("https://fin.land.naver.com/articles/2652929725", "매물Link")</f>
        <v/>
      </c>
      <c r="Q418" s="6">
        <f>HYPERLINK("https://map.naver.com/p/search/부강면 부강리 463-10",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500</v>
      </c>
      <c r="H419" s="4" t="n">
        <v>48</v>
      </c>
      <c r="I419" s="4" t="n">
        <v>45</v>
      </c>
      <c r="J419" s="4" t="n">
        <v>14</v>
      </c>
      <c r="K419" s="5" t="n">
        <v>3.4</v>
      </c>
      <c r="L419" s="4" t="n">
        <v>30</v>
      </c>
      <c r="M419" s="4" t="n">
        <v>9</v>
      </c>
      <c r="N419" s="5" t="n">
        <v>5.3</v>
      </c>
      <c r="O419" s="3" t="inlineStr">
        <is>
          <t>편의시설 초근접 풀옵션 1.5룸</t>
        </is>
      </c>
      <c r="P419" s="6">
        <f>HYPERLINK("https://fin.land.naver.com/articles/2653296523", "매물Link")</f>
        <v/>
      </c>
      <c r="Q419" s="6">
        <f>HYPERLINK("https://map.naver.com/p/search/부강면 부강리 463-10",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4000</v>
      </c>
      <c r="H424" s="4" t="n">
        <v>20</v>
      </c>
      <c r="I424" s="4" t="n">
        <v>40</v>
      </c>
      <c r="J424" s="4" t="n">
        <v>12</v>
      </c>
      <c r="K424" s="5" t="n">
        <v>1.7</v>
      </c>
      <c r="L424" s="4" t="n">
        <v>33</v>
      </c>
      <c r="M424" s="4" t="n">
        <v>10</v>
      </c>
      <c r="N424" s="5" t="n">
        <v>2</v>
      </c>
      <c r="O424" s="3" t="inlineStr">
        <is>
          <t>대박 신축 1.5룸</t>
        </is>
      </c>
      <c r="P424" s="6">
        <f>HYPERLINK("https://fin.land.naver.com/articles/2652545951", "매물Link")</f>
        <v/>
      </c>
      <c r="Q424" s="6">
        <f>HYPERLINK("https://map.naver.com/p/search/부강면 부강리 959-1",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다가구</t>
        </is>
      </c>
      <c r="F425" s="3" t="inlineStr">
        <is>
          <t>월세</t>
        </is>
      </c>
      <c r="G425" s="4" t="n">
        <v>500</v>
      </c>
      <c r="H425" s="4" t="n">
        <v>70</v>
      </c>
      <c r="I425" s="4" t="n">
        <v>60</v>
      </c>
      <c r="J425" s="4" t="n">
        <v>18</v>
      </c>
      <c r="K425" s="5" t="n">
        <v>3.9</v>
      </c>
      <c r="L425" s="4" t="n">
        <v>50</v>
      </c>
      <c r="M425" s="4" t="n">
        <v>15</v>
      </c>
      <c r="N425" s="5" t="n">
        <v>4.7</v>
      </c>
      <c r="O425" s="3" t="inlineStr">
        <is>
          <t>대박 신축 투룸</t>
        </is>
      </c>
      <c r="P425" s="6">
        <f>HYPERLINK("https://fin.land.naver.com/articles/2652551499", "매물Link")</f>
        <v/>
      </c>
      <c r="Q425" s="6">
        <f>HYPERLINK("https://map.naver.com/p/search/부강면 부강리 959-1",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4" t="n">
        <v>76</v>
      </c>
      <c r="M426" s="4" t="n">
        <v>23</v>
      </c>
      <c r="N426" s="5" t="n">
        <v>4.1</v>
      </c>
      <c r="O426" s="3" t="inlineStr">
        <is>
          <t>대박 신축 3룸 욕실2</t>
        </is>
      </c>
      <c r="P426" s="6">
        <f>HYPERLINK("https://fin.land.naver.com/articles/2652544293", "매물Link")</f>
        <v/>
      </c>
      <c r="Q426" s="6">
        <f>HYPERLINK("https://map.naver.com/p/search/부강면 부강리 959-1",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4" t="n">
        <v>190</v>
      </c>
      <c r="M433" s="4" t="n">
        <v>57</v>
      </c>
      <c r="N433" s="5" t="n">
        <v>2526.3</v>
      </c>
      <c r="O433" s="3" t="inlineStr">
        <is>
          <t>급매 원분양가 신축첫입주 남향 선호C타입</t>
        </is>
      </c>
      <c r="P433" s="6">
        <f>HYPERLINK("https://fin.land.naver.com/articles/2652395239", "매물Link")</f>
        <v/>
      </c>
      <c r="Q433" s="6">
        <f>HYPERLINK("https://map.naver.com/p/search/새롬동 569",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4" t="n">
        <v>197</v>
      </c>
      <c r="M434" s="4" t="n">
        <v>60</v>
      </c>
      <c r="N434" s="5" t="n">
        <v>1416.7</v>
      </c>
      <c r="O434" s="3" t="inlineStr">
        <is>
          <t>산조망 58B1타입 인기좋은 타입</t>
        </is>
      </c>
      <c r="P434" s="6">
        <f>HYPERLINK("https://fin.land.naver.com/articles/2652073634", "매물Link")</f>
        <v/>
      </c>
      <c r="Q434" s="6">
        <f>HYPERLINK("https://map.naver.com/p/search/새롬동 569",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강아지풀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4" t="n">
        <v>190</v>
      </c>
      <c r="M435" s="4" t="n">
        <v>57</v>
      </c>
      <c r="N435" s="5" t="n">
        <v>2578.9</v>
      </c>
      <c r="O435" s="3" t="inlineStr">
        <is>
          <t>A타입, 지하주차장, 신축, 개별 엘레베이터, 입지 굿</t>
        </is>
      </c>
      <c r="P435" s="6">
        <f>HYPERLINK("https://fin.land.naver.com/articles/2652163827", "매물Link")</f>
        <v/>
      </c>
      <c r="Q435" s="6">
        <f>HYPERLINK("https://map.naver.com/p/search/새롬동 569",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4" t="n">
        <v>191</v>
      </c>
      <c r="M436" s="4" t="n">
        <v>58</v>
      </c>
      <c r="N436" s="5" t="n">
        <v>1379.3</v>
      </c>
      <c r="O436" s="3" t="inlineStr">
        <is>
          <t>B타입 전세8억 즉시입주가능 새롬동 최고위치 타운하우스 학군 좋아요</t>
        </is>
      </c>
      <c r="P436" s="6">
        <f>HYPERLINK("https://fin.land.naver.com/articles/2653150330", "매물Link")</f>
        <v/>
      </c>
      <c r="Q436" s="6">
        <f>HYPERLINK("https://map.naver.com/p/search/새롬동 569",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4" t="n">
        <v>190</v>
      </c>
      <c r="M437" s="4" t="n">
        <v>57</v>
      </c>
      <c r="N437" s="5" t="n">
        <v>1403.5</v>
      </c>
      <c r="O437" s="3" t="inlineStr">
        <is>
          <t>nan</t>
        </is>
      </c>
      <c r="P437" s="6">
        <f>HYPERLINK("https://fin.land.naver.com/articles/2653151181", "매물Link")</f>
        <v/>
      </c>
      <c r="Q437" s="6">
        <f>HYPERLINK("https://map.naver.com/p/search/새롬동 569",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국제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6.1</v>
      </c>
      <c r="O438" s="3" t="inlineStr">
        <is>
          <t>남향 선호타입 융자없음 매물전량확보중</t>
        </is>
      </c>
      <c r="P438" s="6">
        <f>HYPERLINK("https://fin.land.naver.com/articles/2653176709", "매물Link")</f>
        <v/>
      </c>
      <c r="Q438" s="6">
        <f>HYPERLINK("https://map.naver.com/p/search/새롬동 569",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191</v>
      </c>
      <c r="M439" s="4" t="n">
        <v>58</v>
      </c>
      <c r="N439" s="5" t="n">
        <v>1379.3</v>
      </c>
      <c r="O439" s="3" t="inlineStr">
        <is>
          <t>B타입 남향 맨앞 탁트임 매매도가능 매물전량확보됨</t>
        </is>
      </c>
      <c r="P439" s="6">
        <f>HYPERLINK("https://fin.land.naver.com/articles/2653802299", "매물Link")</f>
        <v/>
      </c>
      <c r="Q439" s="6">
        <f>HYPERLINK("https://map.naver.com/p/search/새롬동 569",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세종스타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A타입 남서향 상가 마트 가까움 추가조율가능</t>
        </is>
      </c>
      <c r="P440" s="6">
        <f>HYPERLINK("https://fin.land.naver.com/articles/2653802358", "매물Link")</f>
        <v/>
      </c>
      <c r="Q440" s="6">
        <f>HYPERLINK("https://map.naver.com/p/search/새롬동 569",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세종스타</t>
        </is>
      </c>
      <c r="T440" s="4" t="n">
        <v>2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6.1</v>
      </c>
      <c r="O441" s="3" t="inlineStr">
        <is>
          <t>A타입 남서향 상가 마트 인근 매매도가능</t>
        </is>
      </c>
      <c r="P441" s="6">
        <f>HYPERLINK("https://fin.land.naver.com/articles/2653159507",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급매원분양가 그대로 매매</t>
        </is>
      </c>
      <c r="P442" s="6">
        <f>HYPERLINK("https://fin.land.naver.com/articles/2653989967",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강아지풀</t>
        </is>
      </c>
      <c r="T442" s="4" t="n">
        <v>3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190</v>
      </c>
      <c r="M443" s="4" t="n">
        <v>57</v>
      </c>
      <c r="N443" s="5" t="n">
        <v>1403.5</v>
      </c>
      <c r="O443" s="3" t="inlineStr">
        <is>
          <t>냠항 B타입 융자무 매물전량확보중</t>
        </is>
      </c>
      <c r="P443" s="6">
        <f>HYPERLINK("https://fin.land.naver.com/articles/2656123332",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1491.2</v>
      </c>
      <c r="O446" s="3" t="inlineStr">
        <is>
          <t>3층안방확장. B타입. 남향. 빌트인냉장고. 방3개 욕실3개</t>
        </is>
      </c>
      <c r="P446" s="6">
        <f>HYPERLINK("https://fin.land.naver.com/articles/2655244302",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2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4" t="n">
        <v>191</v>
      </c>
      <c r="M448" s="4" t="n">
        <v>58</v>
      </c>
      <c r="N448" s="5" t="n">
        <v>2931</v>
      </c>
      <c r="O448" s="3" t="inlineStr">
        <is>
          <t>전.월세도 가능, 신축 새입주, 개별 엘레베이터, 지하창고</t>
        </is>
      </c>
      <c r="P448" s="6">
        <f>HYPERLINK("https://fin.land.naver.com/articles/2655877417",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명진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4" t="n">
        <v>191</v>
      </c>
      <c r="M450" s="4" t="n">
        <v>58</v>
      </c>
      <c r="N450" s="5" t="n">
        <v>2931</v>
      </c>
      <c r="O450" s="3" t="inlineStr">
        <is>
          <t>지하주차장, 신축, 개별 엘레베이터, 입지 굿</t>
        </is>
      </c>
      <c r="P450" s="6">
        <f>HYPERLINK("https://fin.land.naver.com/articles/2654050142",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4" t="n">
        <v>191</v>
      </c>
      <c r="M451" s="4" t="n">
        <v>58</v>
      </c>
      <c r="N451" s="5" t="n">
        <v>6.6</v>
      </c>
      <c r="O451" s="3" t="inlineStr">
        <is>
          <t>매매, 전세도 가능, 신축, 엘레베이터, 입지 굿</t>
        </is>
      </c>
      <c r="P451" s="6">
        <f>HYPERLINK("https://fin.land.naver.com/articles/2654049514",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4" t="n">
        <v>190</v>
      </c>
      <c r="M453" s="4" t="n">
        <v>57</v>
      </c>
      <c r="N453" s="5" t="n">
        <v>1491.2</v>
      </c>
      <c r="O453" s="3" t="inlineStr">
        <is>
          <t>남향,방3개확장,빌트인냉장고,식세기,오븐,아일랜드식탁확장</t>
        </is>
      </c>
      <c r="P453" s="6">
        <f>HYPERLINK("https://fin.land.naver.com/articles/2654596868",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세종국제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남향집으로 따뜻한 집 입니다. 입주는 협의 가능하며 가격절충가능합니다.</t>
        </is>
      </c>
      <c r="P465" s="6">
        <f>HYPERLINK("https://fin.land.naver.com/articles/2653236355", "매물Link")</f>
        <v/>
      </c>
      <c r="Q465" s="6">
        <f>HYPERLINK("https://map.naver.com/p/search/아름동 1148",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벽난로. 태양광, 국제고인근 남향. 가격조율 가능한</t>
        </is>
      </c>
      <c r="P466" s="6">
        <f>HYPERLINK("https://fin.land.naver.com/articles/2652825554", "매물Link")</f>
        <v/>
      </c>
      <c r="Q466" s="6">
        <f>HYPERLINK("https://map.naver.com/p/search/아름동 1148",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최무연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벽난로, 태양광, 정남향으로 가격조율가능한 단독주택</t>
        </is>
      </c>
      <c r="P467" s="6">
        <f>HYPERLINK("https://fin.land.naver.com/articles/2654933365", "매물Link")</f>
        <v/>
      </c>
      <c r="Q467" s="6">
        <f>HYPERLINK("https://map.naver.com/p/search/아름동 1148",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명진</t>
        </is>
      </c>
      <c r="T467" s="4" t="n">
        <v>2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전용 48.6p, 1.2층 단독주택, 시스템에어컨풀, 협의입주</t>
        </is>
      </c>
      <c r="P470" s="6">
        <f>HYPERLINK("https://fin.land.naver.com/articles/2654893215", "매물Link")</f>
        <v/>
      </c>
      <c r="Q470" s="6">
        <f>HYPERLINK("https://map.naver.com/p/search/아름동 1241",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주택 에어컨5개 마당있고 편안한 주택매물입니다.</t>
        </is>
      </c>
      <c r="P471" s="6">
        <f>HYPERLINK("https://fin.land.naver.com/articles/2654113974", "매물Link")</f>
        <v/>
      </c>
      <c r="Q471" s="6">
        <f>HYPERLINK("https://map.naver.com/p/search/아름동 1241",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세석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4" t="n">
        <v>160</v>
      </c>
      <c r="M473" s="4" t="n">
        <v>48</v>
      </c>
      <c r="N473" s="5" t="n">
        <v>3020.8</v>
      </c>
      <c r="O473" s="3" t="inlineStr">
        <is>
          <t>튼튼하게 지어진 집   교통편리 정남향</t>
        </is>
      </c>
      <c r="P473" s="6">
        <f>HYPERLINK("https://fin.land.naver.com/articles/2652845581", "매물Link")</f>
        <v/>
      </c>
      <c r="Q473" s="6">
        <f>HYPERLINK("https://map.naver.com/p/search/아름동 1241",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세종푸르지오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올리모델링 방3개 욕실3개 시스템에어컨5대 조율가능</t>
        </is>
      </c>
      <c r="P478" s="6">
        <f>HYPERLINK("https://fin.land.naver.com/articles/2655177366", "매물Link")</f>
        <v/>
      </c>
      <c r="Q478" s="6">
        <f>HYPERLINK("https://map.naver.com/p/search/아름동 856",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최근 리모델링한 단독주택 매매, 방3개, 욕실2개</t>
        </is>
      </c>
      <c r="P479" s="6">
        <f>HYPERLINK("https://fin.land.naver.com/articles/2654874588", "매물Link")</f>
        <v/>
      </c>
      <c r="Q479" s="6">
        <f>HYPERLINK("https://map.naver.com/p/search/아름동 856",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4" t="n">
        <v>43</v>
      </c>
      <c r="M500" s="4" t="n">
        <v>13</v>
      </c>
      <c r="N500" s="5" t="n">
        <v>3.1</v>
      </c>
      <c r="O500" s="3" t="inlineStr">
        <is>
          <t>인기좋은  신축 풀옵션 2룸  깔끔한  주거공간  주차편함  바로입주</t>
        </is>
      </c>
      <c r="P500" s="6">
        <f>HYPERLINK("https://fin.land.naver.com/articles/2654111718", "매물Link")</f>
        <v/>
      </c>
      <c r="Q500" s="6">
        <f>HYPERLINK("https://map.naver.com/p/search/연기면 보통리 387-3",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4" t="n">
        <v>26</v>
      </c>
      <c r="M501" s="4" t="n">
        <v>8</v>
      </c>
      <c r="N501" s="5" t="n">
        <v>5</v>
      </c>
      <c r="O501" s="3" t="inlineStr">
        <is>
          <t>신축 풀옵션  엘베 중문 세종10분소요</t>
        </is>
      </c>
      <c r="P501" s="6">
        <f>HYPERLINK("https://fin.land.naver.com/articles/2651076474", "매물Link")</f>
        <v/>
      </c>
      <c r="Q501" s="6">
        <f>HYPERLINK("https://map.naver.com/p/search/연기면 보통리 387-3",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연기더조은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4" t="n">
        <v>42</v>
      </c>
      <c r="M504" s="4" t="n">
        <v>13</v>
      </c>
      <c r="N504" s="5" t="n">
        <v>6.2</v>
      </c>
      <c r="O504" s="3" t="inlineStr">
        <is>
          <t>o합리적인가격o최상의컨디션o수납부자o개인테라스o</t>
        </is>
      </c>
      <c r="P504" s="6">
        <f>HYPERLINK("https://fin.land.naver.com/articles/2653959584", "매물Link")</f>
        <v/>
      </c>
      <c r="Q504" s="6">
        <f>HYPERLINK("https://map.naver.com/p/search/연기면 보통리 387-7",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뉴펜트라움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4" t="n">
        <v>580</v>
      </c>
      <c r="M505" s="4" t="n">
        <v>175</v>
      </c>
      <c r="N505" s="5" t="n">
        <v>1085.7</v>
      </c>
      <c r="O505" s="3" t="inlineStr">
        <is>
          <t>준신축 산업단지인근 임대위치 좋은 다가구주택 추천</t>
        </is>
      </c>
      <c r="P505" s="6">
        <f>HYPERLINK("https://fin.land.naver.com/articles/2652957380", "매물Link")</f>
        <v/>
      </c>
      <c r="Q505" s="6">
        <f>HYPERLINK("https://map.naver.com/p/search/연기면 보통리 387-7",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뉴신태양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4" t="n">
        <v>60</v>
      </c>
      <c r="M507" s="4" t="n">
        <v>18</v>
      </c>
      <c r="N507" s="5" t="n">
        <v>1.7</v>
      </c>
      <c r="O507" s="3" t="inlineStr">
        <is>
          <t>o합리적인가격o최상의컨디션o수납부자o개인테라스o</t>
        </is>
      </c>
      <c r="P507" s="6">
        <f>HYPERLINK("https://fin.land.naver.com/articles/2653959701", "매물Link")</f>
        <v/>
      </c>
      <c r="Q507" s="6">
        <f>HYPERLINK("https://map.naver.com/p/search/연기면 보통리 387-7",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4" t="n">
        <v>26</v>
      </c>
      <c r="M508" s="4" t="n">
        <v>8</v>
      </c>
      <c r="N508" s="5" t="n">
        <v>3.8</v>
      </c>
      <c r="O508" s="3" t="inlineStr">
        <is>
          <t>신축 풀옵션1.5룸 엘베 중문.스타일러 최고급</t>
        </is>
      </c>
      <c r="P508" s="6">
        <f>HYPERLINK("https://fin.land.naver.com/articles/2655241740", "매물Link")</f>
        <v/>
      </c>
      <c r="Q508" s="6">
        <f>HYPERLINK("https://map.naver.com/p/search/연기면 보통리 387-7",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HYPERLINK("https://fin.land.naver.com/articles/2654200207",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HYPERLINK("https://fin.land.naver.com/articles/2654821598",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4" t="n">
        <v>26</v>
      </c>
      <c r="M512" s="4" t="n">
        <v>8</v>
      </c>
      <c r="N512" s="5" t="n">
        <v>4</v>
      </c>
      <c r="O512" s="3" t="inlineStr">
        <is>
          <t>11.3일이후,엘리베이터있는 주방분리형,도시가스</t>
        </is>
      </c>
      <c r="P512" s="6">
        <f>HYPERLINK("https://fin.land.naver.com/articles/2654939488", "매물Link")</f>
        <v/>
      </c>
      <c r="Q512" s="6">
        <f>HYPERLINK("https://map.naver.com/p/search/연기면 보통리 388-14",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HYPERLINK("https://fin.land.naver.com/articles/2652789377", "매물Link")</f>
        <v/>
      </c>
      <c r="Q514" s="6">
        <f>HYPERLINK("https://map.naver.com/p/search/연기면 보통리 388-14",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4" t="n">
        <v>26</v>
      </c>
      <c r="M515" s="4" t="n">
        <v>8</v>
      </c>
      <c r="N515" s="5" t="n">
        <v>25</v>
      </c>
      <c r="O515" s="3" t="inlineStr">
        <is>
          <t>nan</t>
        </is>
      </c>
      <c r="P515" s="6">
        <f>HYPERLINK("https://fin.land.naver.com/articles/2651138619", "매물Link")</f>
        <v/>
      </c>
      <c r="Q515" s="6">
        <f>HYPERLINK("https://map.naver.com/p/search/연기면 보통리 388-14",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HYPERLINK("https://fin.land.naver.com/articles/2651124675", "매물Link")</f>
        <v/>
      </c>
      <c r="Q516" s="6">
        <f>HYPERLINK("https://map.naver.com/p/search/연기면 보통리 388-14",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11.2일이후,엘리베이터 있는 원룸,6달도가,방1개,화1,주차편리합니다.</t>
        </is>
      </c>
      <c r="P517" s="6">
        <f>HYPERLINK("https://fin.land.naver.com/articles/2652789917",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HYPERLINK("https://fin.land.naver.com/articles/2654818101", "매물Link")</f>
        <v/>
      </c>
      <c r="Q526" s="6">
        <f>HYPERLINK("https://map.naver.com/p/search/연기면 보통리 390-22",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4" t="n">
        <v>23</v>
      </c>
      <c r="M528" s="4" t="n">
        <v>7</v>
      </c>
      <c r="N528" s="5" t="n">
        <v>28.6</v>
      </c>
      <c r="O528" s="3" t="inlineStr">
        <is>
          <t>nan</t>
        </is>
      </c>
      <c r="P528" s="6">
        <f>HYPERLINK("https://fin.land.naver.com/articles/2655920477", "매물Link")</f>
        <v/>
      </c>
      <c r="Q528" s="6">
        <f>HYPERLINK("https://map.naver.com/p/search/연기면 보통리 390-22",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HYPERLINK("https://fin.land.naver.com/articles/2653917737", "매물Link")</f>
        <v/>
      </c>
      <c r="Q531" s="6">
        <f>HYPERLINK("https://map.naver.com/p/search/연기면 보통리 390-22",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</v>
      </c>
      <c r="O538" s="3" t="inlineStr">
        <is>
          <t>인기좋은 풀옵션방   주차편함  바로입주  짐만가져오세요 해밀동5분</t>
        </is>
      </c>
      <c r="P538" s="6">
        <f>HYPERLINK("https://fin.land.naver.com/articles/2655801344", "매물Link")</f>
        <v/>
      </c>
      <c r="Q538" s="6">
        <f>HYPERLINK("https://map.naver.com/p/search/연기면 보통리 392-32",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2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23</v>
      </c>
      <c r="M548" s="4" t="n">
        <v>7</v>
      </c>
      <c r="N548" s="5" t="n">
        <v>28.6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HYPERLINK("https://fin.land.naver.com/articles/2655167521", "매물Link")</f>
        <v/>
      </c>
      <c r="Q548" s="6">
        <f>HYPERLINK("https://map.naver.com/p/search/연기면 연기리 1-59",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4" t="n">
        <v>39</v>
      </c>
      <c r="M549" s="4" t="n">
        <v>12</v>
      </c>
      <c r="N549" s="5" t="n">
        <v>16.7</v>
      </c>
      <c r="O549" s="3" t="inlineStr">
        <is>
          <t>11.3일이,후 방1개 거실별도1.5룸,4달도가능,도시가스 입니다.</t>
        </is>
      </c>
      <c r="P549" s="6">
        <f>HYPERLINK("https://fin.land.naver.com/articles/2653914927", "매물Link")</f>
        <v/>
      </c>
      <c r="Q549" s="6">
        <f>HYPERLINK("https://map.naver.com/p/search/연기면 연기리 1-59",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4" t="n">
        <v>59</v>
      </c>
      <c r="M550" s="4" t="n">
        <v>18</v>
      </c>
      <c r="N550" s="5" t="n">
        <v>3.3</v>
      </c>
      <c r="O550" s="3" t="inlineStr">
        <is>
          <t>11.30일이후,방2개,거화1,거실별도1.5룸  6달도가능합니다.</t>
        </is>
      </c>
      <c r="P550" s="6">
        <f>HYPERLINK("https://fin.land.naver.com/articles/2651358410", "매물Link")</f>
        <v/>
      </c>
      <c r="Q550" s="6">
        <f>HYPERLINK("https://map.naver.com/p/search/연기면 연기리 1-59",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4" t="n">
        <v>23</v>
      </c>
      <c r="M551" s="4" t="n">
        <v>7</v>
      </c>
      <c r="N551" s="5" t="n">
        <v>6.4</v>
      </c>
      <c r="O551" s="3" t="inlineStr">
        <is>
          <t>11.3일이후,방1개거실,1.5룸추천.3달도가능,산울동차량5분,도시가스</t>
        </is>
      </c>
      <c r="P551" s="6">
        <f>HYPERLINK("https://fin.land.naver.com/articles/2655226598", "매물Link")</f>
        <v/>
      </c>
      <c r="Q551" s="6">
        <f>HYPERLINK("https://map.naver.com/p/search/연기면 연기리 1-59",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4" t="n">
        <v>59</v>
      </c>
      <c r="M552" s="4" t="n">
        <v>18</v>
      </c>
      <c r="N552" s="5" t="n">
        <v>16.7</v>
      </c>
      <c r="O552" s="3" t="inlineStr">
        <is>
          <t>11.30일이후,방2개,거화1,거실별도1.5룸  6달도가능합니다.</t>
        </is>
      </c>
      <c r="P552" s="6">
        <f>HYPERLINK("https://fin.land.naver.com/articles/2651358883", "매물Link")</f>
        <v/>
      </c>
      <c r="Q552" s="6">
        <f>HYPERLINK("https://map.naver.com/p/search/연기면 연기리 1-59",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59</v>
      </c>
      <c r="M561" s="4" t="n">
        <v>18</v>
      </c>
      <c r="N561" s="5" t="n">
        <v>16.7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HYPERLINK("https://fin.land.naver.com/articles/2653926144", "매물Link")</f>
        <v/>
      </c>
      <c r="Q561" s="6">
        <f>HYPERLINK("https://map.naver.com/p/search/연기면 연기리 135-9",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10.20일이후,주인세대같은 1.5,방1개 넓은거실별도,주방,화2개</t>
        </is>
      </c>
      <c r="P563" s="6">
        <f>HYPERLINK("https://fin.land.naver.com/articles/2652260217", "매물Link")</f>
        <v/>
      </c>
      <c r="Q563" s="6">
        <f>HYPERLINK("https://map.naver.com/p/search/연기면 연기리 135-9",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4" t="n">
        <v>26</v>
      </c>
      <c r="M564" s="4" t="n">
        <v>8</v>
      </c>
      <c r="N564" s="5" t="n">
        <v>4.1</v>
      </c>
      <c r="O564" s="3" t="inlineStr">
        <is>
          <t>즉시입주,3달은 35만원 6달이상 33가능,산울동차량3분정도,주차편리</t>
        </is>
      </c>
      <c r="P564" s="6">
        <f>HYPERLINK("https://fin.land.naver.com/articles/2652272361", "매물Link")</f>
        <v/>
      </c>
      <c r="Q564" s="6">
        <f>HYPERLINK("https://map.naver.com/p/search/연기면 연기리 135-9",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2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4" t="n">
        <v>49</v>
      </c>
      <c r="M566" s="4" t="n">
        <v>15</v>
      </c>
      <c r="N566" s="5" t="n">
        <v>20</v>
      </c>
      <c r="O566" s="3" t="inlineStr">
        <is>
          <t>주인세대급 1.5룸 방1개넓은거실,화2개,6달도가능주차편리,산울동차량3분</t>
        </is>
      </c>
      <c r="P566" s="6">
        <f>HYPERLINK("https://fin.land.naver.com/articles/2655468780", "매물Link")</f>
        <v/>
      </c>
      <c r="Q566" s="6">
        <f>HYPERLINK("https://map.naver.com/p/search/연기면 연기리 135-9",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주인세대급 1.5룸 방1개넓은거실,주방별도,화2개 주차편리,산울동차량3분</t>
        </is>
      </c>
      <c r="P567" s="6">
        <f>HYPERLINK("https://fin.land.naver.com/articles/2655468161", "매물Link")</f>
        <v/>
      </c>
      <c r="Q567" s="6">
        <f>HYPERLINK("https://map.naver.com/p/search/연기면 연기리 135-9",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4" t="n">
        <v>59</v>
      </c>
      <c r="M568" s="4" t="n">
        <v>18</v>
      </c>
      <c r="N568" s="5" t="n">
        <v>3.3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HYPERLINK("https://fin.land.naver.com/articles/2653925779",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11.5일이후,3달도가능 난방도시가스,산울동 차량3분이내 거리입니다.</t>
        </is>
      </c>
      <c r="P570" s="6">
        <f>HYPERLINK("https://fin.land.naver.com/articles/2652234251", "매물Link")</f>
        <v/>
      </c>
      <c r="Q570" s="6">
        <f>HYPERLINK("https://map.naver.com/p/search/연기면 연기리 330",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11.5일이후,6달도 가능,산울동 차량 3분,연기리 상권이용편리,도시가스</t>
        </is>
      </c>
      <c r="P571" s="6">
        <f>HYPERLINK("https://fin.land.naver.com/articles/2652130579",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11.2일이후, 6달도가능,산울동 차량 3분, 난방도시가스 입니다</t>
        </is>
      </c>
      <c r="P574" s="6">
        <f>HYPERLINK("https://fin.land.naver.com/articles/2651130755",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4" t="n">
        <v>49</v>
      </c>
      <c r="M595" s="4" t="n">
        <v>15</v>
      </c>
      <c r="N595" s="5" t="n">
        <v>4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HYPERLINK("https://fin.land.naver.com/articles/2655897356",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4" t="n">
        <v>23</v>
      </c>
      <c r="M597" s="4" t="n">
        <v>7</v>
      </c>
      <c r="N597" s="5" t="n">
        <v>4.3</v>
      </c>
      <c r="O597" s="3" t="inlineStr">
        <is>
          <t>즉시입주,산울동차량5분정도,난방 도시가스 대중교통이용편리</t>
        </is>
      </c>
      <c r="P597" s="6">
        <f>HYPERLINK("https://fin.land.naver.com/articles/2655900528",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HYPERLINK("https://fin.land.naver.com/articles/2652253841",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nan</t>
        </is>
      </c>
      <c r="P599" s="6">
        <f>HYPERLINK("https://fin.land.naver.com/articles/2652253083",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nan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즉시입주,도배새로함  ,대중교통이용,주변상권이용 편리합니다.</t>
        </is>
      </c>
      <c r="P610" s="6">
        <f>HYPERLINK("https://fin.land.naver.com/articles/2653242895",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45</v>
      </c>
      <c r="M615" s="4" t="n">
        <v>14</v>
      </c>
      <c r="N615" s="5" t="n">
        <v>4.3</v>
      </c>
      <c r="O615" s="3" t="inlineStr">
        <is>
          <t>도로변에 인접 투룸 임대</t>
        </is>
      </c>
      <c r="P615" s="6">
        <f>HYPERLINK("https://fin.land.naver.com/articles/2655032789", "매물Link")</f>
        <v/>
      </c>
      <c r="Q615" s="6">
        <f>HYPERLINK("https://map.naver.com/p/search/연기면 연기리 466-18",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nan</t>
        </is>
      </c>
      <c r="P653" s="6">
        <f>HYPERLINK("https://fin.land.naver.com/articles/2654182716",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HYPERLINK("https://fin.land.naver.com/articles/2654189890",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4" t="n">
        <v>26</v>
      </c>
      <c r="M662" s="4" t="n">
        <v>8</v>
      </c>
      <c r="N662" s="5" t="n">
        <v>1.9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HYPERLINK("https://fin.land.naver.com/articles/2656169402",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HYPERLINK("https://fin.land.naver.com/articles/2655869445",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4" t="n">
        <v>168</v>
      </c>
      <c r="M679" s="4" t="n">
        <v>51</v>
      </c>
      <c r="N679" s="5" t="n">
        <v>2.4</v>
      </c>
      <c r="O679" s="3" t="inlineStr">
        <is>
          <t>깔끔한 전원주택</t>
        </is>
      </c>
      <c r="P679" s="6">
        <f>HYPERLINK("https://fin.land.naver.com/articles/2652285276", "매물Link")</f>
        <v/>
      </c>
      <c r="Q679" s="6">
        <f>HYPERLINK("https://map.naver.com/p/search/연서면 신대리 105-8",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4" t="n">
        <v>96</v>
      </c>
      <c r="M690" s="4" t="n">
        <v>29</v>
      </c>
      <c r="N690" s="5" t="n">
        <v>2413.8</v>
      </c>
      <c r="O690" s="3" t="inlineStr">
        <is>
          <t>올리모델링. 뒷마당,앞마당 창고 및 저온저장고. 야외수도2. 지하수등.</t>
        </is>
      </c>
      <c r="P690" s="6">
        <f>HYPERLINK("https://fin.land.naver.com/articles/2651423312",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세종소담114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4" t="n">
        <v>96</v>
      </c>
      <c r="M691" s="4" t="n">
        <v>29</v>
      </c>
      <c r="N691" s="5" t="n">
        <v>2448.3</v>
      </c>
      <c r="O691" s="3" t="inlineStr">
        <is>
          <t>최근 리모델링 ,  입주 가능 , 국가산업단지 인근,투자가치높은지역</t>
        </is>
      </c>
      <c r="P691" s="6">
        <f>HYPERLINK("https://fin.land.naver.com/articles/2652359824",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세종특별시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</t>
        </is>
      </c>
      <c r="B702" s="3" t="inlineStr">
        <is>
          <t>농림지역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57.8</v>
      </c>
      <c r="V702" s="4" t="n">
        <v>550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소로각지</t>
        </is>
      </c>
    </row>
    <row r="703">
      <c r="A703" s="3" t="inlineStr">
        <is>
          <t>오송읍 공북리 552-17</t>
        </is>
      </c>
      <c r="B703" s="3" t="inlineStr">
        <is>
          <t>보전관리지역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48.9</v>
      </c>
      <c r="V703" s="4" t="n">
        <v>720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완경사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오송읍 공북리 74-8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65.8</v>
      </c>
      <c r="V704" s="4" t="n">
        <v>450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세로한면(불)</t>
        </is>
      </c>
    </row>
    <row r="705">
      <c r="A705" s="3" t="inlineStr">
        <is>
          <t>오송읍 궁평리 215-10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124.6</v>
      </c>
      <c r="V705" s="4" t="n">
        <v>660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세로각지(가)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88-8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107.3</v>
      </c>
      <c r="V712" s="4" t="n">
        <v>300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90-9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104.2</v>
      </c>
      <c r="V713" s="4" t="n">
        <v>154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만수리 285-31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118.9</v>
      </c>
      <c r="V718" s="4" t="n">
        <v>516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세로한면(가)</t>
        </is>
      </c>
    </row>
    <row r="719">
      <c r="A719" s="3" t="inlineStr">
        <is>
          <t>오송읍 만수리 286-19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110.2</v>
      </c>
      <c r="V719" s="4" t="n">
        <v>454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세로한면(불)</t>
        </is>
      </c>
    </row>
    <row r="720">
      <c r="A720" s="3" t="inlineStr">
        <is>
          <t>오송읍 만수리 572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238.5</v>
      </c>
      <c r="V720" s="4" t="n">
        <v>249.8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소로각지</t>
        </is>
      </c>
    </row>
    <row r="721">
      <c r="A721" s="3" t="inlineStr">
        <is>
          <t>오송읍 만수리 595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310.1</v>
      </c>
      <c r="V721" s="4" t="n">
        <v>274.8</v>
      </c>
      <c r="W721" s="3" t="inlineStr">
        <is>
          <t>지정되지않음</t>
        </is>
      </c>
      <c r="X721" s="3" t="inlineStr">
        <is>
          <t>주상용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중로각지</t>
        </is>
      </c>
    </row>
    <row r="722">
      <c r="A722" s="3" t="inlineStr">
        <is>
          <t>오송읍 만수리 607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249.9</v>
      </c>
      <c r="V722" s="4" t="n">
        <v>288.1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중로한면</t>
        </is>
      </c>
    </row>
    <row r="723">
      <c r="A723" s="3" t="inlineStr">
        <is>
          <t>오송읍 만수리 608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만수초 앞 컨디션 좋은 원룸</t>
        </is>
      </c>
      <c r="P723" s="6">
        <f>HYPERLINK("https://fin.land.naver.com/articles/2654589463", "매물Link")</f>
        <v/>
      </c>
      <c r="Q723" s="6">
        <f>HYPERLINK("https://map.naver.com/p/search/오송읍 만수리 608",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249.9</v>
      </c>
      <c r="V723" s="4" t="n">
        <v>282.1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610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4" t="n">
        <v>100</v>
      </c>
      <c r="M725" s="4" t="n">
        <v>30</v>
      </c>
      <c r="N725" s="5" t="n">
        <v>3</v>
      </c>
      <c r="O725" s="3" t="inlineStr">
        <is>
          <t>쓰리룸 오송역세권으로 인프라좋고 주변편의시설확충 초등학교 공원산책로</t>
        </is>
      </c>
      <c r="P725" s="6">
        <f>HYPERLINK("https://fin.land.naver.com/articles/2652554642", "매물Link")</f>
        <v/>
      </c>
      <c r="Q725" s="6">
        <f>HYPERLINK("https://map.naver.com/p/search/오송읍 만수리 610",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하림</t>
        </is>
      </c>
      <c r="T725" s="4" t="n">
        <v>1</v>
      </c>
      <c r="U725" s="5" t="n">
        <v>238.5</v>
      </c>
      <c r="V725" s="4" t="n">
        <v>258.3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소로각지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4" t="n">
        <v>128</v>
      </c>
      <c r="M726" s="4" t="n">
        <v>39</v>
      </c>
      <c r="N726" s="5" t="n">
        <v>2.8</v>
      </c>
      <c r="O726" s="3" t="inlineStr">
        <is>
          <t>10월초순 입주가능한 주인세대</t>
        </is>
      </c>
      <c r="P726" s="6">
        <f>HYPERLINK("https://fin.land.naver.com/articles/2650782401",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611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242.6</v>
      </c>
      <c r="V727" s="4" t="n">
        <v>257.9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615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230.5</v>
      </c>
      <c r="V728" s="4" t="n">
        <v>243</v>
      </c>
      <c r="W728" s="3" t="inlineStr">
        <is>
          <t>지정되지않음</t>
        </is>
      </c>
      <c r="X728" s="3" t="inlineStr">
        <is>
          <t>주거기타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616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110</v>
      </c>
      <c r="M729" s="4" t="n">
        <v>33</v>
      </c>
      <c r="N729" s="5" t="n">
        <v>3.3</v>
      </c>
      <c r="O729" s="3" t="inlineStr">
        <is>
          <t>오송역 8번출구 도보로 7분거리,주인세대 월세</t>
        </is>
      </c>
      <c r="P729" s="6">
        <f>HYPERLINK("https://fin.land.naver.com/articles/2654413714", "매물Link")</f>
        <v/>
      </c>
      <c r="Q729" s="6">
        <f>HYPERLINK("https://map.naver.com/p/search/오송읍 만수리 616",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우리</t>
        </is>
      </c>
      <c r="T729" s="4" t="n">
        <v>1</v>
      </c>
      <c r="U729" s="5" t="n">
        <v>242.6</v>
      </c>
      <c r="V729" s="4" t="n">
        <v>270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617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238.5</v>
      </c>
      <c r="V733" s="4" t="n">
        <v>247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621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225</v>
      </c>
      <c r="V734" s="4" t="n">
        <v>248.1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625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310.1</v>
      </c>
      <c r="V735" s="4" t="n">
        <v>235.1</v>
      </c>
      <c r="W735" s="3" t="inlineStr">
        <is>
          <t>지정되지않음</t>
        </is>
      </c>
      <c r="X735" s="3" t="inlineStr">
        <is>
          <t>주상용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중로각지</t>
        </is>
      </c>
    </row>
    <row r="736">
      <c r="A736" s="3" t="inlineStr">
        <is>
          <t>오송읍 만수리 625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310.1</v>
      </c>
      <c r="V736" s="4" t="n">
        <v>235.1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236.3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641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230.5</v>
      </c>
      <c r="V739" s="4" t="n">
        <v>284.9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645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225</v>
      </c>
      <c r="V740" s="4" t="n">
        <v>222.9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649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222.7</v>
      </c>
      <c r="V741" s="4" t="n">
        <v>253.1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만수리 649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4" t="n">
        <v>24</v>
      </c>
      <c r="M742" s="4" t="n">
        <v>7</v>
      </c>
      <c r="N742" s="5" t="n">
        <v>6.4</v>
      </c>
      <c r="O742" s="3" t="inlineStr">
        <is>
          <t>nan</t>
        </is>
      </c>
      <c r="P742" s="6">
        <f>HYPERLINK("https://fin.land.naver.com/articles/2654602267",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222.7</v>
      </c>
      <c r="V742" s="4" t="n">
        <v>253.1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관리 잘된 신축급, 오송3산단인근</t>
        </is>
      </c>
      <c r="P743" s="6">
        <f>HYPERLINK("https://fin.land.naver.com/articles/2654600258",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2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712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229.4</v>
      </c>
      <c r="V746" s="4" t="n">
        <v>263.6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726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274</v>
      </c>
      <c r="W749" s="3" t="inlineStr">
        <is>
          <t>지정되지않음</t>
        </is>
      </c>
      <c r="X749" s="3" t="inlineStr">
        <is>
          <t>주거기타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732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316.4</v>
      </c>
      <c r="V750" s="4" t="n">
        <v>250.2</v>
      </c>
      <c r="W750" s="3" t="inlineStr">
        <is>
          <t>지정되지않음</t>
        </is>
      </c>
      <c r="X750" s="3" t="inlineStr">
        <is>
          <t>주상용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중로각지</t>
        </is>
      </c>
    </row>
    <row r="751">
      <c r="A751" s="3" t="inlineStr">
        <is>
          <t>오송읍 만수리 742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225.8</v>
      </c>
      <c r="V751" s="4" t="n">
        <v>275.9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소로한면</t>
        </is>
      </c>
    </row>
    <row r="752">
      <c r="A752" s="3" t="inlineStr">
        <is>
          <t>오송읍 만수리 742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225.8</v>
      </c>
      <c r="V752" s="4" t="n">
        <v>275.9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소로한면</t>
        </is>
      </c>
    </row>
    <row r="753">
      <c r="A753" s="3" t="inlineStr">
        <is>
          <t>오송읍 만수리 746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4" t="n">
        <v>349</v>
      </c>
      <c r="M753" s="4" t="n">
        <v>106</v>
      </c>
      <c r="N753" s="5" t="n">
        <v>0.7</v>
      </c>
      <c r="O753" s="3" t="inlineStr">
        <is>
          <t>nan</t>
        </is>
      </c>
      <c r="P753" s="6">
        <f>HYPERLINK("https://fin.land.naver.com/articles/2653864477", "매물Link")</f>
        <v/>
      </c>
      <c r="Q753" s="6">
        <f>HYPERLINK("https://map.naver.com/p/search/오송읍 만수리 746",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228.1</v>
      </c>
      <c r="V753" s="4" t="n">
        <v>239.8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746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228.1</v>
      </c>
      <c r="V754" s="4" t="n">
        <v>239.8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228.1</v>
      </c>
      <c r="V756" s="4" t="n">
        <v>240.1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753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229.4</v>
      </c>
      <c r="V757" s="4" t="n">
        <v>240.1</v>
      </c>
      <c r="W757" s="3" t="inlineStr">
        <is>
          <t>지정되지않음</t>
        </is>
      </c>
      <c r="X757" s="3" t="inlineStr">
        <is>
          <t>주거기타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753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4" t="n">
        <v>78</v>
      </c>
      <c r="M758" s="4" t="n">
        <v>24</v>
      </c>
      <c r="N758" s="5" t="n">
        <v>4.2</v>
      </c>
      <c r="O758" s="3" t="inlineStr">
        <is>
          <t>오송역 인근 주인세대.</t>
        </is>
      </c>
      <c r="P758" s="6">
        <f>HYPERLINK("https://fin.land.naver.com/articles/2655949046", "매물Link")</f>
        <v/>
      </c>
      <c r="Q758" s="6">
        <f>HYPERLINK("https://map.naver.com/p/search/오송읍 만수리 753",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대한민국</t>
        </is>
      </c>
      <c r="T758" s="4" t="n">
        <v>1</v>
      </c>
      <c r="U758" s="5" t="n">
        <v>229.4</v>
      </c>
      <c r="V758" s="4" t="n">
        <v>240.1</v>
      </c>
      <c r="W758" s="3" t="inlineStr">
        <is>
          <t>지정되지않음</t>
        </is>
      </c>
      <c r="X758" s="3" t="inlineStr">
        <is>
          <t>주거기타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229.4</v>
      </c>
      <c r="V760" s="4" t="n">
        <v>239.9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229.4</v>
      </c>
      <c r="V761" s="4" t="n">
        <v>239.9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757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241.5</v>
      </c>
      <c r="V763" s="4" t="n">
        <v>277.9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759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252.7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759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252.7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770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228.1</v>
      </c>
      <c r="V766" s="4" t="n">
        <v>253.7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770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228.1</v>
      </c>
      <c r="V767" s="4" t="n">
        <v>253.7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316.4</v>
      </c>
      <c r="V768" s="4" t="n">
        <v>280.4</v>
      </c>
      <c r="W768" s="3" t="inlineStr">
        <is>
          <t>지정되지않음</t>
        </is>
      </c>
      <c r="X768" s="3" t="inlineStr">
        <is>
          <t>주상기타</t>
        </is>
      </c>
      <c r="Y768" s="3" t="inlineStr">
        <is>
          <t>평지</t>
        </is>
      </c>
      <c r="Z768" s="3" t="inlineStr">
        <is>
          <t>가로장방</t>
        </is>
      </c>
      <c r="AA768" s="3" t="inlineStr">
        <is>
          <t>중로각지</t>
        </is>
      </c>
    </row>
    <row r="769">
      <c r="A769" s="3" t="inlineStr">
        <is>
          <t>오송읍 만수리 780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313.3</v>
      </c>
      <c r="V769" s="4" t="n">
        <v>278.6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784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228.1</v>
      </c>
      <c r="V770" s="4" t="n">
        <v>257.9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785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228.1</v>
      </c>
      <c r="V771" s="4" t="n">
        <v>262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804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229.4</v>
      </c>
      <c r="V774" s="4" t="n">
        <v>271.6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813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225.8</v>
      </c>
      <c r="V775" s="4" t="n">
        <v>275.8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813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225.8</v>
      </c>
      <c r="V776" s="4" t="n">
        <v>275.8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823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4" t="n">
        <v>365</v>
      </c>
      <c r="M777" s="4" t="n">
        <v>110</v>
      </c>
      <c r="N777" s="5" t="n">
        <v>636.4</v>
      </c>
      <c r="O777" s="3" t="inlineStr">
        <is>
          <t>수익률 좋은 깔끔한 집, 오송역 아주 가까워 위치 좋아요</t>
        </is>
      </c>
      <c r="P777" s="6">
        <f>HYPERLINK("https://fin.land.naver.com/articles/2653992953", "매물Link")</f>
        <v/>
      </c>
      <c r="Q777" s="6">
        <f>HYPERLINK("https://map.naver.com/p/search/오송읍 만수리 823",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228.1</v>
      </c>
      <c r="V777" s="4" t="n">
        <v>259.8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4" t="n">
        <v>80</v>
      </c>
      <c r="M778" s="4" t="n">
        <v>24</v>
      </c>
      <c r="N778" s="5" t="n">
        <v>2.1</v>
      </c>
      <c r="O778" s="3" t="inlineStr">
        <is>
          <t>주인세대 추룸, 화장실 2개</t>
        </is>
      </c>
      <c r="P778" s="6">
        <f>HYPERLINK("https://fin.land.naver.com/articles/2651355737",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오송조은무소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825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270.7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834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225.8</v>
      </c>
      <c r="V781" s="4" t="n">
        <v>260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836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225.8</v>
      </c>
      <c r="V782" s="4" t="n">
        <v>254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225.8</v>
      </c>
      <c r="V783" s="4" t="n">
        <v>254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843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462.1</v>
      </c>
      <c r="V784" s="4" t="n">
        <v>328</v>
      </c>
      <c r="W784" s="3" t="inlineStr">
        <is>
          <t>지정되지않음</t>
        </is>
      </c>
      <c r="X784" s="3" t="inlineStr">
        <is>
          <t>상업용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광대소각</t>
        </is>
      </c>
    </row>
    <row r="785">
      <c r="A785" s="3" t="inlineStr">
        <is>
          <t>오송읍 만수리 852</t>
        </is>
      </c>
      <c r="B785" s="3" t="inlineStr">
        <is>
          <t>일반상업지역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6</v>
      </c>
      <c r="O785" s="3" t="inlineStr">
        <is>
          <t>1개월부터 가능한 단기 원룸</t>
        </is>
      </c>
      <c r="P785" s="6">
        <f>HYPERLINK("https://fin.land.naver.com/articles/2652381123", "매물Link")</f>
        <v/>
      </c>
      <c r="Q785" s="6">
        <f>HYPERLINK("https://map.naver.com/p/search/오송읍 만수리 852",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501.8</v>
      </c>
      <c r="V785" s="4" t="n">
        <v>511.3</v>
      </c>
      <c r="W785" s="3" t="inlineStr">
        <is>
          <t>지정되지않음</t>
        </is>
      </c>
      <c r="X785" s="3" t="inlineStr">
        <is>
          <t>상업기타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중로한면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941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207.2</v>
      </c>
      <c r="V789" s="4" t="n">
        <v>273.1</v>
      </c>
      <c r="W789" s="3" t="inlineStr">
        <is>
          <t>자연녹지지역</t>
        </is>
      </c>
      <c r="X789" s="3" t="inlineStr">
        <is>
          <t>주상나지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1019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342.1</v>
      </c>
      <c r="V790" s="4" t="n">
        <v>265.6</v>
      </c>
      <c r="W790" s="3" t="inlineStr">
        <is>
          <t>지정되지않음</t>
        </is>
      </c>
      <c r="X790" s="3" t="inlineStr">
        <is>
          <t>주상기타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중로각지</t>
        </is>
      </c>
    </row>
    <row r="791">
      <c r="A791" s="3" t="inlineStr">
        <is>
          <t>오송읍 봉산리 1031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342.8</v>
      </c>
      <c r="V791" s="4" t="n">
        <v>275.4</v>
      </c>
      <c r="W791" s="3" t="inlineStr">
        <is>
          <t>지정되지않음</t>
        </is>
      </c>
      <c r="X791" s="3" t="inlineStr">
        <is>
          <t>주상기타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중로각지</t>
        </is>
      </c>
    </row>
    <row r="792">
      <c r="A792" s="3" t="inlineStr">
        <is>
          <t>오송읍 봉산리 1035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204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1036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204</v>
      </c>
      <c r="V793" s="4" t="n">
        <v>267.7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1036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204</v>
      </c>
      <c r="V794" s="4" t="n">
        <v>267.7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1036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204</v>
      </c>
      <c r="V795" s="4" t="n">
        <v>267.7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봉산리 1038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204</v>
      </c>
      <c r="V796" s="4" t="n">
        <v>267.7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1038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33</v>
      </c>
      <c r="M797" s="4" t="n">
        <v>10</v>
      </c>
      <c r="N797" s="5" t="n">
        <v>6</v>
      </c>
      <c r="O797" s="3" t="inlineStr">
        <is>
          <t>즉시입주.저렴한보증금.6자붙박이장2개.넓은다용도실.화이트인테리어</t>
        </is>
      </c>
      <c r="P797" s="6">
        <f>HYPERLINK("https://fin.land.naver.com/articles/2653592647", "매물Link")</f>
        <v/>
      </c>
      <c r="Q797" s="6">
        <f>HYPERLINK("https://map.naver.com/p/search/오송읍 봉산리 1038",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태원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1038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1038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4" t="n">
        <v>32</v>
      </c>
      <c r="M799" s="4" t="n">
        <v>10</v>
      </c>
      <c r="N799" s="5" t="n">
        <v>6</v>
      </c>
      <c r="O799" s="3" t="inlineStr">
        <is>
          <t>신축 투베이.  10월 초,중순 입주가능. 큰 붙박이장 있음.</t>
        </is>
      </c>
      <c r="P799" s="6">
        <f>HYPERLINK("https://fin.land.naver.com/articles/2652777461", "매물Link")</f>
        <v/>
      </c>
      <c r="Q799" s="6">
        <f>HYPERLINK("https://map.naver.com/p/search/오송읍 봉산리 1038",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당근플러스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1040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26</v>
      </c>
      <c r="M800" s="4" t="n">
        <v>8</v>
      </c>
      <c r="N800" s="5" t="n">
        <v>7.5</v>
      </c>
      <c r="O800" s="3" t="inlineStr">
        <is>
          <t>공실. 보증금 조율 가능. 신축. 환하고 깨끗한 집.</t>
        </is>
      </c>
      <c r="P800" s="6">
        <f>HYPERLINK("https://fin.land.naver.com/articles/2650786838", "매물Link")</f>
        <v/>
      </c>
      <c r="Q800" s="6">
        <f>HYPERLINK("https://map.naver.com/p/search/오송읍 봉산리 1040",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당근플러스</t>
        </is>
      </c>
      <c r="T800" s="4" t="n">
        <v>1</v>
      </c>
      <c r="U800" s="5" t="n">
        <v>216</v>
      </c>
      <c r="V800" s="4" t="n">
        <v>273.8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소로각지</t>
        </is>
      </c>
    </row>
    <row r="801">
      <c r="A801" s="3" t="inlineStr">
        <is>
          <t>오송읍 봉산리 1040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4" t="n">
        <v>26</v>
      </c>
      <c r="M801" s="4" t="n">
        <v>8</v>
      </c>
      <c r="N801" s="5" t="n">
        <v>7.6</v>
      </c>
      <c r="O801" s="3" t="inlineStr">
        <is>
          <t>오송입지조건짱,신축투베이,즉시입주가능</t>
        </is>
      </c>
      <c r="P801" s="6">
        <f>HYPERLINK("https://fin.land.naver.com/articles/2651088701", "매물Link")</f>
        <v/>
      </c>
      <c r="Q801" s="6">
        <f>HYPERLINK("https://map.naver.com/p/search/오송읍 봉산리 1040",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216</v>
      </c>
      <c r="V801" s="4" t="n">
        <v>273.8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소로각지</t>
        </is>
      </c>
    </row>
    <row r="802">
      <c r="A802" s="3" t="inlineStr">
        <is>
          <t>오송읍 봉산리 1047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204</v>
      </c>
      <c r="V802" s="4" t="n">
        <v>267.5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4" t="n">
        <v>451</v>
      </c>
      <c r="M803" s="4" t="n">
        <v>136</v>
      </c>
      <c r="N803" s="5" t="n">
        <v>992.6</v>
      </c>
      <c r="O803" s="3" t="inlineStr">
        <is>
          <t>KTX 역세권. 소자본 투자. 안정적인 월세수익.</t>
        </is>
      </c>
      <c r="P803" s="6">
        <f>HYPERLINK("https://fin.land.naver.com/articles/2654123239", "매물Link")</f>
        <v/>
      </c>
      <c r="Q803" s="6">
        <f>HYPERLINK("https://map.naver.com/p/search/오송읍 봉산리 1049",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당근플러스</t>
        </is>
      </c>
      <c r="T803" s="4" t="n">
        <v>2</v>
      </c>
      <c r="U803" s="5" t="n">
        <v>206</v>
      </c>
      <c r="V803" s="4" t="n">
        <v>267.6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1055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먹자골목 상가임대완료 임대호실 임대완료</t>
        </is>
      </c>
      <c r="P805" s="6">
        <f>HYPERLINK("https://fin.land.naver.com/articles/2655925551", "매물Link")</f>
        <v/>
      </c>
      <c r="Q805" s="6">
        <f>HYPERLINK("https://map.naver.com/p/search/오송읍 봉산리 1055",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프렌즈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약 600만원 임대료 수입</t>
        </is>
      </c>
      <c r="P806" s="6">
        <f>HYPERLINK("https://fin.land.naver.com/articles/2650797876",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9</v>
      </c>
      <c r="O808" s="3" t="inlineStr">
        <is>
          <t>신축 투베이.  풀옵션. 깔끔하고 환한 집.</t>
        </is>
      </c>
      <c r="P808" s="6">
        <f>HYPERLINK("https://fin.land.naver.com/articles/2653394461", "매물Link")</f>
        <v/>
      </c>
      <c r="Q808" s="6">
        <f>HYPERLINK("https://map.naver.com/p/search/오송읍 봉산리 1056",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208.1</v>
      </c>
      <c r="V808" s="4" t="n">
        <v>267.5</v>
      </c>
      <c r="W808" s="3" t="inlineStr">
        <is>
          <t>지정되지않음</t>
        </is>
      </c>
      <c r="X808" s="3" t="inlineStr">
        <is>
          <t>주거나지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1060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4" t="n">
        <v>32</v>
      </c>
      <c r="M811" s="4" t="n">
        <v>10</v>
      </c>
      <c r="N811" s="5" t="n">
        <v>6.1</v>
      </c>
      <c r="O811" s="3" t="inlineStr">
        <is>
          <t>구조좋은 투베이,첫입주,신축,메인상권에위치</t>
        </is>
      </c>
      <c r="P811" s="6">
        <f>HYPERLINK("https://fin.land.naver.com/articles/2651021369", "매물Link")</f>
        <v/>
      </c>
      <c r="Q811" s="6">
        <f>HYPERLINK("https://map.naver.com/p/search/오송읍 봉산리 1060",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오송올래</t>
        </is>
      </c>
      <c r="T811" s="4" t="n">
        <v>1</v>
      </c>
      <c r="U811" s="5" t="n">
        <v>206</v>
      </c>
      <c r="V811" s="4" t="n">
        <v>267.9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206</v>
      </c>
      <c r="V813" s="4" t="n">
        <v>267.9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1061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4" t="n">
        <v>94</v>
      </c>
      <c r="M815" s="4" t="n">
        <v>28</v>
      </c>
      <c r="N815" s="5" t="n">
        <v>3.2</v>
      </c>
      <c r="O815" s="3" t="inlineStr">
        <is>
          <t>시스템 에어컨,드레스룸 ,깔끔한 주인세대 복층 ,즉시입주 가능 테라스까지</t>
        </is>
      </c>
      <c r="P815" s="6">
        <f>HYPERLINK("https://fin.land.naver.com/articles/2653997772", "매물Link")</f>
        <v/>
      </c>
      <c r="Q815" s="6">
        <f>HYPERLINK("https://map.naver.com/p/search/오송읍 봉산리 1061",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오송바이오창조</t>
        </is>
      </c>
      <c r="T815" s="4" t="n">
        <v>4</v>
      </c>
      <c r="U815" s="5" t="n">
        <v>206</v>
      </c>
      <c r="V815" s="4" t="n">
        <v>268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1080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206</v>
      </c>
      <c r="V822" s="4" t="n">
        <v>267.6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1083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208.1</v>
      </c>
      <c r="V824" s="4" t="n">
        <v>240.8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귀한 투룸 전세 , 11월 입주 가능</t>
        </is>
      </c>
      <c r="P826" s="6">
        <f>HYPERLINK("https://fin.land.naver.com/articles/2656098132", "매물Link")</f>
        <v/>
      </c>
      <c r="Q826" s="6">
        <f>HYPERLINK("https://map.naver.com/p/search/오송읍 봉산리 1086",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1093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305.4</v>
      </c>
      <c r="V828" s="4" t="n">
        <v>247.4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1099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220.6</v>
      </c>
      <c r="V829" s="4" t="n">
        <v>234.6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소로각지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일괄매매 오송역세권으로 인프라좋고 주변편의시설확충  신축상가주택매매</t>
        </is>
      </c>
      <c r="P834" s="6">
        <f>HYPERLINK("https://fin.land.naver.com/articles/2652812602",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하림</t>
        </is>
      </c>
      <c r="T834" s="4" t="n">
        <v>2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급매 신축 원룸건물, 수익률 잘나와요, 중심상가 인근, 상가 직접사용가능</t>
        </is>
      </c>
      <c r="P835" s="6">
        <f>HYPERLINK("https://fin.land.naver.com/articles/2655349838",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1113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208.1</v>
      </c>
      <c r="V838" s="4" t="n">
        <v>241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HYPERLINK("https://fin.land.naver.com/articles/2651109424",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3면 코너각지 입지좋은 상가주택</t>
        </is>
      </c>
      <c r="P841" s="6">
        <f>HYPERLINK("https://fin.land.naver.com/articles/2652484166",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중심 먹자골목에 위치한 매물</t>
        </is>
      </c>
      <c r="P842" s="6">
        <f>HYPERLINK("https://fin.land.naver.com/articles/2655167933",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 좋은 대로변 상가주택 월 690만 수익</t>
        </is>
      </c>
      <c r="P851" s="6">
        <f>HYPERLINK("https://fin.land.naver.com/articles/2653598171",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미래n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중심상권 인근 상가주택 매매, 월세 약 700만원</t>
        </is>
      </c>
      <c r="P855" s="6">
        <f>HYPERLINK("https://fin.land.naver.com/articles/2655758177",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1143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208.1</v>
      </c>
      <c r="V856" s="4" t="n">
        <v>266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1149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합리적인 금액으로 매수하기 좋은 매물입니다</t>
        </is>
      </c>
      <c r="P862" s="6">
        <f>HYPERLINK("https://fin.land.naver.com/articles/2652143636",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오송2단지창조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25</v>
      </c>
      <c r="M864" s="4" t="n">
        <v>8</v>
      </c>
      <c r="N864" s="5" t="n">
        <v>6.2</v>
      </c>
      <c r="O864" s="3" t="inlineStr">
        <is>
          <t>원룸, 11월7일 입주가능</t>
        </is>
      </c>
      <c r="P864" s="6">
        <f>HYPERLINK("https://fin.land.naver.com/articles/2655830210",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태원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4" t="n">
        <v>494</v>
      </c>
      <c r="M869" s="4" t="n">
        <v>149</v>
      </c>
      <c r="N869" s="5" t="n">
        <v>872.5</v>
      </c>
      <c r="O869" s="3" t="inlineStr">
        <is>
          <t>조용한 수익형 건물 투자. 투자금 6억미만 수익률 7프로대</t>
        </is>
      </c>
      <c r="P869" s="6">
        <f>HYPERLINK("https://fin.land.naver.com/articles/2651861376",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오송미소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1166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206.3</v>
      </c>
      <c r="V873" s="4" t="n">
        <v>267.5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4" t="n">
        <v>28</v>
      </c>
      <c r="M884" s="4" t="n">
        <v>8</v>
      </c>
      <c r="N884" s="5" t="n">
        <v>6.9</v>
      </c>
      <c r="O884" s="3" t="inlineStr">
        <is>
          <t>투베이 오송역세권10분거리 인프라좋고 주변편의시설확충 공원 산책로</t>
        </is>
      </c>
      <c r="P884" s="6">
        <f>HYPERLINK("https://fin.land.naver.com/articles/2652697463",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통매매 역세권의  인프라좋고 주변편의시설확충 신축건물로 가격절충함</t>
        </is>
      </c>
      <c r="P885" s="6">
        <f>HYPERLINK("https://fin.land.naver.com/articles/2650969297",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4" t="n">
        <v>14</v>
      </c>
      <c r="M888" s="4" t="n">
        <v>4</v>
      </c>
      <c r="N888" s="5" t="n">
        <v>11.2</v>
      </c>
      <c r="O888" s="3" t="inlineStr">
        <is>
          <t>원룸 오송역세권으로 인프라좋고 주변편의시설확충  대형무료주차장근처</t>
        </is>
      </c>
      <c r="P888" s="6">
        <f>HYPERLINK("https://fin.land.naver.com/articles/2654518835",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206.3</v>
      </c>
      <c r="V889" s="4" t="n">
        <v>265.3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1199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305.4</v>
      </c>
      <c r="V890" s="4" t="n">
        <v>258.7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1202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206.3</v>
      </c>
      <c r="V891" s="4" t="n">
        <v>264.9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4" t="n">
        <v>425</v>
      </c>
      <c r="M892" s="4" t="n">
        <v>129</v>
      </c>
      <c r="N892" s="5" t="n">
        <v>1162.8</v>
      </c>
      <c r="O892" s="3" t="inlineStr">
        <is>
          <t>nan</t>
        </is>
      </c>
      <c r="P892" s="6">
        <f>HYPERLINK("https://fin.land.naver.com/articles/2650894954",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미래n</t>
        </is>
      </c>
      <c r="T892" s="4" t="n">
        <v>1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1226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4" t="n">
        <v>58</v>
      </c>
      <c r="M902" s="4" t="n">
        <v>18</v>
      </c>
      <c r="N902" s="5" t="n">
        <v>5.6</v>
      </c>
      <c r="O902" s="3" t="inlineStr">
        <is>
          <t>큰길가위치,신축쓰리룸</t>
        </is>
      </c>
      <c r="P902" s="6">
        <f>HYPERLINK("https://fin.land.naver.com/articles/2650881492", "매물Link")</f>
        <v/>
      </c>
      <c r="Q902" s="6">
        <f>HYPERLINK("https://map.naver.com/p/search/오송읍 봉산리 1226",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339.2</v>
      </c>
      <c r="V902" s="4" t="n">
        <v>248.7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4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4" t="n">
        <v>32</v>
      </c>
      <c r="M904" s="4" t="n">
        <v>10</v>
      </c>
      <c r="N904" s="5" t="n">
        <v>5.9</v>
      </c>
      <c r="O904" s="3" t="inlineStr">
        <is>
          <t>예쁜 투베이.상권 부근.즉시입주가능.</t>
        </is>
      </c>
      <c r="P904" s="6">
        <f>HYPERLINK("https://fin.land.naver.com/articles/2651420256", "매물Link")</f>
        <v/>
      </c>
      <c r="Q904" s="6">
        <f>HYPERLINK("https://map.naver.com/p/search/오송읍 봉산리 1232",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339.2</v>
      </c>
      <c r="V904" s="4" t="n">
        <v>247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중로각지</t>
        </is>
      </c>
    </row>
    <row r="905">
      <c r="A905" s="3" t="inlineStr">
        <is>
          <t>오송읍 봉산리 1232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339.2</v>
      </c>
      <c r="V905" s="4" t="n">
        <v>247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중로각지</t>
        </is>
      </c>
    </row>
    <row r="906">
      <c r="A906" s="3" t="inlineStr">
        <is>
          <t>오송읍 봉산리 1233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206.3</v>
      </c>
      <c r="V908" s="4" t="n">
        <v>247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1235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206.3</v>
      </c>
      <c r="V909" s="4" t="n">
        <v>247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1235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206.3</v>
      </c>
      <c r="V910" s="4" t="n">
        <v>247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1236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206.3</v>
      </c>
      <c r="V911" s="4" t="n">
        <v>247.1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1238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250.2</v>
      </c>
      <c r="V914" s="4" t="n">
        <v>246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1238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250.2</v>
      </c>
      <c r="V915" s="4" t="n">
        <v>246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1238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대로변에 위치한 입지좋은 다가구 건물</t>
        </is>
      </c>
      <c r="P916" s="6">
        <f>HYPERLINK("https://fin.land.naver.com/articles/2655162801", "매물Link")</f>
        <v/>
      </c>
      <c r="Q916" s="6">
        <f>HYPERLINK("https://map.naver.com/p/search/오송읍 봉산리 1238",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250.2</v>
      </c>
      <c r="V916" s="4" t="n">
        <v>246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1241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206.3</v>
      </c>
      <c r="V917" s="4" t="n">
        <v>278.6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현 수익률 9.3 투자강추, 실투자금 4억대 월580만, ktx도보10분</t>
        </is>
      </c>
      <c r="P920" s="6">
        <f>HYPERLINK("https://fin.land.naver.com/articles/2655394704",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1242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206.3</v>
      </c>
      <c r="V921" s="4" t="n">
        <v>278.7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1242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206.3</v>
      </c>
      <c r="V922" s="4" t="n">
        <v>278.7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1252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305.4</v>
      </c>
      <c r="V923" s="4" t="n">
        <v>274.5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1257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218.7</v>
      </c>
      <c r="V924" s="4" t="n">
        <v>288.6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럭셔리 신축원룸, 전체 임대완료. 남향 테라스 예쁜 조용한 집</t>
        </is>
      </c>
      <c r="P925" s="6">
        <f>HYPERLINK("https://fin.land.naver.com/articles/2653748823",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프로</t>
        </is>
      </c>
      <c r="T925" s="4" t="n">
        <v>2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305.4</v>
      </c>
      <c r="V929" s="4" t="n">
        <v>274.7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1273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276.4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59</v>
      </c>
      <c r="M934" s="4" t="n">
        <v>18</v>
      </c>
      <c r="N934" s="5" t="n">
        <v>2.8</v>
      </c>
      <c r="O934" s="3" t="inlineStr">
        <is>
          <t>오송역 가까운 반전세 투룸</t>
        </is>
      </c>
      <c r="P934" s="6">
        <f>HYPERLINK("https://fin.land.naver.com/articles/2650711230",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1363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215.7</v>
      </c>
      <c r="V939" s="4" t="n">
        <v>408.1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사다리형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1366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수익률 높은 상가주택</t>
        </is>
      </c>
      <c r="P941" s="6">
        <f>HYPERLINK("https://fin.land.naver.com/articles/2655792803", "매물Link")</f>
        <v/>
      </c>
      <c r="Q941" s="6">
        <f>HYPERLINK("https://map.naver.com/p/search/오송읍 봉산리 1366",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오송1단지창조</t>
        </is>
      </c>
      <c r="T941" s="4" t="n">
        <v>1</v>
      </c>
      <c r="U941" s="5" t="n">
        <v>290</v>
      </c>
      <c r="V941" s="4" t="n">
        <v>300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1382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236</v>
      </c>
      <c r="V943" s="4" t="n">
        <v>239.5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4" t="n">
        <v>494</v>
      </c>
      <c r="M947" s="4" t="n">
        <v>149</v>
      </c>
      <c r="N947" s="5" t="n">
        <v>1140.9</v>
      </c>
      <c r="O947" s="3" t="inlineStr">
        <is>
          <t>오송역세권. 가치상승기대. 대로변인근</t>
        </is>
      </c>
      <c r="P947" s="6">
        <f>HYPERLINK("https://fin.land.naver.com/articles/2651309277",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노른자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감탄나오는 공원뷰 주인세대, 인프라 짱,  오송역 도보가능</t>
        </is>
      </c>
      <c r="P949" s="6">
        <f>HYPERLINK("https://fin.land.naver.com/articles/2653753236",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455</v>
      </c>
      <c r="M954" s="4" t="n">
        <v>138</v>
      </c>
      <c r="N954" s="5" t="n">
        <v>1195.7</v>
      </c>
      <c r="O954" s="3" t="inlineStr">
        <is>
          <t>반짝반짝 신축. 임대수요 확실한 투자처. 안정적 월세받으세요</t>
        </is>
      </c>
      <c r="P954" s="6">
        <f>HYPERLINK("https://fin.land.naver.com/articles/2653986100",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오송역 가까운 다가구주택</t>
        </is>
      </c>
      <c r="P955" s="6">
        <f>HYPERLINK("https://fin.land.naver.com/articles/2653410829",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오송좋은날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오송역세권,주인세대첫입주,코너건물</t>
        </is>
      </c>
      <c r="P958" s="6">
        <f>HYPERLINK("https://fin.land.naver.com/articles/2653786688",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 도보권 신축건물 주인세대 거주하며 548만 수익</t>
        </is>
      </c>
      <c r="P959" s="6">
        <f>HYPERLINK("https://fin.land.naver.com/articles/2655517402",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2025년 신축. 코너건물로 가치 상승 기대</t>
        </is>
      </c>
      <c r="P960" s="6">
        <f>HYPERLINK("https://fin.land.naver.com/articles/2651061199",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노른자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1448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339.2</v>
      </c>
      <c r="V972" s="4" t="n">
        <v>263.3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1451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335.9</v>
      </c>
      <c r="V973" s="4" t="n">
        <v>263.4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1459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281.2</v>
      </c>
      <c r="V975" s="4" t="n">
        <v>294.9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1465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339.2</v>
      </c>
      <c r="V977" s="4" t="n">
        <v>286.8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281.2</v>
      </c>
      <c r="V978" s="4" t="n">
        <v>285.3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1500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1506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HYPERLINK("https://fin.land.naver.com/articles/2655925420",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프렌즈</t>
        </is>
      </c>
      <c r="T985" s="4" t="n">
        <v>1</v>
      </c>
      <c r="U985" s="5" t="n">
        <v>207.9</v>
      </c>
      <c r="V985" s="4" t="n">
        <v>298.2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아파트 인접하여 쾌적. 수익률 좋음. 역세권 다가구</t>
        </is>
      </c>
      <c r="P986" s="6">
        <f>HYPERLINK("https://fin.land.naver.com/articles/2651757758",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회사 기숙사용으로 활용하기 좋은 원룸으로 구성된 건물,수익율좋음</t>
        </is>
      </c>
      <c r="P987" s="6">
        <f>HYPERLINK("https://fin.land.naver.com/articles/2652110647",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대단위아파트단지앞,오송역근거리,총11가구 수익률 굿</t>
        </is>
      </c>
      <c r="P988" s="6">
        <f>HYPERLINK("https://fin.land.naver.com/articles/2651378467",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598-6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158.5</v>
      </c>
      <c r="V989" s="4" t="n">
        <v>304</v>
      </c>
      <c r="W989" s="3" t="inlineStr">
        <is>
          <t>지정되지않음</t>
        </is>
      </c>
      <c r="X989" s="3" t="inlineStr">
        <is>
          <t>단독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세로한면(불)</t>
        </is>
      </c>
    </row>
    <row r="990">
      <c r="A990" s="3" t="inlineStr">
        <is>
          <t>오송읍 봉산리 775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204.3</v>
      </c>
      <c r="V990" s="4" t="n">
        <v>233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오송읍 봉산리 780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216.4</v>
      </c>
      <c r="V991" s="4" t="n">
        <v>322.6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소로각지</t>
        </is>
      </c>
    </row>
    <row r="992">
      <c r="A992" s="3" t="inlineStr">
        <is>
          <t>오송읍 봉산리 781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206.3</v>
      </c>
      <c r="V992" s="4" t="n">
        <v>287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782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4" t="n">
        <v>27</v>
      </c>
      <c r="M993" s="4" t="n">
        <v>8</v>
      </c>
      <c r="N993" s="5" t="n">
        <v>7.6</v>
      </c>
      <c r="O993" s="3" t="inlineStr">
        <is>
          <t>ㄸr봉 26년 신축 채광이 쏟아지고  화이트톤 깔끔한 풀옵션 투베이</t>
        </is>
      </c>
      <c r="P993" s="6">
        <f>HYPERLINK("https://fin.land.naver.com/articles/2651645479",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2</v>
      </c>
      <c r="U993" s="5" t="n">
        <v>206.3</v>
      </c>
      <c r="V993" s="4" t="n">
        <v>287.2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782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4" t="n">
        <v>27</v>
      </c>
      <c r="M994" s="4" t="n">
        <v>8</v>
      </c>
      <c r="N994" s="5" t="n">
        <v>1250</v>
      </c>
      <c r="O994" s="3" t="inlineStr">
        <is>
          <t>즉시 입주 가능한 채광좋은 전세 투베이</t>
        </is>
      </c>
      <c r="P994" s="6">
        <f>HYPERLINK("https://fin.land.naver.com/articles/2653303849",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206.3</v>
      </c>
      <c r="V994" s="4" t="n">
        <v>287.2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782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206.3</v>
      </c>
      <c r="V995" s="4" t="n">
        <v>287.2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1111.1</v>
      </c>
      <c r="O996" s="3" t="inlineStr">
        <is>
          <t>ㄸr봉 26년 신축 화이트톤 깔끔한 풀옵션 투베이 전세</t>
        </is>
      </c>
      <c r="P996" s="6">
        <f>HYPERLINK("https://fin.land.naver.com/articles/2652848204",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783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206.3</v>
      </c>
      <c r="V997" s="4" t="n">
        <v>287.3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791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296.3</v>
      </c>
      <c r="V998" s="4" t="n">
        <v>299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791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296.3</v>
      </c>
      <c r="V999" s="4" t="n">
        <v>299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811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220.6</v>
      </c>
      <c r="V1001" s="4" t="n">
        <v>297.2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812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월수익600만원가능,공원뷰코너건물,실투자금5억미만</t>
        </is>
      </c>
      <c r="P1002" s="6">
        <f>HYPERLINK("https://fin.land.naver.com/articles/2654025853",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233.7</v>
      </c>
      <c r="V1002" s="4" t="n">
        <v>291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812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4" t="n">
        <v>28</v>
      </c>
      <c r="M1003" s="4" t="n">
        <v>8</v>
      </c>
      <c r="N1003" s="5" t="n">
        <v>7.2</v>
      </c>
      <c r="O1003" s="3" t="inlineStr">
        <is>
          <t>OSoNg.채광좋은 예쁜투베이.</t>
        </is>
      </c>
      <c r="P1003" s="6">
        <f>HYPERLINK("https://fin.land.naver.com/articles/2654571970",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이룸</t>
        </is>
      </c>
      <c r="T1003" s="4" t="n">
        <v>2</v>
      </c>
      <c r="U1003" s="5" t="n">
        <v>233.7</v>
      </c>
      <c r="V1003" s="4" t="n">
        <v>291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812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4" t="n">
        <v>28</v>
      </c>
      <c r="M1004" s="4" t="n">
        <v>8</v>
      </c>
      <c r="N1004" s="5" t="n">
        <v>7</v>
      </c>
      <c r="O1004" s="3" t="inlineStr">
        <is>
          <t>깔끔한 투베이,시세대비저렴,솔미초근처위치</t>
        </is>
      </c>
      <c r="P1004" s="6">
        <f>HYPERLINK("https://fin.land.naver.com/articles/2655392540",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233.7</v>
      </c>
      <c r="V1004" s="4" t="n">
        <v>291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공원앞 실투4억대</t>
        </is>
      </c>
      <c r="P1007" s="6">
        <f>HYPERLINK("https://fin.land.naver.com/articles/2654757229",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e복덕방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817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231.5</v>
      </c>
      <c r="V1008" s="4" t="n">
        <v>290.8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820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231.5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830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294</v>
      </c>
      <c r="V1010" s="4" t="n">
        <v>272.9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831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294</v>
      </c>
      <c r="V1011" s="4" t="n">
        <v>268.1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중로각지</t>
        </is>
      </c>
    </row>
    <row r="1012">
      <c r="A1012" s="3" t="inlineStr">
        <is>
          <t>오송읍 봉산리 835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288.1</v>
      </c>
      <c r="V1012" s="4" t="n">
        <v>294.8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중로각지</t>
        </is>
      </c>
    </row>
    <row r="1013">
      <c r="A1013" s="3" t="inlineStr">
        <is>
          <t>오송읍 봉산리 835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288.1</v>
      </c>
      <c r="V1013" s="4" t="n">
        <v>294.8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중로각지</t>
        </is>
      </c>
    </row>
    <row r="1014">
      <c r="A1014" s="3" t="inlineStr">
        <is>
          <t>오송읍 봉산리 839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342.8</v>
      </c>
      <c r="V1014" s="4" t="n">
        <v>249.3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중로각지</t>
        </is>
      </c>
    </row>
    <row r="1015">
      <c r="A1015" s="3" t="inlineStr">
        <is>
          <t>오송읍 봉산리 839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초,유,고등학교 인근, 높은 층고 넓고 쾌적한 주인세대, 옥탑,태양광있음</t>
        </is>
      </c>
      <c r="P1015" s="6">
        <f>HYPERLINK("https://fin.land.naver.com/articles/2651757753", "매물Link")</f>
        <v/>
      </c>
      <c r="Q1015" s="6">
        <f>HYPERLINK("https://map.naver.com/p/search/오송읍 봉산리 839",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342.8</v>
      </c>
      <c r="V1015" s="4" t="n">
        <v>249.3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주변이 조용해서 거주하는 입주민들의 만족도가 좋은 건물</t>
        </is>
      </c>
      <c r="P1016" s="6">
        <f>HYPERLINK("https://fin.land.naver.com/articles/2654603695", "매물Link")</f>
        <v/>
      </c>
      <c r="Q1016" s="6">
        <f>HYPERLINK("https://map.naver.com/p/search/오송읍 봉산리 839",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342.8</v>
      </c>
      <c r="V1016" s="4" t="n">
        <v>249.3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342.8</v>
      </c>
      <c r="V1017" s="4" t="n">
        <v>249.3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정방형</t>
        </is>
      </c>
      <c r="AA1017" s="3" t="inlineStr">
        <is>
          <t>중로각지</t>
        </is>
      </c>
    </row>
    <row r="1018">
      <c r="A1018" s="3" t="inlineStr">
        <is>
          <t>오송읍 봉산리 844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6.2</v>
      </c>
      <c r="O1018" s="3" t="inlineStr">
        <is>
          <t>ㄸr봉 막힘업는 뷰에 깔끔하게 관리 잘된 풀옵션 투베이 채광좋음</t>
        </is>
      </c>
      <c r="P1018" s="6">
        <f>HYPERLINK("https://fin.land.naver.com/articles/2652841561", "매물Link")</f>
        <v/>
      </c>
      <c r="Q1018" s="6">
        <f>HYPERLINK("https://map.naver.com/p/search/오송읍 봉산리 844",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오송프렌즈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큰길가 투베이 뻥뷰 예쁜 투베이 빠른입주 가능</t>
        </is>
      </c>
      <c r="P1019" s="6">
        <f>HYPERLINK("https://fin.land.naver.com/articles/2653892183", "매물Link")</f>
        <v/>
      </c>
      <c r="Q1019" s="6">
        <f>HYPERLINK("https://map.naver.com/p/search/오송읍 봉산리 844",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스케치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844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솔미초 앞 대로변,안전귀가, 예쁜 화이트톤 넓은 투베이,실거주 만족최고</t>
        </is>
      </c>
      <c r="P1020" s="6">
        <f>HYPERLINK("https://fin.land.naver.com/articles/2653139508", "매물Link")</f>
        <v/>
      </c>
      <c r="Q1020" s="6">
        <f>HYPERLINK("https://map.naver.com/p/search/오송읍 봉산리 844",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844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4" t="n">
        <v>59</v>
      </c>
      <c r="M1022" s="4" t="n">
        <v>18</v>
      </c>
      <c r="N1022" s="5" t="n">
        <v>833.3</v>
      </c>
      <c r="O1022" s="3" t="inlineStr">
        <is>
          <t>각방 에어컨,쓰리룸 전세 , 시작하는 신혼부부 강력추천 매물, 풀옵션</t>
        </is>
      </c>
      <c r="P1022" s="6">
        <f>HYPERLINK("https://fin.land.naver.com/articles/2656100248", "매물Link")</f>
        <v/>
      </c>
      <c r="Q1022" s="6">
        <f>HYPERLINK("https://map.naver.com/p/search/오송읍 봉산리 846",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342.8</v>
      </c>
      <c r="V1022" s="4" t="n">
        <v>248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4" t="n">
        <v>495</v>
      </c>
      <c r="M1023" s="4" t="n">
        <v>150</v>
      </c>
      <c r="N1023" s="5" t="n">
        <v>1066.7</v>
      </c>
      <c r="O1023" s="3" t="inlineStr">
        <is>
          <t>코너건물 상가,주인세대 모두 사용가능한 매물</t>
        </is>
      </c>
      <c r="P1023" s="6">
        <f>HYPERLINK("https://fin.land.naver.com/articles/2652143311", "매물Link")</f>
        <v/>
      </c>
      <c r="Q1023" s="6">
        <f>HYPERLINK("https://map.naver.com/p/search/오송읍 봉산리 846",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342.8</v>
      </c>
      <c r="V1023" s="4" t="n">
        <v>248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342.8</v>
      </c>
      <c r="V1024" s="4" t="n">
        <v>248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250.2</v>
      </c>
      <c r="V1025" s="4" t="n">
        <v>271.4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소로각지</t>
        </is>
      </c>
    </row>
    <row r="1026">
      <c r="A1026" s="3" t="inlineStr">
        <is>
          <t>오송읍 봉산리 848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205.7</v>
      </c>
      <c r="V1026" s="4" t="n">
        <v>278.1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851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205.7</v>
      </c>
      <c r="V1027" s="4" t="n">
        <v>277.1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855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nan</t>
        </is>
      </c>
      <c r="P1028" s="6">
        <f>HYPERLINK("https://fin.land.naver.com/articles/2655925599", "매물Link")</f>
        <v/>
      </c>
      <c r="Q1028" s="6">
        <f>HYPERLINK("https://map.naver.com/p/search/오송읍 봉산리 855",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프렌즈</t>
        </is>
      </c>
      <c r="T1028" s="4" t="n">
        <v>2</v>
      </c>
      <c r="U1028" s="5" t="n">
        <v>215.7</v>
      </c>
      <c r="V1028" s="4" t="n">
        <v>436.2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855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215.7</v>
      </c>
      <c r="V1029" s="4" t="n">
        <v>436.2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사다리형</t>
        </is>
      </c>
      <c r="AA1029" s="3" t="inlineStr">
        <is>
          <t>소로각지</t>
        </is>
      </c>
    </row>
    <row r="1030">
      <c r="A1030" s="3" t="inlineStr">
        <is>
          <t>오송읍 봉산리 855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215.7</v>
      </c>
      <c r="V1030" s="4" t="n">
        <v>436.2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소로각지</t>
        </is>
      </c>
    </row>
    <row r="1031">
      <c r="A1031" s="3" t="inlineStr">
        <is>
          <t>오송읍 봉산리 855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월1천이상 신축단지 땅 제일 큰 상가주택, 초반짝반짝 새건물</t>
        </is>
      </c>
      <c r="P1031" s="6">
        <f>HYPERLINK("https://fin.land.naver.com/articles/2653989477",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215.7</v>
      </c>
      <c r="V1031" s="4" t="n">
        <v>436.2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소로각지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860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205.7</v>
      </c>
      <c r="V1033" s="4" t="n">
        <v>280.1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860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4" t="n">
        <v>494</v>
      </c>
      <c r="M1034" s="4" t="n">
        <v>149</v>
      </c>
      <c r="N1034" s="5" t="n">
        <v>906</v>
      </c>
      <c r="O1034" s="3" t="inlineStr">
        <is>
          <t>임대공실 없는 매물입니다, 건물관리가 잘되어 있는 건물 입니다</t>
        </is>
      </c>
      <c r="P1034" s="6">
        <f>HYPERLINK("https://fin.land.naver.com/articles/2654014641", "매물Link")</f>
        <v/>
      </c>
      <c r="Q1034" s="6">
        <f>HYPERLINK("https://map.naver.com/p/search/오송읍 봉산리 860",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205.7</v>
      </c>
      <c r="V1034" s="4" t="n">
        <v>280.1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860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4" t="n">
        <v>41</v>
      </c>
      <c r="M1035" s="4" t="n">
        <v>12</v>
      </c>
      <c r="N1035" s="5" t="n">
        <v>5.8</v>
      </c>
      <c r="O1035" s="3" t="inlineStr">
        <is>
          <t>주차 편리 조용한 주택가에 위치한 대형 투룸 월세,대형 붙박이장,풀옵</t>
        </is>
      </c>
      <c r="P1035" s="6">
        <f>HYPERLINK("https://fin.land.naver.com/articles/2653527284",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205.7</v>
      </c>
      <c r="V1035" s="4" t="n">
        <v>280.1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867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4" t="n">
        <v>500</v>
      </c>
      <c r="M1037" s="4" t="n">
        <v>151</v>
      </c>
      <c r="N1037" s="5" t="n">
        <v>960.3</v>
      </c>
      <c r="O1037" s="3" t="inlineStr">
        <is>
          <t>초등학교 유치원 인근, 임대완료, 건물구성 좋아요</t>
        </is>
      </c>
      <c r="P1037" s="6">
        <f>HYPERLINK("https://fin.land.naver.com/articles/2650881457", "매물Link")</f>
        <v/>
      </c>
      <c r="Q1037" s="6">
        <f>HYPERLINK("https://map.naver.com/p/search/오송읍 봉산리 867",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205.7</v>
      </c>
      <c r="V1037" s="4" t="n">
        <v>271.4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867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205.7</v>
      </c>
      <c r="V1038" s="4" t="n">
        <v>271.4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867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4" t="n">
        <v>500</v>
      </c>
      <c r="M1039" s="4" t="n">
        <v>151</v>
      </c>
      <c r="N1039" s="5" t="n">
        <v>993.4</v>
      </c>
      <c r="O1039" s="3" t="inlineStr">
        <is>
          <t>공원인근 산책하기 좋은 건물위치,투자매물입니다</t>
        </is>
      </c>
      <c r="P1039" s="6">
        <f>HYPERLINK("https://fin.land.naver.com/articles/2654604430",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271.4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873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236</v>
      </c>
      <c r="V1040" s="4" t="n">
        <v>270.7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876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236</v>
      </c>
      <c r="V1041" s="4" t="n">
        <v>261.2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250.2</v>
      </c>
      <c r="V1042" s="4" t="n">
        <v>251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906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339.2</v>
      </c>
      <c r="V1043" s="4" t="n">
        <v>247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906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339.2</v>
      </c>
      <c r="V1044" s="4" t="n">
        <v>247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922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205.7</v>
      </c>
      <c r="V1045" s="4" t="n">
        <v>274.1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922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205.7</v>
      </c>
      <c r="V1046" s="4" t="n">
        <v>274.1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923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4" t="n">
        <v>49</v>
      </c>
      <c r="M1047" s="4" t="n">
        <v>15</v>
      </c>
      <c r="N1047" s="5" t="n">
        <v>1.3</v>
      </c>
      <c r="O1047" s="3" t="inlineStr">
        <is>
          <t>즉시 입주, 반전세 투룸</t>
        </is>
      </c>
      <c r="P1047" s="6">
        <f>HYPERLINK("https://fin.land.naver.com/articles/2655954588",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274.2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926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218</v>
      </c>
      <c r="V1050" s="4" t="n">
        <v>266.8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926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218</v>
      </c>
      <c r="V1051" s="4" t="n">
        <v>266.8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927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218</v>
      </c>
      <c r="V1052" s="4" t="n">
        <v>273.3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218</v>
      </c>
      <c r="V1053" s="4" t="n">
        <v>273.3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4" t="n">
        <v>488</v>
      </c>
      <c r="M1054" s="4" t="n">
        <v>148</v>
      </c>
      <c r="N1054" s="5" t="n">
        <v>1114.9</v>
      </c>
      <c r="O1054" s="3" t="inlineStr">
        <is>
          <t>건물 특징</t>
        </is>
      </c>
      <c r="P1054" s="6">
        <f>HYPERLINK("https://fin.land.naver.com/articles/2653146019",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오송궁평마을</t>
        </is>
      </c>
      <c r="T1054" s="4" t="n">
        <v>1</v>
      </c>
      <c r="U1054" s="5" t="n">
        <v>205.7</v>
      </c>
      <c r="V1054" s="4" t="n">
        <v>278.3</v>
      </c>
      <c r="W1054" s="3" t="inlineStr">
        <is>
          <t>지정되지않음</t>
        </is>
      </c>
      <c r="X1054" s="3" t="inlineStr">
        <is>
          <t>단독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929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205.7</v>
      </c>
      <c r="V1055" s="4" t="n">
        <v>278.3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932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205.7</v>
      </c>
      <c r="V1057" s="4" t="n">
        <v>278.8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25</v>
      </c>
      <c r="M1058" s="4" t="n">
        <v>8</v>
      </c>
      <c r="N1058" s="5" t="n">
        <v>7</v>
      </c>
      <c r="O1058" s="3" t="inlineStr">
        <is>
          <t>ㄸr봉  위치좋고 넓게 잘빠진 투베이</t>
        </is>
      </c>
      <c r="P1058" s="6">
        <f>HYPERLINK("https://fin.land.naver.com/articles/2655170514",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250.2</v>
      </c>
      <c r="V1058" s="4" t="n">
        <v>283.1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933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4" t="n">
        <v>30</v>
      </c>
      <c r="M1059" s="4" t="n">
        <v>9</v>
      </c>
      <c r="N1059" s="5" t="n">
        <v>6.2</v>
      </c>
      <c r="O1059" s="3" t="inlineStr">
        <is>
          <t>즉시입주,넓은 투베이</t>
        </is>
      </c>
      <c r="P1059" s="6">
        <f>HYPERLINK("https://fin.land.naver.com/articles/2654954396",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250.2</v>
      </c>
      <c r="V1059" s="4" t="n">
        <v>283.1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942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236</v>
      </c>
      <c r="V1061" s="4" t="n">
        <v>276.3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944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236</v>
      </c>
      <c r="V1062" s="4" t="n">
        <v>276.2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959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271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960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271.1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965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205.7</v>
      </c>
      <c r="V1065" s="4" t="n">
        <v>271.1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975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205.7</v>
      </c>
      <c r="V1066" s="4" t="n">
        <v>271.3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975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상봉리 176-1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63.6</v>
      </c>
      <c r="V1070" s="4" t="n">
        <v>941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오송읍 상정리 729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80.09999999999999</v>
      </c>
      <c r="V1071" s="4" t="n">
        <v>527.2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완경사</t>
        </is>
      </c>
      <c r="Z1071" s="3" t="inlineStr">
        <is>
          <t>세로장방</t>
        </is>
      </c>
      <c r="AA1071" s="3" t="inlineStr">
        <is>
          <t>세로한면(가)</t>
        </is>
      </c>
    </row>
    <row r="1072">
      <c r="A1072" s="3" t="inlineStr">
        <is>
          <t>오송읍 상정리 89-3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72.7</v>
      </c>
      <c r="V1072" s="4" t="n">
        <v>494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완경사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오송읍 서평리 373-11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101.7</v>
      </c>
      <c r="V1073" s="4" t="n">
        <v>314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서평리 594-1</t>
        </is>
      </c>
      <c r="B1074" s="3" t="inlineStr">
        <is>
          <t>농림지역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65</v>
      </c>
      <c r="V1074" s="4" t="n">
        <v>119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오송읍 쌍청리 108-22</t>
        </is>
      </c>
      <c r="B1075" s="3" t="inlineStr">
        <is>
          <t>계획관리지역</t>
        </is>
      </c>
      <c r="C1075" s="3" t="inlineStr">
        <is>
          <t>공장용지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83.2</v>
      </c>
      <c r="V1075" s="4" t="n">
        <v>2075</v>
      </c>
      <c r="W1075" s="3" t="inlineStr">
        <is>
          <t>지정되지않음</t>
        </is>
      </c>
      <c r="X1075" s="3" t="inlineStr">
        <is>
          <t>연립</t>
        </is>
      </c>
      <c r="Y1075" s="3" t="inlineStr">
        <is>
          <t>완경사</t>
        </is>
      </c>
      <c r="Z1075" s="3" t="inlineStr">
        <is>
          <t>사다리형</t>
        </is>
      </c>
      <c r="AA1075" s="3" t="inlineStr">
        <is>
          <t>세로한면(가)</t>
        </is>
      </c>
    </row>
    <row r="1076">
      <c r="A1076" s="3" t="inlineStr">
        <is>
          <t>오송읍 쌍청리 108-43</t>
        </is>
      </c>
      <c r="B1076" s="3" t="inlineStr">
        <is>
          <t>계획관리지역</t>
        </is>
      </c>
      <c r="C1076" s="3" t="inlineStr">
        <is>
          <t>공장용지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83.2</v>
      </c>
      <c r="V1076" s="4" t="n">
        <v>2063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완경사</t>
        </is>
      </c>
      <c r="Z1076" s="3" t="inlineStr">
        <is>
          <t>사다리형</t>
        </is>
      </c>
      <c r="AA1076" s="3" t="inlineStr">
        <is>
          <t>세로한면(가)</t>
        </is>
      </c>
    </row>
    <row r="1077">
      <c r="A1077" s="3" t="inlineStr">
        <is>
          <t>오송읍 쌍청리 440-7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4" t="n">
        <v>109</v>
      </c>
      <c r="M1077" s="4" t="n">
        <v>33</v>
      </c>
      <c r="N1077" s="5" t="n">
        <v>2545.5</v>
      </c>
      <c r="O1077" s="3" t="inlineStr">
        <is>
          <t>마당에 예쁜 꽃들이 만발하는 단독주택 여러 가족이 함께 별도공간 거주가능</t>
        </is>
      </c>
      <c r="P1077" s="6">
        <f>HYPERLINK("https://fin.land.naver.com/articles/2654595676", "매물Link")</f>
        <v/>
      </c>
      <c r="Q1077" s="6">
        <f>HYPERLINK("https://map.naver.com/p/search/오송읍 쌍청리 440-7",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86.90000000000001</v>
      </c>
      <c r="V1077" s="4" t="n">
        <v>382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쌍청리 440-7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4" t="n">
        <v>169</v>
      </c>
      <c r="M1078" s="4" t="n">
        <v>51</v>
      </c>
      <c r="N1078" s="5" t="n">
        <v>1647.1</v>
      </c>
      <c r="O1078" s="3" t="inlineStr">
        <is>
          <t>총2필지매매 구옥이지만 집관리잘됨.</t>
        </is>
      </c>
      <c r="P1078" s="6">
        <f>HYPERLINK("https://fin.land.naver.com/articles/2654014410", "매물Link")</f>
        <v/>
      </c>
      <c r="Q1078" s="6">
        <f>HYPERLINK("https://map.naver.com/p/search/오송읍 쌍청리 440-7",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86.90000000000001</v>
      </c>
      <c r="V1078" s="4" t="n">
        <v>382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세로한면(가)</t>
        </is>
      </c>
    </row>
    <row r="1079">
      <c r="A1079" s="3" t="inlineStr">
        <is>
          <t>오송읍 연제리 405-7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4" t="n">
        <v>35</v>
      </c>
      <c r="M1079" s="4" t="n">
        <v>11</v>
      </c>
      <c r="N1079" s="5" t="n">
        <v>3.2</v>
      </c>
      <c r="O1079" s="3" t="inlineStr">
        <is>
          <t>단독이라 전원느낌 물씬,저렴이 매물인 투베이</t>
        </is>
      </c>
      <c r="P1079" s="6">
        <f>HYPERLINK("https://fin.land.naver.com/articles/2653032755", "매물Link")</f>
        <v/>
      </c>
      <c r="Q1079" s="6">
        <f>HYPERLINK("https://map.naver.com/p/search/오송읍 연제리 405-7",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오송유나</t>
        </is>
      </c>
      <c r="T1079" s="4" t="n">
        <v>1</v>
      </c>
      <c r="U1079" s="5" t="n">
        <v>124.4</v>
      </c>
      <c r="V1079" s="4" t="n">
        <v>359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연제리 405-7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4" t="n">
        <v>33</v>
      </c>
      <c r="M1080" s="4" t="n">
        <v>10</v>
      </c>
      <c r="N1080" s="5" t="n">
        <v>3.1</v>
      </c>
      <c r="O1080" s="3" t="inlineStr">
        <is>
          <t>저렴한 가격으로 전원생활 , 반려동물가능</t>
        </is>
      </c>
      <c r="P1080" s="6">
        <f>HYPERLINK("https://fin.land.naver.com/articles/2653248236", "매물Link")</f>
        <v/>
      </c>
      <c r="Q1080" s="6">
        <f>HYPERLINK("https://map.naver.com/p/search/오송읍 연제리 405-7",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124.4</v>
      </c>
      <c r="V1080" s="4" t="n">
        <v>359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연제리 405-7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4" t="n">
        <v>44</v>
      </c>
      <c r="M1081" s="4" t="n">
        <v>13</v>
      </c>
      <c r="N1081" s="5" t="n">
        <v>2.3</v>
      </c>
      <c r="O1081" s="3" t="inlineStr">
        <is>
          <t>nan</t>
        </is>
      </c>
      <c r="P1081" s="6">
        <f>HYPERLINK("https://fin.land.naver.com/articles/2653471936",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124.4</v>
      </c>
      <c r="V1081" s="4" t="n">
        <v>359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연제리 410-17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140.6</v>
      </c>
      <c r="V1082" s="4" t="n">
        <v>146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세로한면(가)</t>
        </is>
      </c>
    </row>
    <row r="1083">
      <c r="A1083" s="3" t="inlineStr">
        <is>
          <t>오송읍 연제리 444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169.4</v>
      </c>
      <c r="V1083" s="4" t="n">
        <v>831</v>
      </c>
      <c r="W1083" s="3" t="inlineStr">
        <is>
          <t>지정되지않음</t>
        </is>
      </c>
      <c r="X1083" s="3" t="inlineStr">
        <is>
          <t>주상용</t>
        </is>
      </c>
      <c r="Y1083" s="3" t="inlineStr">
        <is>
          <t>완경사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503-10</t>
        </is>
      </c>
      <c r="B1084" s="3" t="inlineStr">
        <is>
          <t>농림지역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70.5</v>
      </c>
      <c r="V1084" s="4" t="n">
        <v>158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자루형</t>
        </is>
      </c>
      <c r="AA1084" s="3" t="inlineStr">
        <is>
          <t>세로한면(불)</t>
        </is>
      </c>
    </row>
    <row r="1085">
      <c r="A1085" s="3" t="inlineStr">
        <is>
          <t>오송읍 연제리 503-10</t>
        </is>
      </c>
      <c r="B1085" s="3" t="inlineStr">
        <is>
          <t>농림지역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70.5</v>
      </c>
      <c r="V1085" s="4" t="n">
        <v>158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자루형</t>
        </is>
      </c>
      <c r="AA1085" s="3" t="inlineStr">
        <is>
          <t>세로한면(불)</t>
        </is>
      </c>
    </row>
    <row r="1086">
      <c r="A1086" s="3" t="inlineStr">
        <is>
          <t>오송읍 연제리 539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115.7</v>
      </c>
      <c r="V1086" s="4" t="n">
        <v>493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부정형</t>
        </is>
      </c>
      <c r="AA1086" s="3" t="inlineStr">
        <is>
          <t>세로각지(가)</t>
        </is>
      </c>
    </row>
    <row r="1087">
      <c r="A1087" s="3" t="inlineStr">
        <is>
          <t>오송읍 연제리 758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239</v>
      </c>
      <c r="V1087" s="4" t="n">
        <v>274.9</v>
      </c>
      <c r="W1087" s="3" t="inlineStr">
        <is>
          <t>지정되지않음</t>
        </is>
      </c>
      <c r="X1087" s="3" t="inlineStr">
        <is>
          <t>다세대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오송읍 연제리 758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239</v>
      </c>
      <c r="V1088" s="4" t="n">
        <v>274.9</v>
      </c>
      <c r="W1088" s="3" t="inlineStr">
        <is>
          <t>지정되지않음</t>
        </is>
      </c>
      <c r="X1088" s="3" t="inlineStr">
        <is>
          <t>다세대</t>
        </is>
      </c>
      <c r="Y1088" s="3" t="inlineStr">
        <is>
          <t>평지</t>
        </is>
      </c>
      <c r="Z1088" s="3" t="inlineStr">
        <is>
          <t>가로장방</t>
        </is>
      </c>
      <c r="AA1088" s="3" t="inlineStr">
        <is>
          <t>소로각지</t>
        </is>
      </c>
    </row>
    <row r="1089">
      <c r="A1089" s="3" t="inlineStr">
        <is>
          <t>오송읍 연제리 764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277.4</v>
      </c>
      <c r="V1089" s="4" t="n">
        <v>242.8</v>
      </c>
      <c r="W1089" s="3" t="inlineStr">
        <is>
          <t>지정되지않음</t>
        </is>
      </c>
      <c r="X1089" s="3" t="inlineStr">
        <is>
          <t>주상용</t>
        </is>
      </c>
      <c r="Y1089" s="3" t="inlineStr">
        <is>
          <t>평지</t>
        </is>
      </c>
      <c r="Z1089" s="3" t="inlineStr">
        <is>
          <t>가로장방</t>
        </is>
      </c>
      <c r="AA1089" s="3" t="inlineStr">
        <is>
          <t>중로한면</t>
        </is>
      </c>
    </row>
    <row r="1090">
      <c r="A1090" s="3" t="inlineStr">
        <is>
          <t>오송읍 연제리 768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229.4</v>
      </c>
      <c r="V1090" s="4" t="n">
        <v>281</v>
      </c>
      <c r="W1090" s="3" t="inlineStr">
        <is>
          <t>지정되지않음</t>
        </is>
      </c>
      <c r="X1090" s="3" t="inlineStr">
        <is>
          <t>다세대</t>
        </is>
      </c>
      <c r="Y1090" s="3" t="inlineStr">
        <is>
          <t>평지</t>
        </is>
      </c>
      <c r="Z1090" s="3" t="inlineStr">
        <is>
          <t>정방형</t>
        </is>
      </c>
      <c r="AA1090" s="3" t="inlineStr">
        <is>
          <t>소로한면</t>
        </is>
      </c>
    </row>
    <row r="1091">
      <c r="A1091" s="3" t="inlineStr">
        <is>
          <t>오송읍 연제리 770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227</v>
      </c>
      <c r="V1091" s="4" t="n">
        <v>325.7</v>
      </c>
      <c r="W1091" s="3" t="inlineStr">
        <is>
          <t>지정되지않음</t>
        </is>
      </c>
      <c r="X1091" s="3" t="inlineStr">
        <is>
          <t>다세대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연제리 770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227</v>
      </c>
      <c r="V1092" s="4" t="n">
        <v>325.7</v>
      </c>
      <c r="W1092" s="3" t="inlineStr">
        <is>
          <t>지정되지않음</t>
        </is>
      </c>
      <c r="X1092" s="3" t="inlineStr">
        <is>
          <t>다세대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780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308.1</v>
      </c>
      <c r="V1093" s="4" t="n">
        <v>292.7</v>
      </c>
      <c r="W1093" s="3" t="inlineStr">
        <is>
          <t>지정되지않음</t>
        </is>
      </c>
      <c r="X1093" s="3" t="inlineStr">
        <is>
          <t>주상용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연제리 794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4" t="n">
        <v>368</v>
      </c>
      <c r="M1094" s="4" t="n">
        <v>111</v>
      </c>
      <c r="N1094" s="5" t="n">
        <v>657.7</v>
      </c>
      <c r="O1094" s="3" t="inlineStr">
        <is>
          <t>산업단지 개발로 임대수요 풍부한 오송1산단 다가구</t>
        </is>
      </c>
      <c r="P1094" s="6">
        <f>HYPERLINK("https://fin.land.naver.com/articles/2655539920", "매물Link")</f>
        <v/>
      </c>
      <c r="Q1094" s="6">
        <f>HYPERLINK("https://map.naver.com/p/search/오송읍 연제리 794",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오송1단지창조</t>
        </is>
      </c>
      <c r="T1094" s="4" t="n">
        <v>1</v>
      </c>
      <c r="U1094" s="5" t="n">
        <v>227</v>
      </c>
      <c r="V1094" s="4" t="n">
        <v>246.8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소로한면</t>
        </is>
      </c>
    </row>
    <row r="1095">
      <c r="A1095" s="3" t="inlineStr">
        <is>
          <t>오송읍 연제리 794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원룸이 많은 다가구주택.주인세대 관리잘됨.</t>
        </is>
      </c>
      <c r="P1095" s="6">
        <f>HYPERLINK("https://fin.land.naver.com/articles/2654895864", "매물Link")</f>
        <v/>
      </c>
      <c r="Q1095" s="6">
        <f>HYPERLINK("https://map.naver.com/p/search/오송읍 연제리 794",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이룸</t>
        </is>
      </c>
      <c r="T1095" s="4" t="n">
        <v>1</v>
      </c>
      <c r="U1095" s="5" t="n">
        <v>227</v>
      </c>
      <c r="V1095" s="4" t="n">
        <v>246.8</v>
      </c>
      <c r="W1095" s="3" t="inlineStr">
        <is>
          <t>지정되지않음</t>
        </is>
      </c>
      <c r="X1095" s="3" t="inlineStr">
        <is>
          <t>다세대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소로한면</t>
        </is>
      </c>
    </row>
    <row r="1096">
      <c r="A1096" s="3" t="inlineStr">
        <is>
          <t>오송읍 연제리 794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227</v>
      </c>
      <c r="V1096" s="4" t="n">
        <v>246.8</v>
      </c>
      <c r="W1096" s="3" t="inlineStr">
        <is>
          <t>지정되지않음</t>
        </is>
      </c>
      <c r="X1096" s="3" t="inlineStr">
        <is>
          <t>다세대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소로한면</t>
        </is>
      </c>
    </row>
    <row r="1097">
      <c r="A1097" s="3" t="inlineStr">
        <is>
          <t>오송읍 연제리 805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227</v>
      </c>
      <c r="V1097" s="4" t="n">
        <v>254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가로장방</t>
        </is>
      </c>
      <c r="AA1097" s="3" t="inlineStr">
        <is>
          <t>소로한면</t>
        </is>
      </c>
    </row>
    <row r="1098">
      <c r="A1098" s="3" t="inlineStr">
        <is>
          <t>오송읍 연제리 807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227</v>
      </c>
      <c r="V1098" s="4" t="n">
        <v>273.8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가로장방</t>
        </is>
      </c>
      <c r="AA1098" s="3" t="inlineStr">
        <is>
          <t>소로한면</t>
        </is>
      </c>
    </row>
    <row r="1099">
      <c r="A1099" s="3" t="inlineStr">
        <is>
          <t>오송읍 연제리 809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227</v>
      </c>
      <c r="V1099" s="4" t="n">
        <v>273.9</v>
      </c>
      <c r="W1099" s="3" t="inlineStr">
        <is>
          <t>지정되지않음</t>
        </is>
      </c>
      <c r="X1099" s="3" t="inlineStr">
        <is>
          <t>다세대</t>
        </is>
      </c>
      <c r="Y1099" s="3" t="inlineStr">
        <is>
          <t>평지</t>
        </is>
      </c>
      <c r="Z1099" s="3" t="inlineStr">
        <is>
          <t>가로장방</t>
        </is>
      </c>
      <c r="AA1099" s="3" t="inlineStr">
        <is>
          <t>소로한면</t>
        </is>
      </c>
    </row>
    <row r="1100">
      <c r="A1100" s="3" t="inlineStr">
        <is>
          <t>오송읍 연제리 817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244.1</v>
      </c>
      <c r="V1100" s="4" t="n">
        <v>290.9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소로각지</t>
        </is>
      </c>
    </row>
    <row r="1101">
      <c r="A1101" s="3" t="inlineStr">
        <is>
          <t>오송읍 연제리 828</t>
        </is>
      </c>
      <c r="B1101" s="3" t="inlineStr">
        <is>
          <t>준주거지역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6.8</v>
      </c>
      <c r="O1101" s="3" t="inlineStr">
        <is>
          <t>오송역 근처 단기 원룸 ,즉시 입주 가능</t>
        </is>
      </c>
      <c r="P1101" s="6">
        <f>HYPERLINK("https://fin.land.naver.com/articles/2653381186", "매물Link")</f>
        <v/>
      </c>
      <c r="Q1101" s="6">
        <f>HYPERLINK("https://map.naver.com/p/search/오송읍 연제리 828",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467.1</v>
      </c>
      <c r="V1101" s="4" t="n">
        <v>378</v>
      </c>
      <c r="W1101" s="3" t="inlineStr">
        <is>
          <t>지정되지않음</t>
        </is>
      </c>
      <c r="X1101" s="3" t="inlineStr">
        <is>
          <t>상업용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광대소각</t>
        </is>
      </c>
    </row>
    <row r="1102">
      <c r="A1102" s="3" t="inlineStr">
        <is>
          <t>오송읍 연제리 828</t>
        </is>
      </c>
      <c r="B1102" s="3" t="inlineStr">
        <is>
          <t>준주거지역</t>
        </is>
      </c>
      <c r="C1102" s="3" t="inlineStr">
        <is>
          <t>대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467.1</v>
      </c>
      <c r="V1102" s="4" t="n">
        <v>378</v>
      </c>
      <c r="W1102" s="3" t="inlineStr">
        <is>
          <t>지정되지않음</t>
        </is>
      </c>
      <c r="X1102" s="3" t="inlineStr">
        <is>
          <t>상업용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광대소각</t>
        </is>
      </c>
    </row>
    <row r="1103">
      <c r="A1103" s="3" t="inlineStr">
        <is>
          <t>오송읍 연제리 828</t>
        </is>
      </c>
      <c r="B1103" s="3" t="inlineStr">
        <is>
          <t>준주거지역</t>
        </is>
      </c>
      <c r="C1103" s="3" t="inlineStr">
        <is>
          <t>대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10</v>
      </c>
      <c r="O1103" s="3" t="inlineStr">
        <is>
          <t>오송역 도보 7분 깔끔한 단기임대 원룸인턴직장 단기발령 추천</t>
        </is>
      </c>
      <c r="P1103" s="6">
        <f>HYPERLINK("https://fin.land.naver.com/articles/2655184408", "매물Link")</f>
        <v/>
      </c>
      <c r="Q1103" s="6">
        <f>HYPERLINK("https://map.naver.com/p/search/오송읍 연제리 828",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오송시티</t>
        </is>
      </c>
      <c r="T1103" s="4" t="n">
        <v>1</v>
      </c>
      <c r="U1103" s="5" t="n">
        <v>467.1</v>
      </c>
      <c r="V1103" s="4" t="n">
        <v>378</v>
      </c>
      <c r="W1103" s="3" t="inlineStr">
        <is>
          <t>지정되지않음</t>
        </is>
      </c>
      <c r="X1103" s="3" t="inlineStr">
        <is>
          <t>상업용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광대소각</t>
        </is>
      </c>
    </row>
    <row r="1104">
      <c r="A1104" s="3" t="inlineStr">
        <is>
          <t>오송읍 오송리 143-19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176.9</v>
      </c>
      <c r="V1104" s="4" t="n">
        <v>140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세로한면(가)</t>
        </is>
      </c>
    </row>
    <row r="1105">
      <c r="A1105" s="3" t="inlineStr">
        <is>
          <t>오송읍 오송리 144-8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177</v>
      </c>
      <c r="V1105" s="4" t="n">
        <v>215</v>
      </c>
      <c r="W1105" s="3" t="inlineStr">
        <is>
          <t>지정되지않음</t>
        </is>
      </c>
      <c r="X1105" s="3" t="inlineStr">
        <is>
          <t>연립</t>
        </is>
      </c>
      <c r="Y1105" s="3" t="inlineStr">
        <is>
          <t>평지</t>
        </is>
      </c>
      <c r="Z1105" s="3" t="inlineStr">
        <is>
          <t>사다리형</t>
        </is>
      </c>
      <c r="AA1105" s="3" t="inlineStr">
        <is>
          <t>세로각지(가)</t>
        </is>
      </c>
    </row>
    <row r="1106">
      <c r="A1106" s="3" t="inlineStr">
        <is>
          <t>오송읍 오송리 20-1</t>
        </is>
      </c>
      <c r="B1106" s="3" t="inlineStr">
        <is>
          <t>농림지역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132.8</v>
      </c>
      <c r="V1106" s="4" t="n">
        <v>522</v>
      </c>
      <c r="W1106" s="3" t="inlineStr">
        <is>
          <t>지정되지않음</t>
        </is>
      </c>
      <c r="X1106" s="3" t="inlineStr">
        <is>
          <t>단독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세로한면(가)</t>
        </is>
      </c>
    </row>
    <row r="1107">
      <c r="A1107" s="3" t="inlineStr">
        <is>
          <t>오송읍 오송리 210-38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142.6</v>
      </c>
      <c r="V1107" s="4" t="n">
        <v>455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세로한면(가)</t>
        </is>
      </c>
    </row>
    <row r="1108">
      <c r="A1108" s="3" t="inlineStr">
        <is>
          <t>오송읍 오송리 245-1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166.7</v>
      </c>
      <c r="V1108" s="4" t="n">
        <v>1190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세로각지(가)</t>
        </is>
      </c>
    </row>
    <row r="1109">
      <c r="A1109" s="3" t="inlineStr">
        <is>
          <t>오송읍 오송리 246-63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268.3</v>
      </c>
      <c r="V1109" s="4" t="n">
        <v>289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오송읍 오송리 60-93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200.7</v>
      </c>
      <c r="V1110" s="4" t="n">
        <v>516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정중리 205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91.3</v>
      </c>
      <c r="V1111" s="4" t="n">
        <v>330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자루형</t>
        </is>
      </c>
      <c r="AA1111" s="3" t="inlineStr">
        <is>
          <t>세로한면(가)</t>
        </is>
      </c>
    </row>
    <row r="1112">
      <c r="A1112" s="3" t="inlineStr">
        <is>
          <t>오송읍 정중리 284-7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83.5</v>
      </c>
      <c r="V1112" s="4" t="n">
        <v>380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오송읍 정중리 556-12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138.1</v>
      </c>
      <c r="V1113" s="4" t="n">
        <v>50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세로한면(가)</t>
        </is>
      </c>
    </row>
    <row r="1114">
      <c r="A1114" s="3" t="inlineStr">
        <is>
          <t>오송읍 정중리 556-5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154.7</v>
      </c>
      <c r="V1114" s="4" t="n">
        <v>268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사다리형</t>
        </is>
      </c>
      <c r="AA1114" s="3" t="inlineStr">
        <is>
          <t>소로각지</t>
        </is>
      </c>
    </row>
    <row r="1115">
      <c r="A1115" s="3" t="inlineStr">
        <is>
          <t>오송읍 정중리 556-5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154.7</v>
      </c>
      <c r="V1115" s="4" t="n">
        <v>268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소로각지</t>
        </is>
      </c>
    </row>
    <row r="1116">
      <c r="A1116" s="3" t="inlineStr">
        <is>
          <t>오송읍 정중리 557-17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150.2</v>
      </c>
      <c r="V1116" s="4" t="n">
        <v>231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소로한면</t>
        </is>
      </c>
    </row>
    <row r="1117">
      <c r="A1117" s="3" t="inlineStr">
        <is>
          <t>장군면 금암리 261-15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4" t="n">
        <v>368</v>
      </c>
      <c r="M1135" s="4" t="n">
        <v>111</v>
      </c>
      <c r="N1135" s="5" t="n">
        <v>1522.5</v>
      </c>
      <c r="O1135" s="3" t="inlineStr">
        <is>
          <t>앞에는 금강뷰가 환상적인 단독주택,뒤에는 산조망권</t>
        </is>
      </c>
      <c r="P1135" s="6">
        <f>HYPERLINK("https://fin.land.naver.com/articles/2653123650", "매물Link")</f>
        <v/>
      </c>
      <c r="Q1135" s="6">
        <f>HYPERLINK("https://map.naver.com/p/search/장군면 금암리 378-29",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다산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4" t="n">
        <v>368</v>
      </c>
      <c r="M1136" s="4" t="n">
        <v>111</v>
      </c>
      <c r="N1136" s="5" t="n">
        <v>1351.4</v>
      </c>
      <c r="O1136" s="3" t="inlineStr">
        <is>
          <t>금강방향전망최고,갤러리처럼 이쁘고 멋지게 건축한집</t>
        </is>
      </c>
      <c r="P1136" s="6">
        <f>HYPERLINK("https://fin.land.naver.com/articles/2655842961", "매물Link")</f>
        <v/>
      </c>
      <c r="Q1136" s="6">
        <f>HYPERLINK("https://map.naver.com/p/search/장군면 금암리 378-29",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뉴평화2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4" t="n">
        <v>122</v>
      </c>
      <c r="M1147" s="4" t="n">
        <v>37</v>
      </c>
      <c r="N1147" s="5" t="n">
        <v>1189.2</v>
      </c>
      <c r="O1147" s="3" t="inlineStr">
        <is>
          <t>월세낀 급매,제로에너지 타운하우스,테라스,정원마당</t>
        </is>
      </c>
      <c r="P1147" s="6">
        <f>HYPERLINK("https://fin.land.naver.com/articles/2651742228", "매물Link")</f>
        <v/>
      </c>
      <c r="Q1147" s="6">
        <f>HYPERLINK("https://map.naver.com/p/search/장군면 대교리 147-67",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4" t="n">
        <v>122</v>
      </c>
      <c r="M1148" s="4" t="n">
        <v>37</v>
      </c>
      <c r="N1148" s="5" t="n">
        <v>1216.2</v>
      </c>
      <c r="O1148" s="3" t="inlineStr">
        <is>
          <t>공실,가격조절가,시스템냉방기6대,친환경자재,친환경에너지 적용, 잔디마당</t>
        </is>
      </c>
      <c r="P1148" s="6">
        <f>HYPERLINK("https://fin.land.naver.com/articles/2651518935", "매물Link")</f>
        <v/>
      </c>
      <c r="Q1148" s="6">
        <f>HYPERLINK("https://map.naver.com/p/search/장군면 대교리 147-67",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만땅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HYPERLINK("https://fin.land.naver.com/articles/2651742264", "매물Link")</f>
        <v/>
      </c>
      <c r="Q1151" s="6">
        <f>HYPERLINK("https://map.naver.com/p/search/장군면 대교리 147-68",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난방비 걱정없는 친환경 주택, 시스템냉방기, 전망좋고 저렴한 전원주택</t>
        </is>
      </c>
      <c r="P1152" s="6">
        <f>HYPERLINK("https://fin.land.naver.com/articles/2651520256", "매물Link")</f>
        <v/>
      </c>
      <c r="Q1152" s="6">
        <f>HYPERLINK("https://map.naver.com/p/search/장군면 대교리 147-68",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만땅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장군면 대교리 전원주택 매매</t>
        </is>
      </c>
      <c r="P1164" s="6">
        <f>HYPERLINK("https://fin.land.naver.com/articles/2654997402", "매물Link")</f>
        <v/>
      </c>
      <c r="Q1164" s="6">
        <f>HYPERLINK("https://map.naver.com/p/search/장군면 대교리 326-14",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다모아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4" t="n">
        <v>102</v>
      </c>
      <c r="M1165" s="4" t="n">
        <v>31</v>
      </c>
      <c r="N1165" s="5" t="n">
        <v>871</v>
      </c>
      <c r="O1165" s="3" t="inlineStr">
        <is>
          <t>텃밭있는 타운하우스, 태양광설치로  전기세절약,  상수도설치함.</t>
        </is>
      </c>
      <c r="P1165" s="6">
        <f>HYPERLINK("https://fin.land.naver.com/articles/2651514533", "매물Link")</f>
        <v/>
      </c>
      <c r="Q1165" s="6">
        <f>HYPERLINK("https://map.naver.com/p/search/장군면 대교리 326-14",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Home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장군면 대교리 조용한 전원주택</t>
        </is>
      </c>
      <c r="P1169" s="6">
        <f>HYPERLINK("https://fin.land.naver.com/articles/2655038534", "매물Link")</f>
        <v/>
      </c>
      <c r="Q1169" s="6">
        <f>HYPERLINK("https://map.naver.com/p/search/장군면 대교리 335-26",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세종천지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멋진 데크있는 단독주택</t>
        </is>
      </c>
      <c r="P1170" s="6">
        <f>HYPERLINK("https://fin.land.naver.com/articles/2654910916", "매물Link")</f>
        <v/>
      </c>
      <c r="Q1170" s="6">
        <f>HYPERLINK("https://map.naver.com/p/search/장군면 대교리 335-26",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4" t="n">
        <v>20</v>
      </c>
      <c r="M1176" s="4" t="n">
        <v>6</v>
      </c>
      <c r="N1176" s="5" t="n">
        <v>4.5</v>
      </c>
      <c r="O1176" s="3" t="inlineStr">
        <is>
          <t>세종 최저 저렴이 원룸 빌트인장 수납공간 싸게 딱 좋아</t>
        </is>
      </c>
      <c r="P1176" s="6">
        <f>HYPERLINK("https://fin.land.naver.com/articles/2655244712", "매물Link")</f>
        <v/>
      </c>
      <c r="Q1176" s="6">
        <f>HYPERLINK("https://map.naver.com/p/search/장군면 대교리 596-7",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4" t="n">
        <v>83</v>
      </c>
      <c r="M1179" s="4" t="n">
        <v>25</v>
      </c>
      <c r="N1179" s="5" t="n">
        <v>1600</v>
      </c>
      <c r="O1179" s="3" t="inlineStr">
        <is>
          <t>신도시가 내려다 보이는 국사봉마을 전원주택단지</t>
        </is>
      </c>
      <c r="P1179" s="6">
        <f>HYPERLINK("https://fin.land.naver.com/articles/2654547823", "매물Link")</f>
        <v/>
      </c>
      <c r="Q1179" s="6">
        <f>HYPERLINK("https://map.naver.com/p/search/장군면 대교리 74-27",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온뜰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4" t="n">
        <v>83</v>
      </c>
      <c r="M1180" s="4" t="n">
        <v>25</v>
      </c>
      <c r="N1180" s="5" t="n">
        <v>1600</v>
      </c>
      <c r="O1180" s="3" t="inlineStr">
        <is>
          <t>세종시내 5분 거리 국사봉마을 전원주택,세컨하우스,토지 투자 적극 추천</t>
        </is>
      </c>
      <c r="P1180" s="6">
        <f>HYPERLINK("https://fin.land.naver.com/articles/2655996929", "매물Link")</f>
        <v/>
      </c>
      <c r="Q1180" s="6">
        <f>HYPERLINK("https://map.naver.com/p/search/장군면 대교리 74-27",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4" t="n">
        <v>22</v>
      </c>
      <c r="M1188" s="4" t="n">
        <v>7</v>
      </c>
      <c r="N1188" s="5" t="n">
        <v>4.3</v>
      </c>
      <c r="O1188" s="3" t="inlineStr">
        <is>
          <t>정부청사15분 편의시설완비 밝고 빌트인 깔끔한 원룸</t>
        </is>
      </c>
      <c r="P1188" s="6">
        <f>HYPERLINK("https://fin.land.naver.com/articles/2654407339", "매물Link")</f>
        <v/>
      </c>
      <c r="Q1188" s="6">
        <f>HYPERLINK("https://map.naver.com/p/search/장군면 도계리 151-1",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000편의시설 최상 초,중교 부근000</t>
        </is>
      </c>
      <c r="P1189" s="6">
        <f>HYPERLINK("https://fin.land.naver.com/articles/2654174668", "매물Link")</f>
        <v/>
      </c>
      <c r="Q1189" s="6">
        <f>HYPERLINK("https://map.naver.com/p/search/장군면 도계리 151-1",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세종시 아주 착한 월세 000</t>
        </is>
      </c>
      <c r="P1204" s="6">
        <f>HYPERLINK("https://fin.land.naver.com/articles/2655101545", "매물Link")</f>
        <v/>
      </c>
      <c r="Q1204" s="6">
        <f>HYPERLINK("https://map.naver.com/p/search/장군면 도계리 224-1",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2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4" t="n">
        <v>20</v>
      </c>
      <c r="M1205" s="4" t="n">
        <v>6</v>
      </c>
      <c r="N1205" s="5" t="n">
        <v>4.2</v>
      </c>
      <c r="O1205" s="3" t="inlineStr">
        <is>
          <t>000  조용한 저렴 원룸  000</t>
        </is>
      </c>
      <c r="P1205" s="6">
        <f>HYPERLINK("https://fin.land.naver.com/articles/2653841664", "매물Link")</f>
        <v/>
      </c>
      <c r="Q1205" s="6">
        <f>HYPERLINK("https://map.naver.com/p/search/장군면 도계리 224-1",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신황제</t>
        </is>
      </c>
      <c r="T1205" s="4" t="n">
        <v>2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HYPERLINK("https://fin.land.naver.com/articles/2653567657",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nan</t>
        </is>
      </c>
      <c r="P1210" s="6">
        <f>HYPERLINK("https://fin.land.naver.com/articles/2653576372", "매물Link")</f>
        <v/>
      </c>
      <c r="Q1210" s="6">
        <f>HYPERLINK("https://map.naver.com/p/search/장군면 도계리 276-27",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nan</t>
        </is>
      </c>
      <c r="P1216" s="6">
        <f>HYPERLINK("https://fin.land.naver.com/articles/2654330580", "매물Link")</f>
        <v/>
      </c>
      <c r="Q1216" s="6">
        <f>HYPERLINK("https://map.naver.com/p/search/장군면 도계리 282-31",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링크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도계리 전원주택 , 조망권 최상</t>
        </is>
      </c>
      <c r="P1217" s="6">
        <f>HYPERLINK("https://fin.land.naver.com/articles/2651916189", "매물Link")</f>
        <v/>
      </c>
      <c r="Q1217" s="6">
        <f>HYPERLINK("https://map.naver.com/p/search/장군면 도계리 282-31",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THE다온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4" t="n">
        <v>425</v>
      </c>
      <c r="M1228" s="4" t="n">
        <v>129</v>
      </c>
      <c r="N1228" s="5" t="n">
        <v>953.5</v>
      </c>
      <c r="O1228" s="3" t="inlineStr">
        <is>
          <t>000 주인세대있는매물 1층상가,엘리베이터가동 000</t>
        </is>
      </c>
      <c r="P1228" s="6">
        <f>HYPERLINK("https://fin.land.naver.com/articles/2655357137", "매물Link")</f>
        <v/>
      </c>
      <c r="Q1228" s="6">
        <f>HYPERLINK("https://map.naver.com/p/search/장군면 봉안리 210-5",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4" t="n">
        <v>425</v>
      </c>
      <c r="M1229" s="4" t="n">
        <v>129</v>
      </c>
      <c r="N1229" s="5" t="n">
        <v>969</v>
      </c>
      <c r="O1229" s="3" t="inlineStr">
        <is>
          <t>엘리베이터, 풀옵션, 관리최상</t>
        </is>
      </c>
      <c r="P1229" s="6">
        <f>HYPERLINK("https://fin.land.naver.com/articles/2654036749", "매물Link")</f>
        <v/>
      </c>
      <c r="Q1229" s="6">
        <f>HYPERLINK("https://map.naver.com/p/search/장군면 봉안리 210-5",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4" t="n">
        <v>36</v>
      </c>
      <c r="M1235" s="4" t="n">
        <v>11</v>
      </c>
      <c r="N1235" s="5" t="n">
        <v>5.5</v>
      </c>
      <c r="O1235" s="3" t="inlineStr">
        <is>
          <t>대출없음.다정동 고운동3분, 깔끔한 주방분리형 방2개 투룸 월세</t>
        </is>
      </c>
      <c r="P1235" s="6">
        <f>HYPERLINK("https://fin.land.naver.com/articles/2655012293", "매물Link")</f>
        <v/>
      </c>
      <c r="Q1235" s="6">
        <f>HYPERLINK("https://map.naver.com/p/search/장군면 봉안리 296-3",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nan</t>
        </is>
      </c>
      <c r="P1236" s="6">
        <f>HYPERLINK("https://fin.land.naver.com/articles/2655251353", "매물Link")</f>
        <v/>
      </c>
      <c r="Q1236" s="6">
        <f>HYPERLINK("https://map.naver.com/p/search/장군면 봉안리 296-3",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000  깔끔 투룸 화장살 2, 청사,공주인접 000</t>
        </is>
      </c>
      <c r="P1237" s="6">
        <f>HYPERLINK("https://fin.land.naver.com/articles/2655100777", "매물Link")</f>
        <v/>
      </c>
      <c r="Q1237" s="6">
        <f>HYPERLINK("https://map.naver.com/p/search/장군면 봉안리 296-4",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대출없음,새롬동,나성동10분, 화장실,에어컨2개 있는 투룸</t>
        </is>
      </c>
      <c r="P1238" s="6">
        <f>HYPERLINK("https://fin.land.naver.com/articles/2655213854", "매물Link")</f>
        <v/>
      </c>
      <c r="Q1238" s="6">
        <f>HYPERLINK("https://map.naver.com/p/search/장군면 봉안리 296-4",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4" t="n">
        <v>487</v>
      </c>
      <c r="M1246" s="4" t="n">
        <v>147</v>
      </c>
      <c r="N1246" s="5" t="n">
        <v>816.3</v>
      </c>
      <c r="O1246" s="3" t="inlineStr">
        <is>
          <t>편의시설 형성되어 있는 1층 편의점 상가주택 매매</t>
        </is>
      </c>
      <c r="P1246" s="6">
        <f>HYPERLINK("https://fin.land.naver.com/articles/2652022748", "매물Link")</f>
        <v/>
      </c>
      <c r="Q1246" s="6">
        <f>HYPERLINK("https://map.naver.com/p/search/장군면 봉안리 303-7",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000 봉안리 1룸 추천추천 000</t>
        </is>
      </c>
      <c r="P1247" s="6">
        <f>HYPERLINK("https://fin.land.naver.com/articles/2655451902", "매물Link")</f>
        <v/>
      </c>
      <c r="Q1247" s="6">
        <f>HYPERLINK("https://map.naver.com/p/search/장군면 봉안리 303-7",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장군면 봉안리 위치최상의 단독주택</t>
        </is>
      </c>
      <c r="P1249" s="6">
        <f>HYPERLINK("https://fin.land.naver.com/articles/2655037871", "매물Link")</f>
        <v/>
      </c>
      <c r="Q1249" s="6">
        <f>HYPERLINK("https://map.naver.com/p/search/장군면 봉안리 311-2",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세종천지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(급매)근린생활시설 가능한 단독주택 세종시 경계지역</t>
        </is>
      </c>
      <c r="P1252" s="6">
        <f>HYPERLINK("https://fin.land.naver.com/articles/2653340029", "매물Link")</f>
        <v/>
      </c>
      <c r="Q1252" s="6">
        <f>HYPERLINK("https://map.naver.com/p/search/장군면 봉안리 311-2",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상상</t>
        </is>
      </c>
      <c r="T1252" s="4" t="n">
        <v>2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4" t="n">
        <v>25</v>
      </c>
      <c r="M1253" s="4" t="n">
        <v>8</v>
      </c>
      <c r="N1253" s="5" t="n">
        <v>4</v>
      </c>
      <c r="O1253" s="3" t="inlineStr">
        <is>
          <t>봉안리 빌트인 풀옵션 편의시설 최고, 살기 좋은 대형 원룸</t>
        </is>
      </c>
      <c r="P1253" s="6">
        <f>HYPERLINK("https://fin.land.naver.com/articles/2653493604", "매물Link")</f>
        <v/>
      </c>
      <c r="Q1253" s="6">
        <f>HYPERLINK("https://map.naver.com/p/search/장군면 봉안리 313-2",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4" t="n">
        <v>20</v>
      </c>
      <c r="M1254" s="4" t="n">
        <v>6</v>
      </c>
      <c r="N1254" s="5" t="n">
        <v>5.3</v>
      </c>
      <c r="O1254" s="3" t="inlineStr">
        <is>
          <t>00수납최고 ,주차 걱정N0,최상원룸   00</t>
        </is>
      </c>
      <c r="P1254" s="6">
        <f>HYPERLINK("https://fin.land.naver.com/articles/2655618530", "매물Link")</f>
        <v/>
      </c>
      <c r="Q1254" s="6">
        <f>HYPERLINK("https://map.naver.com/p/search/장군면 봉안리 313-2",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4" t="n">
        <v>24</v>
      </c>
      <c r="M1255" s="4" t="n">
        <v>7</v>
      </c>
      <c r="N1255" s="5" t="n">
        <v>4.6</v>
      </c>
      <c r="O1255" s="3" t="inlineStr">
        <is>
          <t>000 대형1룸수납짱 최상옵션 내국인전용 000</t>
        </is>
      </c>
      <c r="P1255" s="6">
        <f>HYPERLINK("https://fin.land.naver.com/articles/2653153288", "매물Link")</f>
        <v/>
      </c>
      <c r="Q1255" s="6">
        <f>HYPERLINK("https://map.naver.com/p/search/장군면 봉안리 313-2",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4" t="n">
        <v>38</v>
      </c>
      <c r="M1267" s="4" t="n">
        <v>11</v>
      </c>
      <c r="N1267" s="5" t="n">
        <v>663.6</v>
      </c>
      <c r="O1267" s="3" t="inlineStr">
        <is>
          <t>새롬동,나성동10분 , 도로변, 깔끔 복층 투룸 전세</t>
        </is>
      </c>
      <c r="P1267" s="6">
        <f>HYPERLINK("https://fin.land.naver.com/articles/2655032709", "매물Link")</f>
        <v/>
      </c>
      <c r="Q1267" s="6">
        <f>HYPERLINK("https://map.naver.com/p/search/장군면 봉안리 327-1",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4" t="n">
        <v>38</v>
      </c>
      <c r="M1268" s="4" t="n">
        <v>11</v>
      </c>
      <c r="N1268" s="5" t="n">
        <v>1.8</v>
      </c>
      <c r="O1268" s="3" t="inlineStr">
        <is>
          <t>큰길가, 도로변,대중교통 이용 편리한 깔끔 복층 투룸 반전세</t>
        </is>
      </c>
      <c r="P1268" s="6">
        <f>HYPERLINK("https://fin.land.naver.com/articles/2654487856", "매물Link")</f>
        <v/>
      </c>
      <c r="Q1268" s="6">
        <f>HYPERLINK("https://map.naver.com/p/search/장군면 봉안리 327-1",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4" t="n">
        <v>20</v>
      </c>
      <c r="M1271" s="4" t="n">
        <v>6</v>
      </c>
      <c r="N1271" s="5" t="n">
        <v>16.7</v>
      </c>
      <c r="O1271" s="3" t="inlineStr">
        <is>
          <t>000내국인 타운하우스,청사인접 00</t>
        </is>
      </c>
      <c r="P1271" s="6">
        <f>HYPERLINK("https://fin.land.naver.com/articles/2656004239", "매물Link")</f>
        <v/>
      </c>
      <c r="Q1271" s="6">
        <f>HYPERLINK("https://map.naver.com/p/search/장군면 봉안리 327-6",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25</v>
      </c>
      <c r="M1274" s="4" t="n">
        <v>8</v>
      </c>
      <c r="N1274" s="5" t="n">
        <v>3.8</v>
      </c>
      <c r="O1274" s="3" t="inlineStr">
        <is>
          <t>버스정류장인접 방 크고 밝고 깔끔 풀옵션 살기좋은 대형원룸</t>
        </is>
      </c>
      <c r="P1274" s="6">
        <f>HYPERLINK("https://fin.land.naver.com/articles/2654354020", "매물Link")</f>
        <v/>
      </c>
      <c r="Q1274" s="6">
        <f>HYPERLINK("https://map.naver.com/p/search/장군면 봉안리 341",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버스 승강장 부근 ,주차좋은 원룸  000</t>
        </is>
      </c>
      <c r="P1275" s="6">
        <f>HYPERLINK("https://fin.land.naver.com/articles/2654493360", "매물Link")</f>
        <v/>
      </c>
      <c r="Q1275" s="6">
        <f>HYPERLINK("https://map.naver.com/p/search/장군면 봉안리 341",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분리형 초저렴 00</t>
        </is>
      </c>
      <c r="P1280" s="6">
        <f>HYPERLINK("https://fin.land.naver.com/articles/2652517559", "매물Link")</f>
        <v/>
      </c>
      <c r="Q1280" s="6">
        <f>HYPERLINK("https://map.naver.com/p/search/장군면 봉안리 342-7",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HYPERLINK("https://fin.land.naver.com/articles/2653157319", "매물Link")</f>
        <v/>
      </c>
      <c r="Q1281" s="6">
        <f>HYPERLINK("https://map.naver.com/p/search/장군면 봉안리 342-7",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봉안리 분리형 초저렴 도로변 버스승강장 앞 원룸00</t>
        </is>
      </c>
      <c r="P1283" s="6">
        <f>HYPERLINK("https://fin.land.naver.com/articles/2652520930", "매물Link")</f>
        <v/>
      </c>
      <c r="Q1283" s="6">
        <f>HYPERLINK("https://map.naver.com/p/search/장군면 봉안리 342-7",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326</v>
      </c>
      <c r="M1284" s="4" t="n">
        <v>99</v>
      </c>
      <c r="N1284" s="5" t="n">
        <v>838.4</v>
      </c>
      <c r="O1284" s="3" t="inlineStr">
        <is>
          <t>가성비 짱 몸만 들어오면되는방 소액으로 투자하기 좋은집, 수익률좋아요</t>
        </is>
      </c>
      <c r="P1284" s="6">
        <f>HYPERLINK("https://fin.land.naver.com/articles/2653777805", "매물Link")</f>
        <v/>
      </c>
      <c r="Q1284" s="6">
        <f>HYPERLINK("https://map.naver.com/p/search/장군면 봉안리 342-8",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정류장앞 분리형 풀옵션원룸 세종청사,과기부 10분거리</t>
        </is>
      </c>
      <c r="P1285" s="6">
        <f>HYPERLINK("https://fin.land.naver.com/articles/2654356648", "매물Link")</f>
        <v/>
      </c>
      <c r="Q1285" s="6">
        <f>HYPERLINK("https://map.naver.com/p/search/장군면 봉안리 342-8",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4" t="n">
        <v>329</v>
      </c>
      <c r="M1286" s="4" t="n">
        <v>100</v>
      </c>
      <c r="N1286" s="5" t="n">
        <v>830</v>
      </c>
      <c r="O1286" s="3" t="inlineStr">
        <is>
          <t>000 버스 정류장 도로변 수익형 다가구 000</t>
        </is>
      </c>
      <c r="P1286" s="6">
        <f>HYPERLINK("https://fin.land.naver.com/articles/2653976220", "매물Link")</f>
        <v/>
      </c>
      <c r="Q1286" s="6">
        <f>HYPERLINK("https://map.naver.com/p/search/장군면 봉안리 342-8",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4" t="n">
        <v>97</v>
      </c>
      <c r="M1298" s="4" t="n">
        <v>29</v>
      </c>
      <c r="N1298" s="5" t="n">
        <v>1344.8</v>
      </c>
      <c r="O1298" s="3" t="inlineStr">
        <is>
          <t>조용히 전원생활 최적지,조망 트임,송선동택지개발지구 아주 근접</t>
        </is>
      </c>
      <c r="P1298" s="6">
        <f>HYPERLINK("https://fin.land.naver.com/articles/2654352776", "매물Link")</f>
        <v/>
      </c>
      <c r="Q1298" s="6">
        <f>HYPERLINK("https://map.naver.com/p/search/장군면 용암리 390-1",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세종공주제일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4" t="n">
        <v>99</v>
      </c>
      <c r="M1300" s="4" t="n">
        <v>30</v>
      </c>
      <c r="N1300" s="5" t="n">
        <v>1300</v>
      </c>
      <c r="O1300" s="3" t="inlineStr">
        <is>
          <t>세종시 장군면 전원 주택 황토흑집 가격 조정 가능</t>
        </is>
      </c>
      <c r="P1300" s="6">
        <f>HYPERLINK("https://fin.land.naver.com/articles/2653136134", "매물Link")</f>
        <v/>
      </c>
      <c r="Q1300" s="6">
        <f>HYPERLINK("https://map.naver.com/p/search/장군면 용암리 390-1",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박단아사사무소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4" t="n">
        <v>24</v>
      </c>
      <c r="M1301" s="4" t="n">
        <v>7</v>
      </c>
      <c r="N1301" s="5" t="n">
        <v>3.9</v>
      </c>
      <c r="O1301" s="3" t="inlineStr">
        <is>
          <t>풀옵션 원룸 은용리, 오픈형 , 방이 크고  밝고 좋아요</t>
        </is>
      </c>
      <c r="P1301" s="6">
        <f>HYPERLINK("https://fin.land.naver.com/articles/2650787023", "매물Link")</f>
        <v/>
      </c>
      <c r="Q1301" s="6">
        <f>HYPERLINK("https://map.naver.com/p/search/장군면 은용리 108-9",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4" t="n">
        <v>22</v>
      </c>
      <c r="M1302" s="4" t="n">
        <v>7</v>
      </c>
      <c r="N1302" s="5" t="n">
        <v>3.6</v>
      </c>
      <c r="O1302" s="3" t="inlineStr">
        <is>
          <t>풀옵션 원룸 은용리, 오픈형 , 방이 크고  밝고 좋아요</t>
        </is>
      </c>
      <c r="P1302" s="6">
        <f>HYPERLINK("https://fin.land.naver.com/articles/2650787016", "매물Link")</f>
        <v/>
      </c>
      <c r="Q1302" s="6">
        <f>HYPERLINK("https://map.naver.com/p/search/장군면 은용리 108-9",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정부청사 공주 15분거리</t>
        </is>
      </c>
      <c r="P1303" s="6">
        <f>HYPERLINK("https://fin.land.naver.com/articles/2654969790", "매물Link")</f>
        <v/>
      </c>
      <c r="Q1303" s="6">
        <f>HYPERLINK("https://map.naver.com/p/search/장군면 은용리 111-10",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세종시 교통 중심지 원룸건물 수익성 8%이상</t>
        </is>
      </c>
      <c r="P1306" s="6">
        <f>HYPERLINK("https://fin.land.naver.com/articles/2654961883", "매물Link")</f>
        <v/>
      </c>
      <c r="Q1306" s="6">
        <f>HYPERLINK("https://map.naver.com/p/search/장군면 은용리 111-10",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4" t="n">
        <v>22</v>
      </c>
      <c r="M1307" s="4" t="n">
        <v>7</v>
      </c>
      <c r="N1307" s="5" t="n">
        <v>4.1</v>
      </c>
      <c r="O1307" s="3" t="inlineStr">
        <is>
          <t>승강기 있는 원룸 빌트인장, 방이  깔끔하고 너무 좋은원룸</t>
        </is>
      </c>
      <c r="P1307" s="6">
        <f>HYPERLINK("https://fin.land.naver.com/articles/2653559848", "매물Link")</f>
        <v/>
      </c>
      <c r="Q1307" s="6">
        <f>HYPERLINK("https://map.naver.com/p/search/장군면 은용리 112-11",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청사,공주인접 엘리베이터가동 000</t>
        </is>
      </c>
      <c r="P1308" s="6">
        <f>HYPERLINK("https://fin.land.naver.com/articles/2652242778", "매물Link")</f>
        <v/>
      </c>
      <c r="Q1308" s="6">
        <f>HYPERLINK("https://map.naver.com/p/search/장군면 은용리 112-11",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서세종IC인근 , 세종, 공주와 접근성 좋은 위치 전원주택 매매</t>
        </is>
      </c>
      <c r="P1321" s="6">
        <f>HYPERLINK("https://fin.land.naver.com/articles/2652356870", "매물Link")</f>
        <v/>
      </c>
      <c r="Q1321" s="6">
        <f>HYPERLINK("https://map.naver.com/p/search/장군면 하봉리 296-32",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(주)미르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공기좋은 계곡인접한 유럽식 목조 전원주택과 텃밭</t>
        </is>
      </c>
      <c r="P1330" s="6">
        <f>HYPERLINK("https://fin.land.naver.com/articles/2655708436", "매물Link")</f>
        <v/>
      </c>
      <c r="Q1330" s="6">
        <f>HYPERLINK("https://map.naver.com/p/search/전동면 미곡리 59",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대한민국</t>
        </is>
      </c>
      <c r="T1330" s="4" t="n">
        <v>2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유럽식목조기와주택,2층 계곡인접한 전원 단독주택</t>
        </is>
      </c>
      <c r="P1331" s="6">
        <f>HYPERLINK("https://fin.land.naver.com/articles/2651403827", "매물Link")</f>
        <v/>
      </c>
      <c r="Q1331" s="6">
        <f>HYPERLINK("https://map.naver.com/p/search/전동면 미곡리 59",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세종대박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HYPERLINK("https://fin.land.naver.com/articles/2654424554", "매물Link")</f>
        <v/>
      </c>
      <c r="Q1332" s="6">
        <f>HYPERLINK("https://map.naver.com/p/search/전동면 미곡리 59",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1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계획관리지역햇살가득한 단독주택 매매</t>
        </is>
      </c>
      <c r="P1343" s="6">
        <f>HYPERLINK("https://fin.land.naver.com/articles/2655944118", "매물Link")</f>
        <v/>
      </c>
      <c r="Q1343" s="6">
        <f>HYPERLINK("https://map.naver.com/p/search/전의면 신흥리 83-6",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현담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nan</t>
        </is>
      </c>
      <c r="P1344" s="6">
        <f>HYPERLINK("https://fin.land.naver.com/articles/2653775680", "매물Link")</f>
        <v/>
      </c>
      <c r="Q1344" s="6">
        <f>HYPERLINK("https://map.naver.com/p/search/전의면 신흥리 83-6",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세종큰길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150000</v>
      </c>
      <c r="H1348" s="4" t="n">
        <v>0</v>
      </c>
      <c r="I1348" s="4" t="n">
        <v>396</v>
      </c>
      <c r="J1348" s="4" t="n">
        <v>120</v>
      </c>
      <c r="K1348" s="5" t="n">
        <v>1250</v>
      </c>
      <c r="L1348" s="4" t="n">
        <v>616</v>
      </c>
      <c r="M1348" s="4" t="n">
        <v>186</v>
      </c>
      <c r="N1348" s="5" t="n">
        <v>806.5</v>
      </c>
      <c r="O1348" s="3" t="inlineStr">
        <is>
          <t>상가주택, 2가구, 상가임대1, 가격조정가능, 주차가능</t>
        </is>
      </c>
      <c r="P1348" s="6">
        <f>HYPERLINK("https://fin.land.naver.com/articles/2650985563", "매물Link")</f>
        <v/>
      </c>
      <c r="Q1348" s="6">
        <f>HYPERLINK("https://map.naver.com/p/search/조치원읍 교리 11-6",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엄마와딸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140000</v>
      </c>
      <c r="H1349" s="4" t="n">
        <v>0</v>
      </c>
      <c r="I1349" s="4" t="n">
        <v>396</v>
      </c>
      <c r="J1349" s="4" t="n">
        <v>120</v>
      </c>
      <c r="K1349" s="5" t="n">
        <v>1166.7</v>
      </c>
      <c r="L1349" s="4" t="n">
        <v>616</v>
      </c>
      <c r="M1349" s="4" t="n">
        <v>186</v>
      </c>
      <c r="N1349" s="5" t="n">
        <v>752.7</v>
      </c>
      <c r="O1349" s="3" t="inlineStr">
        <is>
          <t>nan</t>
        </is>
      </c>
      <c r="P1349" s="6">
        <f>HYPERLINK("https://fin.land.naver.com/articles/2654810818", "매물Link")</f>
        <v/>
      </c>
      <c r="Q1349" s="6">
        <f>HYPERLINK("https://map.naver.com/p/search/조치원읍 교리 11-6",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효자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4" t="n">
        <v>20</v>
      </c>
      <c r="M1367" s="4" t="n">
        <v>6</v>
      </c>
      <c r="N1367" s="5" t="n">
        <v>5</v>
      </c>
      <c r="O1367" s="3" t="inlineStr">
        <is>
          <t>원룸 남향  조치원역 도보가능합니다</t>
        </is>
      </c>
      <c r="P1367" s="6">
        <f>HYPERLINK("https://fin.land.naver.com/articles/2653495764", "매물Link")</f>
        <v/>
      </c>
      <c r="Q1367" s="6">
        <f>HYPERLINK("https://map.naver.com/p/search/조치원읍 남리 119-12",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OK수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남향 조치원시내권도보거리 주차시설완비 완벽풀옵션</t>
        </is>
      </c>
      <c r="P1368" s="6">
        <f>HYPERLINK("https://fin.land.naver.com/articles/2652366588", "매물Link")</f>
        <v/>
      </c>
      <c r="Q1368" s="6">
        <f>HYPERLINK("https://map.naver.com/p/search/조치원읍 남리 119-12",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4</t>
        </is>
      </c>
      <c r="E1369" s="3" t="inlineStr">
        <is>
          <t>단독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26</v>
      </c>
      <c r="J1369" s="4" t="n">
        <v>8</v>
      </c>
      <c r="K1369" s="5" t="n">
        <v>3.4</v>
      </c>
      <c r="L1369" s="4" t="n">
        <v>26</v>
      </c>
      <c r="M1369" s="4" t="n">
        <v>8</v>
      </c>
      <c r="N1369" s="5" t="n">
        <v>3.4</v>
      </c>
      <c r="O1369" s="3" t="inlineStr">
        <is>
          <t>조치원 시내의 교통 편리하고  깔끔한 원룸</t>
        </is>
      </c>
      <c r="P1369" s="6">
        <f>HYPERLINK("https://fin.land.naver.com/articles/2653992392", "매물Link")</f>
        <v/>
      </c>
      <c r="Q1369" s="6">
        <f>HYPERLINK("https://map.naver.com/p/search/조치원읍 남리 119-6",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세종베스트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23</v>
      </c>
      <c r="I1370" s="4" t="n">
        <v>0</v>
      </c>
      <c r="J1370" s="4" t="n">
        <v>0</v>
      </c>
      <c r="K1370" s="5" t="n">
        <v>0</v>
      </c>
      <c r="L1370" s="4" t="n">
        <v>19</v>
      </c>
      <c r="M1370" s="4" t="n">
        <v>6</v>
      </c>
      <c r="N1370" s="5" t="n">
        <v>3.8</v>
      </c>
      <c r="O1370" s="3" t="inlineStr">
        <is>
          <t>남리 버스정류장 가까운 위치</t>
        </is>
      </c>
      <c r="P1370" s="6">
        <f>HYPERLINK("https://fin.land.naver.com/articles/2654005712", "매물Link")</f>
        <v/>
      </c>
      <c r="Q1370" s="6">
        <f>HYPERLINK("https://map.naver.com/p/search/조치원읍 남리 119-6",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1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16</v>
      </c>
      <c r="J1371" s="4" t="n">
        <v>5</v>
      </c>
      <c r="K1371" s="5" t="n">
        <v>5.4</v>
      </c>
      <c r="L1371" s="4" t="n">
        <v>16</v>
      </c>
      <c r="M1371" s="4" t="n">
        <v>5</v>
      </c>
      <c r="N1371" s="5" t="n">
        <v>5.4</v>
      </c>
      <c r="O1371" s="3" t="inlineStr">
        <is>
          <t>아늑하고 깔끔한 풀옵션,교통과 생활이 아주 편리,가성비 좋음,즉시 입주</t>
        </is>
      </c>
      <c r="P1371" s="6">
        <f>HYPERLINK("https://fin.land.naver.com/articles/2651659898", "매물Link")</f>
        <v/>
      </c>
      <c r="Q1371" s="6">
        <f>HYPERLINK("https://map.naver.com/p/search/조치원읍 남리 119-6",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유정희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26</v>
      </c>
      <c r="J1374" s="4" t="n">
        <v>8</v>
      </c>
      <c r="K1374" s="5" t="n">
        <v>3.8</v>
      </c>
      <c r="L1374" s="4" t="n">
        <v>19</v>
      </c>
      <c r="M1374" s="4" t="n">
        <v>6</v>
      </c>
      <c r="N1374" s="5" t="n">
        <v>5</v>
      </c>
      <c r="O1374" s="3" t="inlineStr">
        <is>
          <t>주방분리형.시장1분. 역3분.깔끔한방</t>
        </is>
      </c>
      <c r="P1374" s="6">
        <f>HYPERLINK("https://fin.land.naver.com/articles/2653684540", "매물Link")</f>
        <v/>
      </c>
      <c r="Q1374" s="6">
        <f>HYPERLINK("https://map.naver.com/p/search/조치원읍 남리 299-2",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전세</t>
        </is>
      </c>
      <c r="G1375" s="4" t="n">
        <v>4000</v>
      </c>
      <c r="H1375" s="4" t="n">
        <v>0</v>
      </c>
      <c r="I1375" s="4" t="n">
        <v>26</v>
      </c>
      <c r="J1375" s="4" t="n">
        <v>8</v>
      </c>
      <c r="K1375" s="5" t="n">
        <v>500</v>
      </c>
      <c r="L1375" s="4" t="n">
        <v>19</v>
      </c>
      <c r="M1375" s="4" t="n">
        <v>6</v>
      </c>
      <c r="N1375" s="5" t="n">
        <v>666.7</v>
      </c>
      <c r="O1375" s="3" t="inlineStr">
        <is>
          <t>LH 가능.주방분리형.보증보험가능.시장1분. 역3분.깔끔한방</t>
        </is>
      </c>
      <c r="P1375" s="6">
        <f>HYPERLINK("https://fin.land.naver.com/articles/2655740949", "매물Link")</f>
        <v/>
      </c>
      <c r="Q1375" s="6">
        <f>HYPERLINK("https://map.naver.com/p/search/조치원읍 남리 299-2",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도시형생활주택</t>
        </is>
      </c>
      <c r="F1379" s="3" t="inlineStr">
        <is>
          <t>월세</t>
        </is>
      </c>
      <c r="G1379" s="4" t="n">
        <v>200</v>
      </c>
      <c r="H1379" s="4" t="n">
        <v>30</v>
      </c>
      <c r="I1379" s="4" t="n">
        <v>29</v>
      </c>
      <c r="J1379" s="4" t="n">
        <v>9</v>
      </c>
      <c r="K1379" s="5" t="n">
        <v>3.3</v>
      </c>
      <c r="L1379" s="4" t="n">
        <v>20</v>
      </c>
      <c r="M1379" s="4" t="n">
        <v>6</v>
      </c>
      <c r="N1379" s="5" t="n">
        <v>5</v>
      </c>
      <c r="O1379" s="3" t="inlineStr">
        <is>
          <t>조치원역 도보가능 풀옵션 조용한 주택가 즉시입주가능합니다</t>
        </is>
      </c>
      <c r="P1379" s="6">
        <f>HYPERLINK("https://fin.land.naver.com/articles/2655655277", "매물Link")</f>
        <v/>
      </c>
      <c r="Q1379" s="6">
        <f>HYPERLINK("https://map.naver.com/p/search/조치원읍 남리 354",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150</v>
      </c>
      <c r="H1380" s="4" t="n">
        <v>40</v>
      </c>
      <c r="I1380" s="4" t="n">
        <v>30</v>
      </c>
      <c r="J1380" s="4" t="n">
        <v>9</v>
      </c>
      <c r="K1380" s="5" t="n">
        <v>16.7</v>
      </c>
      <c r="L1380" s="4" t="n">
        <v>21</v>
      </c>
      <c r="M1380" s="4" t="n">
        <v>6</v>
      </c>
      <c r="N1380" s="5" t="n">
        <v>25</v>
      </c>
      <c r="O1380" s="3" t="inlineStr">
        <is>
          <t>조치원명품원룸 도시형생활주택 조치원역도보5분  즉시입주가능 관리소장근무</t>
        </is>
      </c>
      <c r="P1380" s="6">
        <f>HYPERLINK("https://fin.land.naver.com/articles/2651801042", "매물Link")</f>
        <v/>
      </c>
      <c r="Q1380" s="6">
        <f>HYPERLINK("https://map.naver.com/p/search/조치원읍 남리 354",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120</v>
      </c>
      <c r="H1381" s="4" t="n">
        <v>40</v>
      </c>
      <c r="I1381" s="4" t="n">
        <v>29</v>
      </c>
      <c r="J1381" s="4" t="n">
        <v>9</v>
      </c>
      <c r="K1381" s="5" t="n">
        <v>13.3</v>
      </c>
      <c r="L1381" s="4" t="n">
        <v>20</v>
      </c>
      <c r="M1381" s="4" t="n">
        <v>6</v>
      </c>
      <c r="N1381" s="5" t="n">
        <v>20</v>
      </c>
      <c r="O1381" s="3" t="inlineStr">
        <is>
          <t>단기 2개월도 임대가능 명품원룸 조치원역도보5분 주차넉넉 즉시입주</t>
        </is>
      </c>
      <c r="P1381" s="6">
        <f>HYPERLINK("https://fin.land.naver.com/articles/2651797631", "매물Link")</f>
        <v/>
      </c>
      <c r="Q1381" s="6">
        <f>HYPERLINK("https://map.naver.com/p/search/조치원읍 남리 354",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150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13</v>
      </c>
      <c r="M1382" s="4" t="n">
        <v>4</v>
      </c>
      <c r="N1382" s="5" t="n">
        <v>8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HYPERLINK("https://fin.land.naver.com/articles/2651832029", "매물Link")</f>
        <v/>
      </c>
      <c r="Q1382" s="6">
        <f>HYPERLINK("https://map.naver.com/p/search/조치원읍 남리 354",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38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HYPERLINK("https://fin.land.naver.com/articles/2651839350", "매물Link")</f>
        <v/>
      </c>
      <c r="Q1383" s="6">
        <f>HYPERLINK("https://map.naver.com/p/search/조치원읍 남리 354",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500</v>
      </c>
      <c r="H1386" s="4" t="n">
        <v>45</v>
      </c>
      <c r="I1386" s="4" t="n">
        <v>49</v>
      </c>
      <c r="J1386" s="4" t="n">
        <v>15</v>
      </c>
      <c r="K1386" s="5" t="n">
        <v>3</v>
      </c>
      <c r="L1386" s="4" t="n">
        <v>42</v>
      </c>
      <c r="M1386" s="4" t="n">
        <v>13</v>
      </c>
      <c r="N1386" s="5" t="n">
        <v>3.5</v>
      </c>
      <c r="O1386" s="3" t="inlineStr">
        <is>
          <t>저렴하고 넓은 투룸O엘리베이터O전용주차장O가전제품완비</t>
        </is>
      </c>
      <c r="P1386" s="6">
        <f>HYPERLINK("https://fin.land.naver.com/articles/2655636417", "매물Link")</f>
        <v/>
      </c>
      <c r="Q1386" s="6">
        <f>HYPERLINK("https://map.naver.com/p/search/조치원읍 남리 397",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300</v>
      </c>
      <c r="H1387" s="4" t="n">
        <v>45</v>
      </c>
      <c r="I1387" s="4" t="n">
        <v>52</v>
      </c>
      <c r="J1387" s="4" t="n">
        <v>16</v>
      </c>
      <c r="K1387" s="5" t="n">
        <v>2.8</v>
      </c>
      <c r="L1387" s="4" t="n">
        <v>42</v>
      </c>
      <c r="M1387" s="4" t="n">
        <v>13</v>
      </c>
      <c r="N1387" s="5" t="n">
        <v>3.5</v>
      </c>
      <c r="O1387" s="3" t="inlineStr">
        <is>
          <t>조치원역,시장 10분거리, 투룸,엘리베이터O,먹자골목위치,채광환기짱</t>
        </is>
      </c>
      <c r="P1387" s="6">
        <f>HYPERLINK("https://fin.land.naver.com/articles/2651743053", "매물Link")</f>
        <v/>
      </c>
      <c r="Q1387" s="6">
        <f>HYPERLINK("https://map.naver.com/p/search/조치원읍 남리 397",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오송메카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31</v>
      </c>
      <c r="I1394" s="4" t="n">
        <v>26</v>
      </c>
      <c r="J1394" s="4" t="n">
        <v>8</v>
      </c>
      <c r="K1394" s="5" t="n">
        <v>3.9</v>
      </c>
      <c r="L1394" s="4" t="n">
        <v>26</v>
      </c>
      <c r="M1394" s="4" t="n">
        <v>8</v>
      </c>
      <c r="N1394" s="5" t="n">
        <v>3.9</v>
      </c>
      <c r="O1394" s="3" t="inlineStr">
        <is>
          <t>조치원 시내이며, 재래시장, 초등학교인근이며, 오송과 인접함</t>
        </is>
      </c>
      <c r="P1394" s="6">
        <f>HYPERLINK("https://fin.land.naver.com/articles/2651504477", "매물Link")</f>
        <v/>
      </c>
      <c r="Q1394" s="6">
        <f>HYPERLINK("https://map.naver.com/p/search/조치원읍 남리 473",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세종베스트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39</v>
      </c>
      <c r="J1395" s="4" t="n">
        <v>12</v>
      </c>
      <c r="K1395" s="5" t="n">
        <v>2.5</v>
      </c>
      <c r="L1395" s="4" t="n">
        <v>23</v>
      </c>
      <c r="M1395" s="4" t="n">
        <v>7</v>
      </c>
      <c r="N1395" s="5" t="n">
        <v>4.3</v>
      </c>
      <c r="O1395" s="3" t="inlineStr">
        <is>
          <t>채광좋은 배란다 아주 크고 깨끗한 방</t>
        </is>
      </c>
      <c r="P1395" s="6">
        <f>HYPERLINK("https://fin.land.naver.com/articles/2654582313", "매물Link")</f>
        <v/>
      </c>
      <c r="Q1395" s="6">
        <f>HYPERLINK("https://map.naver.com/p/search/조치원읍 남리 473",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36</v>
      </c>
      <c r="I1397" s="4" t="n">
        <v>32</v>
      </c>
      <c r="J1397" s="4" t="n">
        <v>10</v>
      </c>
      <c r="K1397" s="5" t="n">
        <v>3.6</v>
      </c>
      <c r="L1397" s="4" t="n">
        <v>23</v>
      </c>
      <c r="M1397" s="4" t="n">
        <v>7</v>
      </c>
      <c r="N1397" s="5" t="n">
        <v>5.1</v>
      </c>
      <c r="O1397" s="3" t="inlineStr">
        <is>
          <t>조치원역 도보5분 풀옵션 분리형 큰 원룸</t>
        </is>
      </c>
      <c r="P1397" s="6">
        <f>HYPERLINK("https://fin.land.naver.com/articles/2655844032", "매물Link")</f>
        <v/>
      </c>
      <c r="Q1397" s="6">
        <f>HYPERLINK("https://map.naver.com/p/search/조치원읍 남리 60-8",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용죽부자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22</v>
      </c>
      <c r="J1398" s="4" t="n">
        <v>7</v>
      </c>
      <c r="K1398" s="5" t="n">
        <v>4.4</v>
      </c>
      <c r="L1398" s="4" t="n">
        <v>16</v>
      </c>
      <c r="M1398" s="4" t="n">
        <v>5</v>
      </c>
      <c r="N1398" s="5" t="n">
        <v>6.2</v>
      </c>
      <c r="O1398" s="3" t="inlineStr">
        <is>
          <t>조치원역 도보5분 풀옵션 넓은방</t>
        </is>
      </c>
      <c r="P1398" s="6">
        <f>HYPERLINK("https://fin.land.naver.com/articles/2655835826", "매물Link")</f>
        <v/>
      </c>
      <c r="Q1398" s="6">
        <f>HYPERLINK("https://map.naver.com/p/search/조치원읍 남리 60-8",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용죽부자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4" t="n">
        <v>22</v>
      </c>
      <c r="M1399" s="4" t="n">
        <v>7</v>
      </c>
      <c r="N1399" s="5" t="n">
        <v>4.3</v>
      </c>
      <c r="O1399" s="3" t="inlineStr">
        <is>
          <t>인기좋은  풀옵션완비방   깔끔한 주방분리   조치원역5분 교통편리</t>
        </is>
      </c>
      <c r="P1399" s="6">
        <f>HYPERLINK("https://fin.land.naver.com/articles/2654004184", "매물Link")</f>
        <v/>
      </c>
      <c r="Q1399" s="6">
        <f>HYPERLINK("https://map.naver.com/p/search/조치원읍 남리 60-8",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연서으뜸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35</v>
      </c>
      <c r="I1400" s="4" t="n">
        <v>42</v>
      </c>
      <c r="J1400" s="4" t="n">
        <v>13</v>
      </c>
      <c r="K1400" s="5" t="n">
        <v>2.7</v>
      </c>
      <c r="L1400" s="4" t="n">
        <v>29</v>
      </c>
      <c r="M1400" s="4" t="n">
        <v>9</v>
      </c>
      <c r="N1400" s="5" t="n">
        <v>3.9</v>
      </c>
      <c r="O1400" s="3" t="inlineStr">
        <is>
          <t>큰 방.조치원시내위치.깔끔한관리.즉시입주.</t>
        </is>
      </c>
      <c r="P1400" s="6">
        <f>HYPERLINK("https://fin.land.naver.com/articles/2650821771", "매물Link")</f>
        <v/>
      </c>
      <c r="Q1400" s="6">
        <f>HYPERLINK("https://map.naver.com/p/search/조치원읍 남리 60-8",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3700</v>
      </c>
      <c r="H1402" s="4" t="n">
        <v>0</v>
      </c>
      <c r="I1402" s="4" t="n">
        <v>39</v>
      </c>
      <c r="J1402" s="4" t="n">
        <v>12</v>
      </c>
      <c r="K1402" s="5" t="n">
        <v>308.3</v>
      </c>
      <c r="L1402" s="4" t="n">
        <v>23</v>
      </c>
      <c r="M1402" s="4" t="n">
        <v>7</v>
      </c>
      <c r="N1402" s="5" t="n">
        <v>528.6</v>
      </c>
      <c r="O1402" s="3" t="inlineStr">
        <is>
          <t>남향 안전 안뜰 안심 전세  즉시입주</t>
        </is>
      </c>
      <c r="P1402" s="6">
        <f>HYPERLINK("https://fin.land.naver.com/articles/2653977666", "매물Link")</f>
        <v/>
      </c>
      <c r="Q1402" s="6">
        <f>HYPERLINK("https://map.naver.com/p/search/조치원읍 남리 62-6",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4000</v>
      </c>
      <c r="H1403" s="4" t="n">
        <v>0</v>
      </c>
      <c r="I1403" s="4" t="n">
        <v>26</v>
      </c>
      <c r="J1403" s="4" t="n">
        <v>8</v>
      </c>
      <c r="K1403" s="5" t="n">
        <v>500</v>
      </c>
      <c r="L1403" s="4" t="n">
        <v>19</v>
      </c>
      <c r="M1403" s="4" t="n">
        <v>6</v>
      </c>
      <c r="N1403" s="5" t="n">
        <v>666.7</v>
      </c>
      <c r="O1403" s="3" t="inlineStr">
        <is>
          <t>조치원역도보5분 근저당없는 전세 풀옵션 큰방</t>
        </is>
      </c>
      <c r="P1403" s="6">
        <f>HYPERLINK("https://fin.land.naver.com/articles/2654053914", "매물Link")</f>
        <v/>
      </c>
      <c r="Q1403" s="6">
        <f>HYPERLINK("https://map.naver.com/p/search/조치원읍 남리 62-6",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용죽부자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조치원역도보거리.융자없음.깔끔한전세.즉시입주</t>
        </is>
      </c>
      <c r="P1404" s="6">
        <f>HYPERLINK("https://fin.land.naver.com/articles/2651980466", "매물Link")</f>
        <v/>
      </c>
      <c r="Q1404" s="6">
        <f>HYPERLINK("https://map.naver.com/p/search/조치원읍 남리 62-6",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32</v>
      </c>
      <c r="I1417" s="4" t="n">
        <v>39</v>
      </c>
      <c r="J1417" s="4" t="n">
        <v>12</v>
      </c>
      <c r="K1417" s="5" t="n">
        <v>2.7</v>
      </c>
      <c r="L1417" s="4" t="n">
        <v>26</v>
      </c>
      <c r="M1417" s="4" t="n">
        <v>8</v>
      </c>
      <c r="N1417" s="5" t="n">
        <v>4</v>
      </c>
      <c r="O1417" s="3" t="inlineStr">
        <is>
          <t>번암리 아주깨끗하게 관리해주십니다</t>
        </is>
      </c>
      <c r="P1417" s="6">
        <f>HYPERLINK("https://fin.land.naver.com/articles/2653929088", "매물Link")</f>
        <v/>
      </c>
      <c r="Q1417" s="6">
        <f>HYPERLINK("https://map.naver.com/p/search/조치원읍 번암리 69-12",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26</v>
      </c>
      <c r="M1418" s="4" t="n">
        <v>8</v>
      </c>
      <c r="N1418" s="5" t="n">
        <v>3.8</v>
      </c>
      <c r="O1418" s="3" t="inlineStr">
        <is>
          <t>엘리베이터 있어요. 원 룸 분리형 구조</t>
        </is>
      </c>
      <c r="P1418" s="6">
        <f>HYPERLINK("https://fin.land.naver.com/articles/2652478073", "매물Link")</f>
        <v/>
      </c>
      <c r="Q1418" s="6">
        <f>HYPERLINK("https://map.naver.com/p/search/조치원읍 번암리 69-12",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지성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30</v>
      </c>
      <c r="M1419" s="4" t="n">
        <v>9</v>
      </c>
      <c r="N1419" s="5" t="n">
        <v>4</v>
      </c>
      <c r="O1419" s="3" t="inlineStr">
        <is>
          <t>홈플러스 앞 원룸 가격인 1.5룸, 세종 신도시 또는 오송 출퇴근 용이</t>
        </is>
      </c>
      <c r="P1419" s="6">
        <f>HYPERLINK("https://fin.land.naver.com/articles/2654460016", "매물Link")</f>
        <v/>
      </c>
      <c r="Q1419" s="6">
        <f>HYPERLINK("https://map.naver.com/p/search/조치원읍 번암리 69-7",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4" t="n">
        <v>16</v>
      </c>
      <c r="M1420" s="4" t="n">
        <v>5</v>
      </c>
      <c r="N1420" s="5" t="n">
        <v>6</v>
      </c>
      <c r="O1420" s="3" t="inlineStr">
        <is>
          <t>홈플러스 앞 원룸, 세종 신도시 또는 오송으로 출퇴근 용이</t>
        </is>
      </c>
      <c r="P1420" s="6">
        <f>HYPERLINK("https://fin.land.naver.com/articles/2654459531", "매물Link")</f>
        <v/>
      </c>
      <c r="Q1420" s="6">
        <f>HYPERLINK("https://map.naver.com/p/search/조치원읍 번암리 69-7",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5</v>
      </c>
      <c r="O1423" s="3" t="inlineStr">
        <is>
          <t>인기좋은  풀옵션완비방    바로입주  주차편함   고대캠퍼스10분</t>
        </is>
      </c>
      <c r="P1423" s="6">
        <f>HYPERLINK("https://fin.land.naver.com/articles/2655795503", "매물Link")</f>
        <v/>
      </c>
      <c r="Q1423" s="6">
        <f>HYPERLINK("https://map.naver.com/p/search/조치원읍 봉산리 190-13",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15</v>
      </c>
      <c r="M1424" s="4" t="n">
        <v>5</v>
      </c>
      <c r="N1424" s="5" t="n">
        <v>6</v>
      </c>
      <c r="O1424" s="3" t="inlineStr">
        <is>
          <t>L깔끔한 오피스텔 1룸. 즉시입주가능. 뻥뷰. 단기협의</t>
        </is>
      </c>
      <c r="P1424" s="6">
        <f>HYPERLINK("https://fin.land.naver.com/articles/2655382427", "매물Link")</f>
        <v/>
      </c>
      <c r="Q1424" s="6">
        <f>HYPERLINK("https://map.naver.com/p/search/조치원읍 봉산리 190-13",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4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4" t="n">
        <v>26</v>
      </c>
      <c r="M1428" s="4" t="n">
        <v>8</v>
      </c>
      <c r="N1428" s="5" t="n">
        <v>3.8</v>
      </c>
      <c r="O1428" s="3" t="inlineStr">
        <is>
          <t>터미널 근처.배란다가 아주큰 전망좋은 집.즉시입주 가능</t>
        </is>
      </c>
      <c r="P1428" s="6">
        <f>HYPERLINK("https://fin.land.naver.com/articles/2652312867", "매물Link")</f>
        <v/>
      </c>
      <c r="Q1428" s="6">
        <f>HYPERLINK("https://map.naver.com/p/search/조치원읍 상리 124-2",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25</v>
      </c>
      <c r="J1429" s="4" t="n">
        <v>8</v>
      </c>
      <c r="K1429" s="5" t="n">
        <v>3.8</v>
      </c>
      <c r="L1429" s="4" t="n">
        <v>18</v>
      </c>
      <c r="M1429" s="4" t="n">
        <v>5</v>
      </c>
      <c r="N1429" s="5" t="n">
        <v>6</v>
      </c>
      <c r="O1429" s="3" t="inlineStr">
        <is>
          <t>상리 터미날 맞은편 상태 깨끗함 즉시입주 가능합니다</t>
        </is>
      </c>
      <c r="P1429" s="6">
        <f>HYPERLINK("https://fin.land.naver.com/articles/2653431981", "매물Link")</f>
        <v/>
      </c>
      <c r="Q1429" s="6">
        <f>HYPERLINK("https://map.naver.com/p/search/조치원읍 상리 124-2",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근처.예쁜룸.즉시입주 가능</t>
        </is>
      </c>
      <c r="P1430" s="6">
        <f>HYPERLINK("https://fin.land.naver.com/articles/2652314109", "매물Link")</f>
        <v/>
      </c>
      <c r="Q1430" s="6">
        <f>HYPERLINK("https://map.naver.com/p/search/조치원읍 상리 124-2",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4" t="n">
        <v>56</v>
      </c>
      <c r="M1432" s="4" t="n">
        <v>17</v>
      </c>
      <c r="N1432" s="5" t="n">
        <v>3.8</v>
      </c>
      <c r="O1432" s="3" t="inlineStr">
        <is>
          <t>명동초 뒤 귀한 풀옵션 깨끗한 투룸. 공실로 즉시입주. 관리비 없음.</t>
        </is>
      </c>
      <c r="P1432" s="6">
        <f>HYPERLINK("https://fin.land.naver.com/articles/2651216985", "매물Link")</f>
        <v/>
      </c>
      <c r="Q1432" s="6">
        <f>HYPERLINK("https://map.naver.com/p/search/조치원읍 상리 59-1",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4" t="n">
        <v>305</v>
      </c>
      <c r="M1433" s="4" t="n">
        <v>92</v>
      </c>
      <c r="N1433" s="5" t="n">
        <v>891.3</v>
      </c>
      <c r="O1433" s="3" t="inlineStr">
        <is>
          <t>상리 상생마을 옆 교통좋고 잘 지어진 다가구주택 매매.</t>
        </is>
      </c>
      <c r="P1433" s="6">
        <f>HYPERLINK("https://fin.land.naver.com/articles/2654115455", "매물Link")</f>
        <v/>
      </c>
      <c r="Q1433" s="6">
        <f>HYPERLINK("https://map.naver.com/p/search/조치원읍 상리 59-1",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5</t>
        </is>
      </c>
      <c r="E1435" s="3" t="inlineStr">
        <is>
          <t>도시형생활주택</t>
        </is>
      </c>
      <c r="F1435" s="3" t="inlineStr">
        <is>
          <t>전세</t>
        </is>
      </c>
      <c r="G1435" s="4" t="n">
        <v>4200</v>
      </c>
      <c r="H1435" s="4" t="n">
        <v>0</v>
      </c>
      <c r="I1435" s="4" t="n">
        <v>26</v>
      </c>
      <c r="J1435" s="4" t="n">
        <v>8</v>
      </c>
      <c r="K1435" s="5" t="n">
        <v>525</v>
      </c>
      <c r="L1435" s="4" t="n">
        <v>18</v>
      </c>
      <c r="M1435" s="4" t="n">
        <v>5</v>
      </c>
      <c r="N1435" s="5" t="n">
        <v>840</v>
      </c>
      <c r="O1435" s="3" t="inlineStr">
        <is>
          <t>풀옵션 깔끔한 도시형생활주택 무융자조건</t>
        </is>
      </c>
      <c r="P1435" s="6">
        <f>HYPERLINK("https://fin.land.naver.com/articles/2650834927", "매물Link")</f>
        <v/>
      </c>
      <c r="Q1435" s="6">
        <f>HYPERLINK("https://map.naver.com/p/search/조치원읍 상리 79-3",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용죽부자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6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26</v>
      </c>
      <c r="J1436" s="4" t="n">
        <v>8</v>
      </c>
      <c r="K1436" s="5" t="n">
        <v>4.6</v>
      </c>
      <c r="L1436" s="4" t="n">
        <v>18</v>
      </c>
      <c r="M1436" s="4" t="n">
        <v>5</v>
      </c>
      <c r="N1436" s="5" t="n">
        <v>7.4</v>
      </c>
      <c r="O1436" s="3" t="inlineStr">
        <is>
          <t>상리 터미널인근 깨끗한 원룸</t>
        </is>
      </c>
      <c r="P1436" s="6">
        <f>HYPERLINK("https://fin.land.naver.com/articles/2652419757", "매물Link")</f>
        <v/>
      </c>
      <c r="Q1436" s="6">
        <f>HYPERLINK("https://map.naver.com/p/search/조치원읍 상리 79-3",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4500</v>
      </c>
      <c r="H1437" s="4" t="n">
        <v>12</v>
      </c>
      <c r="I1437" s="4" t="n">
        <v>0</v>
      </c>
      <c r="J1437" s="4" t="n">
        <v>0</v>
      </c>
      <c r="K1437" s="5" t="n">
        <v>0</v>
      </c>
      <c r="L1437" s="4" t="n">
        <v>18</v>
      </c>
      <c r="M1437" s="4" t="n">
        <v>5</v>
      </c>
      <c r="N1437" s="5" t="n">
        <v>2.4</v>
      </c>
      <c r="O1437" s="3" t="inlineStr">
        <is>
          <t>L 즉시입주가능  O엘베 O정남향 O역10분내</t>
        </is>
      </c>
      <c r="P1437" s="6">
        <f>HYPERLINK("https://fin.land.naver.com/articles/2654721854", "매물Link")</f>
        <v/>
      </c>
      <c r="Q1437" s="6">
        <f>HYPERLINK("https://map.naver.com/p/search/조치원읍 상리 79-3",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바다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7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30</v>
      </c>
      <c r="J1438" s="4" t="n">
        <v>9</v>
      </c>
      <c r="K1438" s="5" t="n">
        <v>466.7</v>
      </c>
      <c r="L1438" s="4" t="n">
        <v>20</v>
      </c>
      <c r="M1438" s="4" t="n">
        <v>6</v>
      </c>
      <c r="N1438" s="5" t="n">
        <v>700</v>
      </c>
      <c r="O1438" s="3" t="inlineStr">
        <is>
          <t>깨끗한원룸.넓은방.협의입주가능.보안철저.주차시설완비</t>
        </is>
      </c>
      <c r="P1438" s="6">
        <f>HYPERLINK("https://fin.land.naver.com/articles/2651544463", "매물Link")</f>
        <v/>
      </c>
      <c r="Q1438" s="6">
        <f>HYPERLINK("https://map.naver.com/p/search/조치원읍 상리 79-3",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5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0</v>
      </c>
      <c r="J1439" s="4" t="n">
        <v>0</v>
      </c>
      <c r="K1439" s="5" t="n">
        <v>0</v>
      </c>
      <c r="L1439" s="4" t="n">
        <v>20</v>
      </c>
      <c r="M1439" s="4" t="n">
        <v>6</v>
      </c>
      <c r="N1439" s="5" t="n">
        <v>6.2</v>
      </c>
      <c r="O1439" s="3" t="inlineStr">
        <is>
          <t>인기좋은  풀옵션완비방   깔끔한 주거공간   바로입주  주차편함</t>
        </is>
      </c>
      <c r="P1439" s="6">
        <f>HYPERLINK("https://fin.land.naver.com/articles/2655336359", "매물Link")</f>
        <v/>
      </c>
      <c r="Q1439" s="6">
        <f>HYPERLINK("https://map.naver.com/p/search/조치원읍 상리 79-3",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연서으뜸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20</v>
      </c>
      <c r="M1440" s="4" t="n">
        <v>6</v>
      </c>
      <c r="N1440" s="5" t="n">
        <v>6</v>
      </c>
      <c r="O1440" s="3" t="inlineStr">
        <is>
          <t>깨끗한원룸.실사진.보안철저.주차시설완비</t>
        </is>
      </c>
      <c r="P1440" s="6">
        <f>HYPERLINK("https://fin.land.naver.com/articles/2651069563", "매물Link")</f>
        <v/>
      </c>
      <c r="Q1440" s="6">
        <f>HYPERLINK("https://map.naver.com/p/search/조치원읍 상리 79-3",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39</v>
      </c>
      <c r="J1459" s="4" t="n">
        <v>12</v>
      </c>
      <c r="K1459" s="5" t="n">
        <v>375</v>
      </c>
      <c r="L1459" s="4" t="n">
        <v>26</v>
      </c>
      <c r="M1459" s="4" t="n">
        <v>8</v>
      </c>
      <c r="N1459" s="5" t="n">
        <v>562.5</v>
      </c>
      <c r="O1459" s="3" t="inlineStr">
        <is>
          <t>큰싸이즈의 분리형 원룸 안전한 전세찾으시는분</t>
        </is>
      </c>
      <c r="P1459" s="6">
        <f>HYPERLINK("https://fin.land.naver.com/articles/2655341384", "매물Link")</f>
        <v/>
      </c>
      <c r="Q1459" s="6">
        <f>HYPERLINK("https://map.naver.com/p/search/조치원읍 서창리 292-2",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전세</t>
        </is>
      </c>
      <c r="P1460" s="6">
        <f>HYPERLINK("https://fin.land.naver.com/articles/2655916532", "매물Link")</f>
        <v/>
      </c>
      <c r="Q1460" s="6">
        <f>HYPERLINK("https://map.naver.com/p/search/조치원읍 서창리 292-2",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김준희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다가구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23</v>
      </c>
      <c r="J1461" s="4" t="n">
        <v>7</v>
      </c>
      <c r="K1461" s="5" t="n">
        <v>642.9</v>
      </c>
      <c r="L1461" s="4" t="n">
        <v>23</v>
      </c>
      <c r="M1461" s="4" t="n">
        <v>7</v>
      </c>
      <c r="N1461" s="5" t="n">
        <v>642.9</v>
      </c>
      <c r="O1461" s="3" t="inlineStr">
        <is>
          <t>서창리 원룸 월세</t>
        </is>
      </c>
      <c r="P1461" s="6">
        <f>HYPERLINK("https://fin.land.naver.com/articles/2655912413", "매물Link")</f>
        <v/>
      </c>
      <c r="Q1461" s="6">
        <f>HYPERLINK("https://map.naver.com/p/search/조치원읍 서창리 292-2",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상희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4" t="n">
        <v>25</v>
      </c>
      <c r="M1462" s="4" t="n">
        <v>8</v>
      </c>
      <c r="N1462" s="5" t="n">
        <v>3.8</v>
      </c>
      <c r="O1462" s="3" t="inlineStr">
        <is>
          <t>넓고 깔끔한 풀옵션방   주차편함  짐만 챙겨오세요 교통편리</t>
        </is>
      </c>
      <c r="P1462" s="6">
        <f>HYPERLINK("https://fin.land.naver.com/articles/2653291150", "매물Link")</f>
        <v/>
      </c>
      <c r="Q1462" s="6">
        <f>HYPERLINK("https://map.naver.com/p/search/조치원읍 서창리 293-11",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연서으뜸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4" t="n">
        <v>22</v>
      </c>
      <c r="M1463" s="4" t="n">
        <v>7</v>
      </c>
      <c r="N1463" s="5" t="n">
        <v>4.3</v>
      </c>
      <c r="O1463" s="3" t="inlineStr">
        <is>
          <t>방2칸, 입주 청소하고 가능
원룸월세</t>
        </is>
      </c>
      <c r="P1463" s="6">
        <f>HYPERLINK("https://fin.land.naver.com/articles/2655958081", "매물Link")</f>
        <v/>
      </c>
      <c r="Q1463" s="6">
        <f>HYPERLINK("https://map.naver.com/p/search/조치원읍 서창리 293-11",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월세</t>
        </is>
      </c>
      <c r="G1464" s="4" t="n">
        <v>500</v>
      </c>
      <c r="H1464" s="4" t="n">
        <v>50</v>
      </c>
      <c r="I1464" s="4" t="n">
        <v>40</v>
      </c>
      <c r="J1464" s="4" t="n">
        <v>12</v>
      </c>
      <c r="K1464" s="5" t="n">
        <v>4.2</v>
      </c>
      <c r="L1464" s="4" t="n">
        <v>40</v>
      </c>
      <c r="M1464" s="4" t="n">
        <v>12</v>
      </c>
      <c r="N1464" s="5" t="n">
        <v>4.2</v>
      </c>
      <c r="O1464" s="3" t="inlineStr">
        <is>
          <t>방2칸, 11월초 입주 투룸 월세</t>
        </is>
      </c>
      <c r="P1464" s="6">
        <f>HYPERLINK("https://fin.land.naver.com/articles/2655957555", "매물Link")</f>
        <v/>
      </c>
      <c r="Q1464" s="6">
        <f>HYPERLINK("https://map.naver.com/p/search/조치원읍 서창리 293-11",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상희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4" t="n">
        <v>39</v>
      </c>
      <c r="M1465" s="4" t="n">
        <v>12</v>
      </c>
      <c r="N1465" s="5" t="n">
        <v>4.6</v>
      </c>
      <c r="O1465" s="3" t="inlineStr">
        <is>
          <t>귀한 풀옵션 투룸 11월3일 이후 입주가능</t>
        </is>
      </c>
      <c r="P1465" s="6">
        <f>HYPERLINK("https://fin.land.naver.com/articles/2656087112", "매물Link")</f>
        <v/>
      </c>
      <c r="Q1465" s="6">
        <f>HYPERLINK("https://map.naver.com/p/search/조치원읍 서창리 293-11",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4" t="n">
        <v>23</v>
      </c>
      <c r="M1469" s="4" t="n">
        <v>7</v>
      </c>
      <c r="N1469" s="5" t="n">
        <v>4.3</v>
      </c>
      <c r="O1469" s="3" t="inlineStr">
        <is>
          <t>11월초 입주가능한 원룸</t>
        </is>
      </c>
      <c r="P1469" s="6">
        <f>HYPERLINK("https://fin.land.naver.com/articles/2654006832", "매물Link")</f>
        <v/>
      </c>
      <c r="Q1469" s="6">
        <f>HYPERLINK("https://map.naver.com/p/search/조치원읍 서창리 296-8",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nan</t>
        </is>
      </c>
      <c r="P1470" s="6">
        <f>HYPERLINK("https://fin.land.naver.com/articles/2654391524", "매물Link")</f>
        <v/>
      </c>
      <c r="Q1470" s="6">
        <f>HYPERLINK("https://map.naver.com/p/search/조치원읍 서창리 296-8",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다가구 매매 실투자금 약 5억</t>
        </is>
      </c>
      <c r="P1471" s="6">
        <f>HYPERLINK("https://fin.land.naver.com/articles/2651340270", "매물Link")</f>
        <v/>
      </c>
      <c r="Q1471" s="6">
        <f>HYPERLINK("https://map.naver.com/p/search/조치원읍 서창리 296-8",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상희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0</v>
      </c>
      <c r="J1473" s="4" t="n">
        <v>0</v>
      </c>
      <c r="K1473" s="5" t="n">
        <v>0</v>
      </c>
      <c r="L1473" s="4" t="n">
        <v>21</v>
      </c>
      <c r="M1473" s="4" t="n">
        <v>6</v>
      </c>
      <c r="N1473" s="5" t="n">
        <v>4.2</v>
      </c>
      <c r="O1473" s="3" t="inlineStr">
        <is>
          <t>L 월33만. 역3분. 즉시입주가능</t>
        </is>
      </c>
      <c r="P1473" s="6">
        <f>HYPERLINK("https://fin.land.naver.com/articles/2654721879", "매물Link")</f>
        <v/>
      </c>
      <c r="Q1473" s="6">
        <f>HYPERLINK("https://map.naver.com/p/search/조치원읍 서창리 298-2",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바다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4" t="n">
        <v>19</v>
      </c>
      <c r="M1475" s="4" t="n">
        <v>6</v>
      </c>
      <c r="N1475" s="5" t="n">
        <v>4.8</v>
      </c>
      <c r="O1475" s="3" t="inlineStr">
        <is>
          <t>인프라좋은 저렴한 원룸.1인거주최적화.모든게옵션.</t>
        </is>
      </c>
      <c r="P1475" s="6">
        <f>HYPERLINK("https://fin.land.naver.com/articles/2655629900", "매물Link")</f>
        <v/>
      </c>
      <c r="Q1475" s="6">
        <f>HYPERLINK("https://map.naver.com/p/search/조치원읍 서창리 298-2",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23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3.8</v>
      </c>
      <c r="O1476" s="3" t="inlineStr">
        <is>
          <t>서창리 가성비 좋은 원룸</t>
        </is>
      </c>
      <c r="P1476" s="6">
        <f>HYPERLINK("https://fin.land.naver.com/articles/2652873695", "매물Link")</f>
        <v/>
      </c>
      <c r="Q1476" s="6">
        <f>HYPERLINK("https://map.naver.com/p/search/조치원읍 서창리 298-2",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93</v>
      </c>
      <c r="J1482" s="4" t="n">
        <v>28</v>
      </c>
      <c r="K1482" s="5" t="n">
        <v>589.3</v>
      </c>
      <c r="L1482" s="4" t="n">
        <v>80</v>
      </c>
      <c r="M1482" s="4" t="n">
        <v>24</v>
      </c>
      <c r="N1482" s="5" t="n">
        <v>687.5</v>
      </c>
      <c r="O1482" s="3" t="inlineStr">
        <is>
          <t>전원형 주거지신축빌라, 올리모델링, 급매 1억6500만원, 역세권예정</t>
        </is>
      </c>
      <c r="P1482" s="6">
        <f>HYPERLINK("https://fin.land.naver.com/articles/2651743361", "매물Link")</f>
        <v/>
      </c>
      <c r="Q1482" s="6">
        <f>HYPERLINK("https://map.naver.com/p/search/조치원읍 신안리 179-17",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대한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빌라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99</v>
      </c>
      <c r="J1483" s="4" t="n">
        <v>30</v>
      </c>
      <c r="K1483" s="5" t="n">
        <v>550</v>
      </c>
      <c r="L1483" s="4" t="n">
        <v>88</v>
      </c>
      <c r="M1483" s="4" t="n">
        <v>27</v>
      </c>
      <c r="N1483" s="5" t="n">
        <v>611.1</v>
      </c>
      <c r="O1483" s="3" t="inlineStr">
        <is>
          <t>신축빌라,즉시입주가능,주차장 여유로움,올리모델링엘리베이터있음,</t>
        </is>
      </c>
      <c r="P1483" s="6">
        <f>HYPERLINK("https://fin.land.naver.com/articles/2652138880", "매물Link")</f>
        <v/>
      </c>
      <c r="Q1483" s="6">
        <f>HYPERLINK("https://map.naver.com/p/search/조치원읍 신안리 179-17",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담뜰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383</v>
      </c>
      <c r="J1484" s="4" t="n">
        <v>116</v>
      </c>
      <c r="K1484" s="5" t="n">
        <v>142.2</v>
      </c>
      <c r="L1484" s="4" t="n">
        <v>374</v>
      </c>
      <c r="M1484" s="4" t="n">
        <v>113</v>
      </c>
      <c r="N1484" s="5" t="n">
        <v>146</v>
      </c>
      <c r="O1484" s="3" t="inlineStr">
        <is>
          <t>자연과 어우러진 전원형 빌라주거지 세종시와 청주. 오송방면 이동이편리함</t>
        </is>
      </c>
      <c r="P1484" s="6">
        <f>HYPERLINK("https://fin.land.naver.com/articles/2653251981", "매물Link")</f>
        <v/>
      </c>
      <c r="Q1484" s="6">
        <f>HYPERLINK("https://map.naver.com/p/search/조치원읍 신안리 179-17",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재원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4" t="n">
        <v>120</v>
      </c>
      <c r="M1496" s="4" t="n">
        <v>36</v>
      </c>
      <c r="N1496" s="5" t="n">
        <v>416.7</v>
      </c>
      <c r="O1496" s="3" t="inlineStr">
        <is>
          <t>엘리베이터 있고 화장실2개 주인세대 남향, 태양광설치</t>
        </is>
      </c>
      <c r="P1496" s="6">
        <f>HYPERLINK("https://fin.land.naver.com/articles/2654594543", "매물Link")</f>
        <v/>
      </c>
      <c r="Q1496" s="6">
        <f>HYPERLINK("https://map.naver.com/p/search/조치원읍 신안리 355",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부자터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4" t="n">
        <v>120</v>
      </c>
      <c r="M1497" s="4" t="n">
        <v>36</v>
      </c>
      <c r="N1497" s="5" t="n">
        <v>416.7</v>
      </c>
      <c r="O1497" s="3" t="inlineStr">
        <is>
          <t>주인세대, 태양광 설치로 인한 저렴한 전기세</t>
        </is>
      </c>
      <c r="P1497" s="6">
        <f>HYPERLINK("https://fin.land.naver.com/articles/2654012470", "매물Link")</f>
        <v/>
      </c>
      <c r="Q1497" s="6">
        <f>HYPERLINK("https://map.naver.com/p/search/조치원읍 신안리 355",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세종공감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107000</v>
      </c>
      <c r="H1507" s="4" t="n">
        <v>0</v>
      </c>
      <c r="I1507" s="4" t="n">
        <v>351</v>
      </c>
      <c r="J1507" s="4" t="n">
        <v>106</v>
      </c>
      <c r="K1507" s="5" t="n">
        <v>1009.4</v>
      </c>
      <c r="L1507" s="4" t="n">
        <v>594</v>
      </c>
      <c r="M1507" s="4" t="n">
        <v>180</v>
      </c>
      <c r="N1507" s="5" t="n">
        <v>594.4</v>
      </c>
      <c r="O1507" s="3" t="inlineStr">
        <is>
          <t>고대홍대 매년 공실X 수익율 좋은 다가구</t>
        </is>
      </c>
      <c r="P1507" s="6">
        <f>HYPERLINK("https://fin.land.naver.com/articles/2653790098", "매물Link")</f>
        <v/>
      </c>
      <c r="Q1507" s="6">
        <f>HYPERLINK("https://map.naver.com/p/search/조치원읍 신안리 387-5",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무지개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일반원룸</t>
        </is>
      </c>
      <c r="F1508" s="3" t="inlineStr">
        <is>
          <t>전세</t>
        </is>
      </c>
      <c r="G1508" s="4" t="n">
        <v>5000</v>
      </c>
      <c r="H1508" s="4" t="n">
        <v>0</v>
      </c>
      <c r="I1508" s="4" t="n">
        <v>0</v>
      </c>
      <c r="J1508" s="4" t="n">
        <v>0</v>
      </c>
      <c r="K1508" s="5" t="n">
        <v>0</v>
      </c>
      <c r="L1508" s="4" t="n">
        <v>23</v>
      </c>
      <c r="M1508" s="4" t="n">
        <v>7</v>
      </c>
      <c r="N1508" s="5" t="n">
        <v>714.3</v>
      </c>
      <c r="O1508" s="3" t="inlineStr">
        <is>
          <t>LH가능 융자없는 전세 고대 홍대 주방도 넓고 방도 넓어요</t>
        </is>
      </c>
      <c r="P1508" s="6">
        <f>HYPERLINK("https://fin.land.naver.com/articles/2655629795", "매물Link")</f>
        <v/>
      </c>
      <c r="Q1508" s="6">
        <f>HYPERLINK("https://map.naver.com/p/search/조치원읍 신안리 387-5",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351</v>
      </c>
      <c r="J1509" s="4" t="n">
        <v>106</v>
      </c>
      <c r="K1509" s="5" t="n">
        <v>1037.7</v>
      </c>
      <c r="L1509" s="4" t="n">
        <v>594</v>
      </c>
      <c r="M1509" s="4" t="n">
        <v>180</v>
      </c>
      <c r="N1509" s="5" t="n">
        <v>611.1</v>
      </c>
      <c r="O1509" s="3" t="inlineStr">
        <is>
          <t>고대와 홍대사이의 인기있는 원룸으로 공실없음</t>
        </is>
      </c>
      <c r="P1509" s="6">
        <f>HYPERLINK("https://fin.land.naver.com/articles/2653294943", "매물Link")</f>
        <v/>
      </c>
      <c r="Q1509" s="6">
        <f>HYPERLINK("https://map.naver.com/p/search/조치원읍 신안리 387-5",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주공신흥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73</v>
      </c>
      <c r="J1519" s="4" t="n">
        <v>22</v>
      </c>
      <c r="K1519" s="5" t="n">
        <v>1.8</v>
      </c>
      <c r="L1519" s="4" t="n">
        <v>67</v>
      </c>
      <c r="M1519" s="4" t="n">
        <v>20</v>
      </c>
      <c r="N1519" s="5" t="n">
        <v>2</v>
      </c>
      <c r="O1519" s="3" t="inlineStr">
        <is>
          <t>상태양호,즉시입주,보증금 조절가능합니다.</t>
        </is>
      </c>
      <c r="P1519" s="6">
        <f>HYPERLINK("https://fin.land.naver.com/articles/2654454354", "매물Link")</f>
        <v/>
      </c>
      <c r="Q1519" s="6">
        <f>HYPERLINK("https://map.naver.com/p/search/조치원읍 신흥리 106",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신안무소</t>
        </is>
      </c>
      <c r="T1519" s="4" t="n">
        <v>3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25000</v>
      </c>
      <c r="H1520" s="4" t="n">
        <v>0</v>
      </c>
      <c r="I1520" s="4" t="n">
        <v>73</v>
      </c>
      <c r="J1520" s="4" t="n">
        <v>22</v>
      </c>
      <c r="K1520" s="5" t="n">
        <v>1136.4</v>
      </c>
      <c r="L1520" s="4" t="n">
        <v>67</v>
      </c>
      <c r="M1520" s="4" t="n">
        <v>20</v>
      </c>
      <c r="N1520" s="5" t="n">
        <v>1250</v>
      </c>
      <c r="O1520" s="3" t="inlineStr">
        <is>
          <t>재건축 진행 중,등급 상향으로 용적률 높아짐,미래 가치에 투자하세요</t>
        </is>
      </c>
      <c r="P1520" s="6">
        <f>HYPERLINK("https://fin.land.naver.com/articles/2655148914", "매물Link")</f>
        <v/>
      </c>
      <c r="Q1520" s="6">
        <f>HYPERLINK("https://map.naver.com/p/search/조치원읍 신흥리 106",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유정희</t>
        </is>
      </c>
      <c r="T1520" s="4" t="n">
        <v>1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30000</v>
      </c>
      <c r="H1521" s="4" t="n">
        <v>0</v>
      </c>
      <c r="I1521" s="4" t="n">
        <v>73</v>
      </c>
      <c r="J1521" s="4" t="n">
        <v>22</v>
      </c>
      <c r="K1521" s="5" t="n">
        <v>1363.6</v>
      </c>
      <c r="L1521" s="4" t="n">
        <v>67</v>
      </c>
      <c r="M1521" s="4" t="n">
        <v>20</v>
      </c>
      <c r="N1521" s="5" t="n">
        <v>1500</v>
      </c>
      <c r="O1521" s="3" t="inlineStr">
        <is>
          <t>급매,실입주가능</t>
        </is>
      </c>
      <c r="P1521" s="6">
        <f>HYPERLINK("https://fin.land.naver.com/articles/2655081755", "매물Link")</f>
        <v/>
      </c>
      <c r="Q1521" s="6">
        <f>HYPERLINK("https://map.naver.com/p/search/조치원읍 신흥리 106",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다산</t>
        </is>
      </c>
      <c r="T1521" s="4" t="n">
        <v>2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17000</v>
      </c>
      <c r="H1522" s="4" t="n">
        <v>0</v>
      </c>
      <c r="I1522" s="4" t="n">
        <v>59</v>
      </c>
      <c r="J1522" s="4" t="n">
        <v>18</v>
      </c>
      <c r="K1522" s="5" t="n">
        <v>944.4</v>
      </c>
      <c r="L1522" s="4" t="n">
        <v>55</v>
      </c>
      <c r="M1522" s="4" t="n">
        <v>17</v>
      </c>
      <c r="N1522" s="5" t="n">
        <v>1000</v>
      </c>
      <c r="O1522" s="3" t="inlineStr">
        <is>
          <t>급매, 실입주 가능</t>
        </is>
      </c>
      <c r="P1522" s="6">
        <f>HYPERLINK("https://fin.land.naver.com/articles/2654897368", "매물Link")</f>
        <v/>
      </c>
      <c r="Q1522" s="6">
        <f>HYPERLINK("https://map.naver.com/p/search/조치원읍 신흥리 106",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KB세종</t>
        </is>
      </c>
      <c r="T1522" s="4" t="n">
        <v>1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37000</v>
      </c>
      <c r="H1523" s="4" t="n">
        <v>0</v>
      </c>
      <c r="I1523" s="4" t="n">
        <v>73</v>
      </c>
      <c r="J1523" s="4" t="n">
        <v>22</v>
      </c>
      <c r="K1523" s="5" t="n">
        <v>1681.8</v>
      </c>
      <c r="L1523" s="4" t="n">
        <v>67</v>
      </c>
      <c r="M1523" s="4" t="n">
        <v>20</v>
      </c>
      <c r="N1523" s="5" t="n">
        <v>1850</v>
      </c>
      <c r="O1523" s="3" t="inlineStr">
        <is>
          <t>전세3500거주중,재건축단지</t>
        </is>
      </c>
      <c r="P1523" s="6">
        <f>HYPERLINK("https://fin.land.naver.com/articles/2653381041", "매물Link")</f>
        <v/>
      </c>
      <c r="Q1523" s="6">
        <f>HYPERLINK("https://map.naver.com/p/search/조치원읍 신흥리 106",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다산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주공신흥</t>
        </is>
      </c>
      <c r="F1524" s="3" t="inlineStr">
        <is>
          <t>월세</t>
        </is>
      </c>
      <c r="G1524" s="4" t="n">
        <v>3000</v>
      </c>
      <c r="H1524" s="4" t="n">
        <v>25</v>
      </c>
      <c r="I1524" s="4" t="n">
        <v>62</v>
      </c>
      <c r="J1524" s="4" t="n">
        <v>19</v>
      </c>
      <c r="K1524" s="5" t="n">
        <v>1.3</v>
      </c>
      <c r="L1524" s="4" t="n">
        <v>57</v>
      </c>
      <c r="M1524" s="4" t="n">
        <v>17</v>
      </c>
      <c r="N1524" s="5" t="n">
        <v>1.5</v>
      </c>
      <c r="O1524" s="3" t="inlineStr">
        <is>
          <t>남향 즉시입주 에어컨 있음</t>
        </is>
      </c>
      <c r="P1524" s="6">
        <f>HYPERLINK("https://fin.land.naver.com/articles/2655927746", "매물Link")</f>
        <v/>
      </c>
      <c r="Q1524" s="6">
        <f>HYPERLINK("https://map.naver.com/p/search/조치원읍 신흥리 106",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욱일</t>
        </is>
      </c>
      <c r="T1524" s="4" t="n">
        <v>3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4" t="n">
        <v>57</v>
      </c>
      <c r="M1525" s="4" t="n">
        <v>17</v>
      </c>
      <c r="N1525" s="5" t="n">
        <v>1764.7</v>
      </c>
      <c r="O1525" s="3" t="inlineStr">
        <is>
          <t>재건축단지,공실,입주가능</t>
        </is>
      </c>
      <c r="P1525" s="6">
        <f>HYPERLINK("https://fin.land.naver.com/articles/2652978926", "매물Link")</f>
        <v/>
      </c>
      <c r="Q1525" s="6">
        <f>HYPERLINK("https://map.naver.com/p/search/조치원읍 신흥리 106",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1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다가구</t>
        </is>
      </c>
      <c r="F1548" s="3" t="inlineStr">
        <is>
          <t>월세</t>
        </is>
      </c>
      <c r="G1548" s="4" t="n">
        <v>100</v>
      </c>
      <c r="H1548" s="4" t="n">
        <v>31</v>
      </c>
      <c r="I1548" s="4" t="n">
        <v>46</v>
      </c>
      <c r="J1548" s="4" t="n">
        <v>14</v>
      </c>
      <c r="K1548" s="5" t="n">
        <v>2.2</v>
      </c>
      <c r="L1548" s="4" t="n">
        <v>46</v>
      </c>
      <c r="M1548" s="4" t="n">
        <v>14</v>
      </c>
      <c r="N1548" s="5" t="n">
        <v>2.2</v>
      </c>
      <c r="O1548" s="3" t="inlineStr">
        <is>
          <t>깔끔하고 넓은 원 룸으로 주변에 대형마트있으며, 대중교통편함</t>
        </is>
      </c>
      <c r="P1548" s="6">
        <f>HYPERLINK("https://fin.land.naver.com/articles/2653997485", "매물Link")</f>
        <v/>
      </c>
      <c r="Q1548" s="6">
        <f>HYPERLINK("https://map.naver.com/p/search/조치원읍 죽림리 37",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세종베스트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100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26</v>
      </c>
      <c r="M1549" s="4" t="n">
        <v>8</v>
      </c>
      <c r="N1549" s="5" t="n">
        <v>3.8</v>
      </c>
      <c r="O1549" s="3" t="inlineStr">
        <is>
          <t>죽림O우리마트1분O완전풀옵션O엘리베이터O</t>
        </is>
      </c>
      <c r="P1549" s="6">
        <f>HYPERLINK("https://fin.land.naver.com/articles/2651040064", "매물Link")</f>
        <v/>
      </c>
      <c r="Q1549" s="6">
        <f>HYPERLINK("https://map.naver.com/p/search/조치원읍 죽림리 37",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130</v>
      </c>
      <c r="J1561" s="4" t="n">
        <v>39</v>
      </c>
      <c r="K1561" s="5" t="n">
        <v>1.2</v>
      </c>
      <c r="L1561" s="4" t="n">
        <v>32</v>
      </c>
      <c r="M1561" s="4" t="n">
        <v>10</v>
      </c>
      <c r="N1561" s="5" t="n">
        <v>4.5</v>
      </c>
      <c r="O1561" s="3" t="inlineStr">
        <is>
          <t>침산먹자,귀한 투룸,풀옵,10월말입주 가능</t>
        </is>
      </c>
      <c r="P1561" s="6">
        <f>HYPERLINK("https://fin.land.naver.com/articles/2655898944", "매물Link")</f>
        <v/>
      </c>
      <c r="Q1561" s="6">
        <f>HYPERLINK("https://map.naver.com/p/search/조치원읍 침산리 251-6",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다옴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40</v>
      </c>
      <c r="J1563" s="4" t="n">
        <v>12</v>
      </c>
      <c r="K1563" s="5" t="n">
        <v>3.8</v>
      </c>
      <c r="L1563" s="4" t="n">
        <v>40</v>
      </c>
      <c r="M1563" s="4" t="n">
        <v>12</v>
      </c>
      <c r="N1563" s="5" t="n">
        <v>3.8</v>
      </c>
      <c r="O1563" s="3" t="inlineStr">
        <is>
          <t>nan</t>
        </is>
      </c>
      <c r="P1563" s="6">
        <f>HYPERLINK("https://fin.land.naver.com/articles/2655902280", "매물Link")</f>
        <v/>
      </c>
      <c r="Q1563" s="6">
        <f>HYPERLINK("https://map.naver.com/p/search/조치원읍 침산리 251-6",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상희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4" t="n">
        <v>26</v>
      </c>
      <c r="M1564" s="4" t="n">
        <v>8</v>
      </c>
      <c r="N1564" s="5" t="n">
        <v>3.4</v>
      </c>
      <c r="O1564" s="3" t="inlineStr">
        <is>
          <t>넒은 원룸이며, 조치원시장, 조치원역 옆에 위치하여 교통 편리</t>
        </is>
      </c>
      <c r="P1564" s="6">
        <f>HYPERLINK("https://fin.land.naver.com/articles/2655186237", "매물Link")</f>
        <v/>
      </c>
      <c r="Q1564" s="6">
        <f>HYPERLINK("https://map.naver.com/p/search/조치원읍 침산리 252-8",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4" t="n">
        <v>20</v>
      </c>
      <c r="M1570" s="4" t="n">
        <v>6</v>
      </c>
      <c r="N1570" s="5" t="n">
        <v>916.7</v>
      </c>
      <c r="O1570" s="3" t="inlineStr">
        <is>
          <t>침산리 원룸 전세 깨끗한 원룸</t>
        </is>
      </c>
      <c r="P1570" s="6">
        <f>HYPERLINK("https://fin.land.naver.com/articles/2653345415", "매물Link")</f>
        <v/>
      </c>
      <c r="Q1570" s="6">
        <f>HYPERLINK("https://map.naver.com/p/search/조치원읍 침산리 256-11",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26</v>
      </c>
      <c r="J1571" s="4" t="n">
        <v>8</v>
      </c>
      <c r="K1571" s="5" t="n">
        <v>3.8</v>
      </c>
      <c r="L1571" s="4" t="n">
        <v>26</v>
      </c>
      <c r="M1571" s="4" t="n">
        <v>8</v>
      </c>
      <c r="N1571" s="5" t="n">
        <v>3.8</v>
      </c>
      <c r="O1571" s="3" t="inlineStr">
        <is>
          <t>침산리 월세 풀옵션</t>
        </is>
      </c>
      <c r="P1571" s="6">
        <f>HYPERLINK("https://fin.land.naver.com/articles/2652539762", "매물Link")</f>
        <v/>
      </c>
      <c r="Q1571" s="6">
        <f>HYPERLINK("https://map.naver.com/p/search/조치원읍 침산리 256-11",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20</v>
      </c>
      <c r="J1572" s="4" t="n">
        <v>6</v>
      </c>
      <c r="K1572" s="5" t="n">
        <v>5</v>
      </c>
      <c r="L1572" s="4" t="n">
        <v>20</v>
      </c>
      <c r="M1572" s="4" t="n">
        <v>6</v>
      </c>
      <c r="N1572" s="5" t="n">
        <v>5</v>
      </c>
      <c r="O1572" s="3" t="inlineStr">
        <is>
          <t>단기가능 깨끗한 풀옵션 원룸 남향</t>
        </is>
      </c>
      <c r="P1572" s="6">
        <f>HYPERLINK("https://fin.land.naver.com/articles/2653345126", "매물Link")</f>
        <v/>
      </c>
      <c r="Q1572" s="6">
        <f>HYPERLINK("https://map.naver.com/p/search/조치원읍 침산리 256-11",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4" t="n">
        <v>26</v>
      </c>
      <c r="M1574" s="4" t="n">
        <v>8</v>
      </c>
      <c r="N1574" s="5" t="n">
        <v>4.1</v>
      </c>
      <c r="O1574" s="3" t="inlineStr">
        <is>
          <t>남향넓은원룸.엘리베이터있는 건물.전자제품 옵션</t>
        </is>
      </c>
      <c r="P1574" s="6">
        <f>HYPERLINK("https://fin.land.naver.com/articles/2655635294", "매물Link")</f>
        <v/>
      </c>
      <c r="Q1574" s="6">
        <f>HYPERLINK("https://map.naver.com/p/search/조치원읍 침산리 257-15",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4" t="n">
        <v>26</v>
      </c>
      <c r="M1575" s="4" t="n">
        <v>8</v>
      </c>
      <c r="N1575" s="5" t="n">
        <v>4.4</v>
      </c>
      <c r="O1575" s="3" t="inlineStr">
        <is>
          <t>L 엘베. 역3분. 넓은룸. 위치최고</t>
        </is>
      </c>
      <c r="P1575" s="6">
        <f>HYPERLINK("https://fin.land.naver.com/articles/2651114560", "매물Link")</f>
        <v/>
      </c>
      <c r="Q1575" s="6">
        <f>HYPERLINK("https://map.naver.com/p/search/조치원읍 침산리 257-15",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HYPERLINK("https://fin.land.naver.com/articles/2651344572", "매물Link")</f>
        <v/>
      </c>
      <c r="Q1585" s="6">
        <f>HYPERLINK("https://map.naver.com/p/search/조치원읍 침산리 266-4",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HYPERLINK("https://fin.land.naver.com/articles/2652272439", "매물Link")</f>
        <v/>
      </c>
      <c r="Q1586" s="6">
        <f>HYPERLINK("https://map.naver.com/p/search/조치원읍 침산리 266-4",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HYPERLINK("https://fin.land.naver.com/articles/2655926557", "매물Link")</f>
        <v/>
      </c>
      <c r="Q1588" s="6">
        <f>HYPERLINK("https://map.naver.com/p/search/조치원읍 침산리 267-11",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상희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침산리 원룸 월세</t>
        </is>
      </c>
      <c r="P1589" s="6">
        <f>HYPERLINK("https://fin.land.naver.com/articles/2655926238", "매물Link")</f>
        <v/>
      </c>
      <c r="Q1589" s="6">
        <f>HYPERLINK("https://map.naver.com/p/search/조치원읍 침산리 267-11",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4" t="n">
        <v>23</v>
      </c>
      <c r="M1592" s="4" t="n">
        <v>7</v>
      </c>
      <c r="N1592" s="5" t="n">
        <v>5.7</v>
      </c>
      <c r="O1592" s="3" t="inlineStr">
        <is>
          <t>nan</t>
        </is>
      </c>
      <c r="P1592" s="6">
        <f>HYPERLINK("https://fin.land.naver.com/articles/2655907324", "매물Link")</f>
        <v/>
      </c>
      <c r="Q1592" s="6">
        <f>HYPERLINK("https://map.naver.com/p/search/조치원읍 침산리 267-9",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상희</t>
        </is>
      </c>
      <c r="T1592" s="4" t="n">
        <v>2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4" t="n">
        <v>22</v>
      </c>
      <c r="M1593" s="4" t="n">
        <v>7</v>
      </c>
      <c r="N1593" s="5" t="n">
        <v>4.3</v>
      </c>
      <c r="O1593" s="3" t="inlineStr">
        <is>
          <t>계약 후 즉시 입주 가능 원룸</t>
        </is>
      </c>
      <c r="P1593" s="6">
        <f>HYPERLINK("https://fin.land.naver.com/articles/2651069877", "매물Link")</f>
        <v/>
      </c>
      <c r="Q1593" s="6">
        <f>HYPERLINK("https://map.naver.com/p/search/조치원읍 침산리 267-9",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전세</t>
        </is>
      </c>
      <c r="G1598" s="4" t="n">
        <v>3000</v>
      </c>
      <c r="H1598" s="4" t="n">
        <v>0</v>
      </c>
      <c r="I1598" s="4" t="n">
        <v>0</v>
      </c>
      <c r="J1598" s="4" t="n">
        <v>0</v>
      </c>
      <c r="K1598" s="5" t="n">
        <v>0</v>
      </c>
      <c r="L1598" s="4" t="n">
        <v>19</v>
      </c>
      <c r="M1598" s="4" t="n">
        <v>6</v>
      </c>
      <c r="N1598" s="5" t="n">
        <v>500</v>
      </c>
      <c r="O1598" s="3" t="inlineStr">
        <is>
          <t>안전한 전세</t>
        </is>
      </c>
      <c r="P1598" s="6">
        <f>HYPERLINK("https://fin.land.naver.com/articles/2652857402", "매물Link")</f>
        <v/>
      </c>
      <c r="Q1598" s="6">
        <f>HYPERLINK("https://map.naver.com/p/search/조치원읍 침산리 279-15",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4" t="n">
        <v>545</v>
      </c>
      <c r="M1599" s="4" t="n">
        <v>165</v>
      </c>
      <c r="N1599" s="5" t="n">
        <v>666.7</v>
      </c>
      <c r="O1599" s="3" t="inlineStr">
        <is>
          <t>다가주주택 연수익률 8%</t>
        </is>
      </c>
      <c r="P1599" s="6">
        <f>HYPERLINK("https://fin.land.naver.com/articles/2655706120", "매물Link")</f>
        <v/>
      </c>
      <c r="Q1599" s="6">
        <f>HYPERLINK("https://map.naver.com/p/search/조치원읍 침산리 279-15",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4" t="n">
        <v>23</v>
      </c>
      <c r="M1600" s="4" t="n">
        <v>7</v>
      </c>
      <c r="N1600" s="5" t="n">
        <v>1.4</v>
      </c>
      <c r="O1600" s="3" t="inlineStr">
        <is>
          <t>전세,반전세 가능 도배예정</t>
        </is>
      </c>
      <c r="P1600" s="6">
        <f>HYPERLINK("https://fin.land.naver.com/articles/2652860593", "매물Link")</f>
        <v/>
      </c>
      <c r="Q1600" s="6">
        <f>HYPERLINK("https://map.naver.com/p/search/조치원읍 침산리 279-15",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nan</t>
        </is>
      </c>
      <c r="P1610" s="6">
        <f>HYPERLINK("https://fin.land.naver.com/articles/2654385865", "매물Link")</f>
        <v/>
      </c>
      <c r="Q1610" s="6">
        <f>HYPERLINK("https://map.naver.com/p/search/조치원읍 침산리 283-14",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조치원읍 다가구주택 단지의 수익율 8.5% 관리샹태 양호</t>
        </is>
      </c>
      <c r="P1611" s="6">
        <f>HYPERLINK("https://fin.land.naver.com/articles/2655705637", "매물Link")</f>
        <v/>
      </c>
      <c r="Q1611" s="6">
        <f>HYPERLINK("https://map.naver.com/p/search/조치원읍 침산리 283-14",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세종베스트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HYPERLINK("https://fin.land.naver.com/articles/2654004265", "매물Link")</f>
        <v/>
      </c>
      <c r="Q1617" s="6">
        <f>HYPERLINK("https://map.naver.com/p/search/조치원읍 침산리 285-10",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4</v>
      </c>
      <c r="O1618" s="3" t="inlineStr">
        <is>
          <t>주방 넓은 분리형 채광 통풍 잘되는 집</t>
        </is>
      </c>
      <c r="P1618" s="6">
        <f>HYPERLINK("https://fin.land.naver.com/articles/2654830780", "매물Link")</f>
        <v/>
      </c>
      <c r="Q1618" s="6">
        <f>HYPERLINK("https://map.naver.com/p/search/조치원읍 침산리 285-10",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266</v>
      </c>
      <c r="J1619" s="4" t="n">
        <v>80</v>
      </c>
      <c r="K1619" s="5" t="n">
        <v>1375</v>
      </c>
      <c r="L1619" s="4" t="n">
        <v>510</v>
      </c>
      <c r="M1619" s="4" t="n">
        <v>154</v>
      </c>
      <c r="N1619" s="5" t="n">
        <v>714.3</v>
      </c>
      <c r="O1619" s="3" t="inlineStr">
        <is>
          <t>nan</t>
        </is>
      </c>
      <c r="P1619" s="6">
        <f>HYPERLINK("https://fin.land.naver.com/articles/2654386307", "매물Link")</f>
        <v/>
      </c>
      <c r="Q1619" s="6">
        <f>HYPERLINK("https://map.naver.com/p/search/조치원읍 침산리 285-10",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한솔동 고급 2층단독주택 위치좋은 조용하고 쾌적한 환경</t>
        </is>
      </c>
      <c r="P1631" s="6">
        <f>HYPERLINK("https://fin.land.naver.com/articles/2651896310", "매물Link")</f>
        <v/>
      </c>
      <c r="Q1631" s="6">
        <f>HYPERLINK("https://map.naver.com/p/search/한솔동 1069",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고운동리치세종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전용75.5p, 방6개, 화장실4개, 해외건축가가 설계한 멋진집</t>
        </is>
      </c>
      <c r="P1632" s="6">
        <f>HYPERLINK("https://fin.land.naver.com/articles/2651918512", "매물Link")</f>
        <v/>
      </c>
      <c r="Q1632" s="6">
        <f>HYPERLINK("https://map.naver.com/p/search/한솔동 1069",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방6개, 화장실4개, 근린공원 인근, 고급 단독주택</t>
        </is>
      </c>
      <c r="P1633" s="6">
        <f>HYPERLINK("https://fin.land.naver.com/articles/2652839061", "매물Link")</f>
        <v/>
      </c>
      <c r="Q1633" s="6">
        <f>HYPERLINK("https://map.naver.com/p/search/한솔동 1069",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세종무지개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공원을 접한 단독주택, 여유로움을 누려보세요</t>
        </is>
      </c>
      <c r="P1634" s="6">
        <f>HYPERLINK("https://fin.land.naver.com/articles/2652853639", "매물Link")</f>
        <v/>
      </c>
      <c r="Q1634" s="6">
        <f>HYPERLINK("https://map.naver.com/p/search/한솔동 1118",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최무연</t>
        </is>
      </c>
      <c r="T1634" s="4" t="n">
        <v>2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전용49.8p, 방3개 화장실2개, 사유지땅 사용가능</t>
        </is>
      </c>
      <c r="P1635" s="6">
        <f>HYPERLINK("https://fin.land.naver.com/articles/2654718314", "매물Link")</f>
        <v/>
      </c>
      <c r="Q1635" s="6">
        <f>HYPERLINK("https://map.naver.com/p/search/한솔동 1118",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세종무지개</t>
        </is>
      </c>
      <c r="T1635" s="4" t="n">
        <v>1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공원사유지 무상이용가능, 입지 좋은 한솔동 단독주택 매매</t>
        </is>
      </c>
      <c r="P1637" s="6">
        <f>HYPERLINK("https://fin.land.naver.com/articles/2654927790", "매물Link")</f>
        <v/>
      </c>
      <c r="Q1637" s="6">
        <f>HYPERLINK("https://map.naver.com/p/search/한솔동 1118",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명진</t>
        </is>
      </c>
      <c r="T1637" s="4" t="n">
        <v>1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마당연결 공원전유사용 옆시유지 무상이용 2층 테라스 데크 실수요최적</t>
        </is>
      </c>
      <c r="P1638" s="6">
        <f>HYPERLINK("https://fin.land.naver.com/articles/2654871859", "매물Link")</f>
        <v/>
      </c>
      <c r="Q1638" s="6">
        <f>HYPERLINK("https://map.naver.com/p/search/한솔동 1118",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삼성래미안</t>
        </is>
      </c>
      <c r="T1638" s="4" t="n">
        <v>3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신축 단독주택, 학원가 도보 가능, 태양광</t>
        </is>
      </c>
      <c r="P1645" s="6">
        <f>HYPERLINK("https://fin.land.naver.com/articles/2653580243", "매물Link")</f>
        <v/>
      </c>
      <c r="Q1645" s="6">
        <f>HYPERLINK("https://map.naver.com/p/search/한솔동 903",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세종무지개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전용55.6p, 층고 높은 신축 단독주택, 태양광, 주차2대</t>
        </is>
      </c>
      <c r="P1646" s="6">
        <f>HYPERLINK("https://fin.land.naver.com/articles/2654919666", "매물Link")</f>
        <v/>
      </c>
      <c r="Q1646" s="6">
        <f>HYPERLINK("https://map.naver.com/p/search/한솔동 903",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558</v>
      </c>
      <c r="J1652" s="4" t="n">
        <v>169</v>
      </c>
      <c r="K1652" s="5" t="n">
        <v>591.7</v>
      </c>
      <c r="L1652" s="4" t="n">
        <v>222</v>
      </c>
      <c r="M1652" s="4" t="n">
        <v>67</v>
      </c>
      <c r="N1652" s="5" t="n">
        <v>1492.5</v>
      </c>
      <c r="O1652" s="3" t="inlineStr">
        <is>
          <t>해밀동 고급 타운하우스 시그니매종 전세 010 3819 3805</t>
        </is>
      </c>
      <c r="P1652" s="6">
        <f>HYPERLINK("https://fin.land.naver.com/articles/2654473736", "매물Link")</f>
        <v/>
      </c>
      <c r="Q1652" s="6">
        <f>HYPERLINK("https://map.naver.com/p/search/해밀동 692",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90000</v>
      </c>
      <c r="H1653" s="4" t="n">
        <v>0</v>
      </c>
      <c r="I1653" s="4" t="n">
        <v>231</v>
      </c>
      <c r="J1653" s="4" t="n">
        <v>70</v>
      </c>
      <c r="K1653" s="5" t="n">
        <v>1285.7</v>
      </c>
      <c r="L1653" s="4" t="n">
        <v>219</v>
      </c>
      <c r="M1653" s="4" t="n">
        <v>66</v>
      </c>
      <c r="N1653" s="5" t="n">
        <v>1363.6</v>
      </c>
      <c r="O1653" s="3" t="inlineStr">
        <is>
          <t>nan</t>
        </is>
      </c>
      <c r="P1653" s="6">
        <f>HYPERLINK("https://fin.land.naver.com/articles/2656025849", "매물Link")</f>
        <v/>
      </c>
      <c r="Q1653" s="6">
        <f>HYPERLINK("https://map.naver.com/p/search/해밀동 692",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세종스타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219</v>
      </c>
      <c r="M1654" s="4" t="n">
        <v>66</v>
      </c>
      <c r="N1654" s="5" t="n">
        <v>1515.2</v>
      </c>
      <c r="O1654" s="3" t="inlineStr">
        <is>
          <t>복층형 누다락써비스공간 방4 화장실3 내집마당 테라스2 융무전세</t>
        </is>
      </c>
      <c r="P1654" s="6">
        <f>HYPERLINK("https://fin.land.naver.com/articles/2653793299", "매물Link")</f>
        <v/>
      </c>
      <c r="Q1654" s="6">
        <f>HYPERLINK("https://map.naver.com/p/search/해밀동 692",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홍기표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118</v>
      </c>
      <c r="J1655" s="4" t="n">
        <v>36</v>
      </c>
      <c r="K1655" s="5" t="n">
        <v>2777.8</v>
      </c>
      <c r="L1655" s="4" t="n">
        <v>106</v>
      </c>
      <c r="M1655" s="4" t="n">
        <v>32</v>
      </c>
      <c r="N1655" s="5" t="n">
        <v>3125</v>
      </c>
      <c r="O1655" s="3" t="inlineStr">
        <is>
          <t>해밀동 고급 타운하우스 시그니매종 전세 010 3819 3805</t>
        </is>
      </c>
      <c r="P1655" s="6">
        <f>HYPERLINK("https://fin.land.naver.com/articles/2653180854", "매물Link")</f>
        <v/>
      </c>
      <c r="Q1655" s="6">
        <f>HYPERLINK("https://map.naver.com/p/search/해밀동 692",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국제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257</v>
      </c>
      <c r="J1656" s="4" t="n">
        <v>78</v>
      </c>
      <c r="K1656" s="5" t="n">
        <v>1282.1</v>
      </c>
      <c r="L1656" s="4" t="n">
        <v>219</v>
      </c>
      <c r="M1656" s="4" t="n">
        <v>66</v>
      </c>
      <c r="N1656" s="5" t="n">
        <v>1515.2</v>
      </c>
      <c r="O1656" s="3" t="inlineStr">
        <is>
          <t>융무귀한전세매물, 방4, 화장실3</t>
        </is>
      </c>
      <c r="P1656" s="6">
        <f>HYPERLINK("https://fin.land.naver.com/articles/2652916996", "매물Link")</f>
        <v/>
      </c>
      <c r="Q1656" s="6">
        <f>HYPERLINK("https://map.naver.com/p/search/해밀동 692",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세종국제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56.3</v>
      </c>
      <c r="V1659" s="4" t="n">
        <v>542.7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세로한면(불)</t>
        </is>
      </c>
    </row>
    <row r="1660">
      <c r="A1660" s="3" t="inlineStr">
        <is>
          <t>현도면 노산리 744</t>
        </is>
      </c>
      <c r="B1660" s="3" t="inlineStr">
        <is>
          <t>제1종일반주거지역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66.2</v>
      </c>
      <c r="V1660" s="4" t="n">
        <v>559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세로한면(가)</t>
        </is>
      </c>
    </row>
    <row r="1661">
      <c r="A1661" s="3" t="inlineStr">
        <is>
          <t>현도면 달계리 569</t>
        </is>
      </c>
      <c r="B1661" s="3" t="inlineStr">
        <is>
          <t>제1종일반주거지역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96</v>
      </c>
      <c r="V1661" s="4" t="n">
        <v>380.4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세로한면(가)</t>
        </is>
      </c>
    </row>
    <row r="1662">
      <c r="A1662" s="3" t="inlineStr">
        <is>
          <t>현도면 매봉리 224-12</t>
        </is>
      </c>
      <c r="B1662" s="3" t="inlineStr">
        <is>
          <t>일반상업지역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88.5</v>
      </c>
      <c r="V1662" s="4" t="n">
        <v>576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세로한면(가)</t>
        </is>
      </c>
    </row>
    <row r="1663">
      <c r="A1663" s="3" t="inlineStr">
        <is>
          <t>현도면 매봉리 224-12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88.5</v>
      </c>
      <c r="V1663" s="4" t="n">
        <v>576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세로한면(가)</t>
        </is>
      </c>
    </row>
    <row r="1664">
      <c r="A1664" s="3" t="inlineStr">
        <is>
          <t>현도면 시동리 247</t>
        </is>
      </c>
      <c r="B1664" s="3" t="inlineStr">
        <is>
          <t>생산관리지역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4" t="n">
        <v>132</v>
      </c>
      <c r="M1664" s="4" t="n">
        <v>40</v>
      </c>
      <c r="N1664" s="5" t="n">
        <v>1500</v>
      </c>
      <c r="O1664" s="3" t="inlineStr">
        <is>
          <t>황토로 지은 한옥, 야외 정자, 저온저장고 포함</t>
        </is>
      </c>
      <c r="P1664" s="6">
        <f>HYPERLINK("https://fin.land.naver.com/articles/2652512985", "매물Link")</f>
        <v/>
      </c>
      <c r="Q1664" s="6">
        <f>HYPERLINK("https://map.naver.com/p/search/현도면 시동리 247", "지도Link")</f>
        <v/>
      </c>
      <c r="R1664" s="6">
        <f>HYPERLINK("http://www.eum.go.kr/web/ar/lu/luLandDet.jsp?pnu=4311232025102470000&amp;isNoScr=script&amp;mode=search", "토지이음")</f>
        <v/>
      </c>
      <c r="S1664" s="3" t="inlineStr">
        <is>
          <t>남청주IC</t>
        </is>
      </c>
      <c r="T1664" s="4" t="n">
        <v>1</v>
      </c>
      <c r="U1664" s="5" t="n">
        <v>28.3</v>
      </c>
      <c r="V1664" s="4" t="n">
        <v>496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완경사</t>
        </is>
      </c>
      <c r="Z1664" s="3" t="inlineStr">
        <is>
          <t>사다리형</t>
        </is>
      </c>
      <c r="AA1664" s="3" t="inlineStr">
        <is>
          <t>세로각지(가)</t>
        </is>
      </c>
    </row>
    <row r="1665">
      <c r="A1665" s="3" t="inlineStr">
        <is>
          <t>현도면 시동리 259-5</t>
        </is>
      </c>
      <c r="B1665" s="3" t="inlineStr">
        <is>
          <t>생산관리지역</t>
        </is>
      </c>
      <c r="C1665" s="3" t="inlineStr">
        <is>
          <t>대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4" t="n">
        <v>77</v>
      </c>
      <c r="M1665" s="4" t="n">
        <v>23</v>
      </c>
      <c r="N1665" s="5" t="n">
        <v>1130.4</v>
      </c>
      <c r="O1665" s="3" t="inlineStr">
        <is>
          <t>주택포함 3필지 매매, 생산관리지역, 신탄진지역 차로 10분 거리</t>
        </is>
      </c>
      <c r="P1665" s="6">
        <f>HYPERLINK("https://fin.land.naver.com/articles/2651238631", "매물Link")</f>
        <v/>
      </c>
      <c r="Q1665" s="6">
        <f>HYPERLINK("https://map.naver.com/p/search/현도면 시동리 259-5", "지도Link")</f>
        <v/>
      </c>
      <c r="R1665" s="6">
        <f>HYPERLINK("http://www.eum.go.kr/web/ar/lu/luLandDet.jsp?pnu=4311232025102590005&amp;isNoScr=script&amp;mode=search", "토지이음")</f>
        <v/>
      </c>
      <c r="S1665" s="3" t="inlineStr">
        <is>
          <t>복돼지</t>
        </is>
      </c>
      <c r="T1665" s="4" t="n">
        <v>1</v>
      </c>
      <c r="U1665" s="5" t="n">
        <v>32.5</v>
      </c>
      <c r="V1665" s="4" t="n">
        <v>454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세로한면(가)</t>
        </is>
      </c>
    </row>
    <row r="1666">
      <c r="A1666" s="3" t="inlineStr">
        <is>
          <t>현도면 우록리 478-2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42.7</v>
      </c>
      <c r="V1666" s="4" t="n">
        <v>468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부정형</t>
        </is>
      </c>
      <c r="AA1666" s="3" t="inlineStr">
        <is>
          <t>세로한면(가)</t>
        </is>
      </c>
    </row>
    <row r="1667">
      <c r="A1667" s="3" t="inlineStr">
        <is>
          <t>현도면 죽전리 653-4</t>
        </is>
      </c>
      <c r="B1667" s="3" t="inlineStr">
        <is>
          <t>계획관리지역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47.8</v>
      </c>
      <c r="V1667" s="4" t="n">
        <v>632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완경사</t>
        </is>
      </c>
      <c r="Z1667" s="3" t="inlineStr">
        <is>
          <t>사다리형</t>
        </is>
      </c>
      <c r="AA1667" s="3" t="inlineStr">
        <is>
          <t>세로한면(가)</t>
        </is>
      </c>
    </row>
    <row r="1668">
      <c r="A1668" s="3" t="inlineStr">
        <is>
          <t>현도면 하석리 183</t>
        </is>
      </c>
      <c r="B1668" s="3" t="inlineStr">
        <is>
          <t>자연녹지지역</t>
        </is>
      </c>
      <c r="C1668" s="3" t="inlineStr">
        <is>
          <t>대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32.6</v>
      </c>
      <c r="V1668" s="4" t="n">
        <v>810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완경사</t>
        </is>
      </c>
      <c r="Z1668" s="3" t="inlineStr">
        <is>
          <t>사다리형</t>
        </is>
      </c>
      <c r="AA1668" s="3" t="inlineStr">
        <is>
          <t>세로한면(가)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315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16.2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1981.1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115-1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52.6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2499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117-3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57.2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340</v>
      </c>
      <c r="R72" s="3" t="inlineStr">
        <is>
          <t>지정되지않음</t>
        </is>
      </c>
      <c r="S72" s="3" t="inlineStr">
        <is>
          <t>단독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231-14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30.6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500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171-1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43.6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1047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41.7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산36-15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131-1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57.1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2474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4.1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198-3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42.4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999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세로한면(불)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317</t>
        </is>
      </c>
      <c r="B163" s="3" t="inlineStr">
        <is>
          <t>보전녹지지역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11.3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1111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335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35.6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3421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학천리 380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16.9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2040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385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15.2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1418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59.9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1923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중로한면</t>
        </is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16.8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1402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15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3698.1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52.4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1173</v>
      </c>
      <c r="R175" s="3" t="inlineStr">
        <is>
          <t>지정되지않음</t>
        </is>
      </c>
      <c r="S175" s="3" t="inlineStr">
        <is>
          <t>단독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14.9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2007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HYPERLINK("https://fin.land.naver.com/articles/2654935793",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송림탑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상가인근 토지</t>
        </is>
      </c>
      <c r="L179" s="6">
        <f>HYPERLINK("https://fin.land.naver.com/articles/2654716356",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5" t="n">
        <v>330.5</v>
      </c>
      <c r="K190" s="3" t="inlineStr">
        <is>
          <t>nan</t>
        </is>
      </c>
      <c r="L190" s="6">
        <f>HYPERLINK("https://fin.land.naver.com/articles/2651033320",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디아트성심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nan</t>
        </is>
      </c>
      <c r="L191" s="6">
        <f>HYPERLINK("https://fin.land.naver.com/articles/2652001208",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nan</t>
        </is>
      </c>
      <c r="L207" s="6">
        <f>HYPERLINK("https://fin.land.naver.com/articles/2651033529",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HYPERLINK("https://fin.land.naver.com/articles/2650851019",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HYPERLINK("https://fin.land.naver.com/articles/2654928258",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총 119.9p, 상가인근토지, 삼거리 위치</t>
        </is>
      </c>
      <c r="L260" s="6">
        <f>HYPERLINK("https://fin.land.naver.com/articles/2652843053",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일반상업지 토지, 메디컬 및 상가빌딩 건축부지 추천</t>
        </is>
      </c>
      <c r="L306" s="6">
        <f>HYPERLINK("https://fin.land.naver.com/articles/2652799255",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혜성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HYPERLINK("https://fin.land.naver.com/articles/2654226084",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벙커주차장 가능, 귀한 조경수 식재, 접근성 좋은 위치, 귀한 택지</t>
        </is>
      </c>
      <c r="L371" s="6">
        <f>HYPERLINK("https://fin.land.naver.com/articles/2656062426",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다정한길</t>
        </is>
      </c>
      <c r="P371" s="4" t="n">
        <v>4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5" t="n">
        <v>66.59999999999999</v>
      </c>
      <c r="K465" s="3" t="inlineStr">
        <is>
          <t>도암리 마을회관앞 주위 단독주택 소재하는곳</t>
        </is>
      </c>
      <c r="L465" s="6">
        <f>HYPERLINK("https://fin.land.naver.com/articles/2651041749",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원내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세종 금남면 주거지역 토지</t>
        </is>
      </c>
      <c r="L483" s="6">
        <f>HYPERLINK("https://fin.land.naver.com/articles/2655616202",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세종몽땅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HYPERLINK("https://fin.land.naver.com/articles/2650740163", "매물Link")</f>
        <v/>
      </c>
      <c r="M485" s="6">
        <f>HYPERLINK("https://map.naver.com/p/search/금남면 두만리 373",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성실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260</v>
      </c>
      <c r="K521" s="3" t="inlineStr">
        <is>
          <t>총3필지매매,대지와 답,전원주택포함매매</t>
        </is>
      </c>
      <c r="L521" s="6">
        <f>HYPERLINK("https://fin.land.naver.com/articles/2655604918",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담뜰</t>
        </is>
      </c>
      <c r="P521" s="4" t="n">
        <v>2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5" t="n">
        <v>260</v>
      </c>
      <c r="K523" s="3" t="inlineStr">
        <is>
          <t>도로접 도시.1종일반주거지역 알토란 토지,다목적용도 가능</t>
        </is>
      </c>
      <c r="L523" s="6">
        <f>HYPERLINK("https://fin.land.naver.com/articles/2653418124",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Point 수변 카페, 전원주택, 가든 등 신축 가능, 도로접 접근성좋음</t>
        </is>
      </c>
      <c r="L538" s="6">
        <f>HYPERLINK("https://fin.land.naver.com/articles/2654669241", "매물Link")</f>
        <v/>
      </c>
      <c r="M538" s="6">
        <f>HYPERLINK("https://map.naver.com/p/search/금남면 부용리 45",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도마호반</t>
        </is>
      </c>
      <c r="P538" s="4" t="n">
        <v>2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금강 조망 최적의 위치</t>
        </is>
      </c>
      <c r="L539" s="6">
        <f>HYPERLINK("https://fin.land.naver.com/articles/2655630405", "매물Link")</f>
        <v/>
      </c>
      <c r="M539" s="6">
        <f>HYPERLINK("https://map.naver.com/p/search/금남면 부용리 45",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 접한 현황 토지(농지) 그린벨트지역 보기 좋은 토지</t>
        </is>
      </c>
      <c r="L670" s="6">
        <f>HYPERLINK("https://fin.land.naver.com/articles/2651396670", "매물Link")</f>
        <v/>
      </c>
      <c r="M670" s="6">
        <f>HYPERLINK("https://map.naver.com/p/search/금남면 용포리 8-2",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로데오상가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세종,대전 접근성좋은 계획관리 대지</t>
        </is>
      </c>
      <c r="L693" s="6">
        <f>HYPERLINK("https://fin.land.naver.com/articles/2654217304", "매물Link")</f>
        <v/>
      </c>
      <c r="M693" s="6">
        <f>HYPERLINK("https://map.naver.com/p/search/금남면 원봉리 578-22",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가치잇는</t>
        </is>
      </c>
      <c r="P693" s="4" t="n">
        <v>2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5" t="n">
        <v>52.7</v>
      </c>
      <c r="K696" s="3" t="inlineStr">
        <is>
          <t>금강조망권,전원생활 또는 투자에 적합한 입지</t>
        </is>
      </c>
      <c r="L696" s="6">
        <f>HYPERLINK("https://fin.land.naver.com/articles/2651677646", "매물Link")</f>
        <v/>
      </c>
      <c r="M696" s="6">
        <f>HYPERLINK("https://map.naver.com/p/search/금남면 원봉리 578-40",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가치잇는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호탄리 마을 인근에 시멘트 포장도로 잘 접함</t>
        </is>
      </c>
      <c r="L724" s="6">
        <f>HYPERLINK("https://fin.land.naver.com/articles/2655510863", "매물Link")</f>
        <v/>
      </c>
      <c r="M724" s="6">
        <f>HYPERLINK("https://map.naver.com/p/search/금남면 호탄리 217",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신안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96.40000000000001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3352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148-1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113.5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781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중로한면</t>
        </is>
      </c>
    </row>
    <row r="755">
      <c r="A755" s="3" t="inlineStr">
        <is>
          <t>남이면 가마리 149-1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168.3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645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남이면 가마리 156</t>
        </is>
      </c>
      <c r="B756" s="3" t="inlineStr">
        <is>
          <t>자연녹지지역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69.3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2446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남이면 가마리 160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58.5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2787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160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58.5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2787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168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46.8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1223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남이면 가마리 168-3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46.8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1041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180-2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48.1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2701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남이면 가마리 190-1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41.8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1355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남이면 가마리 234-2</t>
        </is>
      </c>
      <c r="B763" s="3" t="inlineStr">
        <is>
          <t>자연녹지지역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74.2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476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235-5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102.4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355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광대로한면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24-2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100.9</v>
      </c>
      <c r="K766" s="3" t="inlineStr">
        <is>
          <t>최근 개발되고 있는 신분평지구인근으로 다양한 용도 가능한 귀한매물</t>
        </is>
      </c>
      <c r="L766" s="6">
        <f>HYPERLINK("https://fin.land.naver.com/articles/2655209726", "매물Link")</f>
        <v/>
      </c>
      <c r="M766" s="6">
        <f>HYPERLINK("https://map.naver.com/p/search/남이면 가마리 24-2",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청주원</t>
        </is>
      </c>
      <c r="P766" s="4" t="n">
        <v>1</v>
      </c>
      <c r="Q766" s="4" t="n">
        <v>1054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중로한면</t>
        </is>
      </c>
    </row>
    <row r="767">
      <c r="A767" s="3" t="inlineStr">
        <is>
          <t>남이면 가마리 24-2</t>
        </is>
      </c>
      <c r="B767" s="3" t="inlineStr">
        <is>
          <t>자연녹지지역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100.9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1054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중로한면</t>
        </is>
      </c>
    </row>
    <row r="768">
      <c r="A768" s="3" t="inlineStr">
        <is>
          <t>남이면 가마리 245</t>
        </is>
      </c>
      <c r="B768" s="3" t="inlineStr">
        <is>
          <t>자연녹지지역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69.09999999999999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1102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남이면 가마리 246</t>
        </is>
      </c>
      <c r="B769" s="3" t="inlineStr">
        <is>
          <t>자연녹지지역</t>
        </is>
      </c>
      <c r="C769" s="3" t="inlineStr">
        <is>
          <t>답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69.09999999999999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1222.2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맹지</t>
        </is>
      </c>
    </row>
    <row r="770">
      <c r="A770" s="3" t="inlineStr">
        <is>
          <t>남이면 가마리 264</t>
        </is>
      </c>
      <c r="B770" s="3" t="inlineStr">
        <is>
          <t>자연녹지지역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58.5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1343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가마리 296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34.9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863</v>
      </c>
      <c r="R771" s="3" t="inlineStr">
        <is>
          <t>보전녹지지역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가마리 301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59.7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4720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세로각지(가)</t>
        </is>
      </c>
    </row>
    <row r="773">
      <c r="A773" s="3" t="inlineStr">
        <is>
          <t>남이면 가마리 338</t>
        </is>
      </c>
      <c r="B773" s="3" t="inlineStr">
        <is>
          <t>자연녹지지역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98.09999999999999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2311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자루형</t>
        </is>
      </c>
      <c r="V773" s="3" t="inlineStr">
        <is>
          <t>세로한면(가)</t>
        </is>
      </c>
    </row>
    <row r="774">
      <c r="A774" s="3" t="inlineStr">
        <is>
          <t>남이면 가마리 338</t>
        </is>
      </c>
      <c r="B774" s="3" t="inlineStr">
        <is>
          <t>자연녹지지역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98.09999999999999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2311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자루형</t>
        </is>
      </c>
      <c r="V774" s="3" t="inlineStr">
        <is>
          <t>세로한면(가)</t>
        </is>
      </c>
    </row>
    <row r="775">
      <c r="A775" s="3" t="inlineStr">
        <is>
          <t>남이면 가마리 342-2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88.2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1288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산6-2</t>
        </is>
      </c>
      <c r="B776" s="3" t="inlineStr">
        <is>
          <t>보전녹지지역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57.1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1065</v>
      </c>
      <c r="R776" s="3" t="inlineStr">
        <is>
          <t>자연녹지지역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가마리 산6-6</t>
        </is>
      </c>
      <c r="B777" s="3" t="inlineStr">
        <is>
          <t>보전녹지지역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41.7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678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세로한면(불)</t>
        </is>
      </c>
    </row>
    <row r="778">
      <c r="A778" s="3" t="inlineStr">
        <is>
          <t>남이면 가마리 산6-7</t>
        </is>
      </c>
      <c r="B778" s="3" t="inlineStr">
        <is>
          <t>보전녹지지역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50.9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533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세로각지(가)</t>
        </is>
      </c>
    </row>
    <row r="779">
      <c r="A779" s="3" t="inlineStr">
        <is>
          <t>남이면 가좌리 129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37000</v>
      </c>
      <c r="G779" s="4" t="n">
        <v>1170</v>
      </c>
      <c r="H779" s="4" t="n">
        <v>354</v>
      </c>
      <c r="I779" s="5" t="n">
        <v>104.5</v>
      </c>
      <c r="J779" s="5" t="n">
        <v>26.8</v>
      </c>
      <c r="K779" s="3" t="inlineStr">
        <is>
          <t>시내 인접토지.창고, 공장. 주말농장</t>
        </is>
      </c>
      <c r="L779" s="6">
        <f>HYPERLINK("https://fin.land.naver.com/articles/2653502250", "매물Link")</f>
        <v/>
      </c>
      <c r="M779" s="6">
        <f>HYPERLINK("https://map.naver.com/p/search/남이면 가좌리 129",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둥지</t>
        </is>
      </c>
      <c r="P779" s="4" t="n">
        <v>1</v>
      </c>
      <c r="Q779" s="4" t="n">
        <v>1092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129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28400</v>
      </c>
      <c r="G780" s="4" t="n">
        <v>1174</v>
      </c>
      <c r="H780" s="4" t="n">
        <v>355</v>
      </c>
      <c r="I780" s="5" t="n">
        <v>80</v>
      </c>
      <c r="J780" s="5" t="n">
        <v>26.8</v>
      </c>
      <c r="K780" s="3" t="inlineStr">
        <is>
          <t>2차선 도로에 접한 자연녹지지역의 전원주택 및 근린생활용지</t>
        </is>
      </c>
      <c r="L780" s="6">
        <f>HYPERLINK("https://fin.land.naver.com/articles/2655486804", "매물Link")</f>
        <v/>
      </c>
      <c r="M780" s="6">
        <f>HYPERLINK("https://map.naver.com/p/search/남이면 가좌리 129",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강문구</t>
        </is>
      </c>
      <c r="P780" s="4" t="n">
        <v>2</v>
      </c>
      <c r="Q780" s="4" t="n">
        <v>1092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가좌리 134-49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25.4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1953</v>
      </c>
      <c r="R781" s="3" t="inlineStr">
        <is>
          <t>자연녹지지역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가좌리 191</t>
        </is>
      </c>
      <c r="B782" s="3" t="inlineStr">
        <is>
          <t>자연녹지지역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34.5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1514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191-2</t>
        </is>
      </c>
      <c r="B783" s="3" t="inlineStr">
        <is>
          <t>자연녹지지역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34.5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993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219-1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25.9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2922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가좌리 223-160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70.40000000000001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146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223-163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69.2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HYPERLINK("https://fin.land.naver.com/articles/2655253660", "매물Link")</f>
        <v/>
      </c>
      <c r="M786" s="6">
        <f>HYPERLINK("https://map.naver.com/p/search/남이면 가좌리 223-163",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474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남이면 가좌리 223-163</t>
        </is>
      </c>
      <c r="B787" s="3" t="inlineStr">
        <is>
          <t>자연녹지지역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69.2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HYPERLINK("https://fin.land.naver.com/articles/2652455294", "매물Link")</f>
        <v/>
      </c>
      <c r="M787" s="6">
        <f>HYPERLINK("https://map.naver.com/p/search/남이면 가좌리 223-163",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474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남이면 가좌리 223-28</t>
        </is>
      </c>
      <c r="B788" s="3" t="inlineStr">
        <is>
          <t>자연녹지지역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69.2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416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남이면 가좌리 223-37</t>
        </is>
      </c>
      <c r="B789" s="3" t="inlineStr">
        <is>
          <t>자연녹지지역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69.2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473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남이면 가좌리 223-66</t>
        </is>
      </c>
      <c r="B790" s="3" t="inlineStr">
        <is>
          <t>자연녹지지역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67.8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914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가좌리 235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96.59999999999999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3130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가좌리 259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31.6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1237</v>
      </c>
      <c r="R792" s="3" t="inlineStr">
        <is>
          <t>보전녹지지역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남이면 가좌리 259</t>
        </is>
      </c>
      <c r="B793" s="3" t="inlineStr">
        <is>
          <t>자연녹지지역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31.6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1237</v>
      </c>
      <c r="R793" s="3" t="inlineStr">
        <is>
          <t>보전녹지지역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중로한면</t>
        </is>
      </c>
    </row>
    <row r="794">
      <c r="A794" s="3" t="inlineStr">
        <is>
          <t>남이면 가좌리 308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25.1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1711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남이면 가좌리 54</t>
        </is>
      </c>
      <c r="B795" s="3" t="inlineStr">
        <is>
          <t>자연녹지지역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24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2371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가좌리 63-9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42.1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2811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가좌리 97-2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69.7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655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소로각지</t>
        </is>
      </c>
    </row>
    <row r="798">
      <c r="A798" s="3" t="inlineStr">
        <is>
          <t>남이면 가좌리 산63-22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19.5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282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남이면 가좌리 산70-3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3.7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2483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급경사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갈원리 207-3</t>
        </is>
      </c>
      <c r="B800" s="3" t="inlineStr">
        <is>
          <t>계획관리지역</t>
        </is>
      </c>
      <c r="C800" s="3" t="inlineStr">
        <is>
          <t>주유소용지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66.2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1484</v>
      </c>
      <c r="R800" s="3" t="inlineStr">
        <is>
          <t>지정되지않음</t>
        </is>
      </c>
      <c r="S800" s="3" t="inlineStr">
        <is>
          <t>상업용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갈원리 276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12.8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1033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남이면 갈원리 6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21.8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1907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갈원리 산39-8</t>
        </is>
      </c>
      <c r="B803" s="3" t="inlineStr">
        <is>
          <t>보전관리지역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2.9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3300</v>
      </c>
      <c r="R803" s="3" t="inlineStr">
        <is>
          <t>지정되지않음</t>
        </is>
      </c>
      <c r="S803" s="3" t="inlineStr">
        <is>
          <t>자연림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189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5" t="n">
        <v>21.5</v>
      </c>
      <c r="K804" s="3" t="inlineStr">
        <is>
          <t>공장 인허가 완료된 토지매매</t>
        </is>
      </c>
      <c r="L804" s="6">
        <f>HYPERLINK("https://fin.land.naver.com/articles/2652774322", "매물Link")</f>
        <v/>
      </c>
      <c r="M804" s="6">
        <f>HYPERLINK("https://map.naver.com/p/search/남이면 구미리 189",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금화랜드</t>
        </is>
      </c>
      <c r="P804" s="4" t="n">
        <v>1</v>
      </c>
      <c r="Q804" s="4" t="n">
        <v>2144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구미리 189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5" t="n">
        <v>21.5</v>
      </c>
      <c r="K805" s="3" t="inlineStr">
        <is>
          <t>청주시 남이면 구미리 2차선도로변 근린생활시설허가 토지</t>
        </is>
      </c>
      <c r="L805" s="6">
        <f>HYPERLINK("https://fin.land.naver.com/articles/2650771236", "매물Link")</f>
        <v/>
      </c>
      <c r="M805" s="6">
        <f>HYPERLINK("https://map.naver.com/p/search/남이면 구미리 189",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2144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남이면 구미리 192-3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34.8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18455</v>
      </c>
      <c r="R806" s="3" t="inlineStr">
        <is>
          <t>농림지역</t>
        </is>
      </c>
      <c r="S806" s="3" t="inlineStr">
        <is>
          <t>공업나지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구미리 223-1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13.1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5058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구미리 302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20.2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668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소로한면</t>
        </is>
      </c>
    </row>
    <row r="809">
      <c r="A809" s="3" t="inlineStr">
        <is>
          <t>남이면 구미리 35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20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4553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구미리 산19-9</t>
        </is>
      </c>
      <c r="B810" s="3" t="inlineStr">
        <is>
          <t>계획관리지역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8.5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2262</v>
      </c>
      <c r="R810" s="3" t="inlineStr">
        <is>
          <t>지정되지않음</t>
        </is>
      </c>
      <c r="S810" s="3" t="inlineStr">
        <is>
          <t>임야기타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구암리 11-1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17.3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2758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남이면 구암리 123-1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46.1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3011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남이면 구암리 143-3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30.6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2791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구암리 232-58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60.6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842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308-16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49.5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3524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세로각지(가)</t>
        </is>
      </c>
    </row>
    <row r="817">
      <c r="A817" s="3" t="inlineStr">
        <is>
          <t>남이면 구암리 93-2</t>
        </is>
      </c>
      <c r="B817" s="3" t="inlineStr">
        <is>
          <t>자연녹지지역</t>
        </is>
      </c>
      <c r="C817" s="3" t="inlineStr">
        <is>
          <t>답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35.5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1448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구암리 산14-1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5" t="n">
        <v>2.6</v>
      </c>
      <c r="K818" s="3" t="inlineStr">
        <is>
          <t>지목  임야     전</t>
        </is>
      </c>
      <c r="L818" s="6">
        <f>HYPERLINK("https://fin.land.naver.com/articles/2653746352", "매물Link")</f>
        <v/>
      </c>
      <c r="M818" s="6">
        <f>HYPERLINK("https://map.naver.com/p/search/남이면 구암리 산14-1",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39372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구암리 산14-1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5" t="n">
        <v>2.6</v>
      </c>
      <c r="K819" s="3" t="inlineStr">
        <is>
          <t>도시지역.보전녹지. 전.있음</t>
        </is>
      </c>
      <c r="L819" s="6">
        <f>HYPERLINK("https://fin.land.naver.com/articles/2654581431", "매물Link")</f>
        <v/>
      </c>
      <c r="M819" s="6">
        <f>HYPERLINK("https://map.naver.com/p/search/남이면 구암리 산14-1",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39372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남이면 구암리 산21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5" t="n">
        <v>17.8</v>
      </c>
      <c r="K820" s="3" t="inlineStr">
        <is>
          <t>2차선도로접,석곡사거리에서2km로 5분거리,토목공사완료</t>
        </is>
      </c>
      <c r="L820" s="6">
        <f>HYPERLINK("https://fin.land.naver.com/articles/2653652351", "매물Link")</f>
        <v/>
      </c>
      <c r="M820" s="6">
        <f>HYPERLINK("https://map.naver.com/p/search/남이면 구암리 산21",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GS자이</t>
        </is>
      </c>
      <c r="P820" s="4" t="n">
        <v>1</v>
      </c>
      <c r="Q820" s="4" t="n">
        <v>1667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구암리 산21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17.8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1667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구암리 산21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5" t="n">
        <v>17.8</v>
      </c>
      <c r="K822" s="3" t="inlineStr">
        <is>
          <t>급매,추천,도로접함,위치좋음</t>
        </is>
      </c>
      <c r="L822" s="6">
        <f>HYPERLINK("https://fin.land.naver.com/articles/2651876026", "매물Link")</f>
        <v/>
      </c>
      <c r="M822" s="6">
        <f>HYPERLINK("https://map.naver.com/p/search/남이면 구암리 산21",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가경아이파크5단지일타</t>
        </is>
      </c>
      <c r="P822" s="4" t="n">
        <v>1</v>
      </c>
      <c r="Q822" s="4" t="n">
        <v>1667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구암리 산23-2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3.1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2470</v>
      </c>
      <c r="R823" s="3" t="inlineStr">
        <is>
          <t>지정되지않음</t>
        </is>
      </c>
      <c r="S823" s="3" t="inlineStr">
        <is>
          <t>임야기타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세로한면(불)</t>
        </is>
      </c>
    </row>
    <row r="824">
      <c r="A824" s="3" t="inlineStr">
        <is>
          <t>남이면 대련리 105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17.5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446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남이면 대련리 129-2</t>
        </is>
      </c>
      <c r="B825" s="3" t="inlineStr">
        <is>
          <t>자연녹지지역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24.5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1663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남이면 대련리 2-1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25.1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2297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201-2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17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1974</v>
      </c>
      <c r="R827" s="3" t="inlineStr">
        <is>
          <t>보전녹지지역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대련리 224-3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23.6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1001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대련리 25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57.3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717.7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대련리 270-1</t>
        </is>
      </c>
      <c r="B830" s="3" t="inlineStr">
        <is>
          <t>자연녹지지역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86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987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중로한면</t>
        </is>
      </c>
    </row>
    <row r="831">
      <c r="A831" s="3" t="inlineStr">
        <is>
          <t>남이면 대련리 270-1</t>
        </is>
      </c>
      <c r="B831" s="3" t="inlineStr">
        <is>
          <t>자연녹지지역</t>
        </is>
      </c>
      <c r="C831" s="3" t="inlineStr">
        <is>
          <t>잡종지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86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987</v>
      </c>
      <c r="R831" s="3" t="inlineStr">
        <is>
          <t>지정되지않음</t>
        </is>
      </c>
      <c r="S831" s="3" t="inlineStr">
        <is>
          <t>공업용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중로한면</t>
        </is>
      </c>
    </row>
    <row r="832">
      <c r="A832" s="3" t="inlineStr">
        <is>
          <t>남이면 대련리 75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5" t="n">
        <v>35.5</v>
      </c>
      <c r="K832" s="3" t="inlineStr">
        <is>
          <t>nan</t>
        </is>
      </c>
      <c r="L832" s="6">
        <f>HYPERLINK("https://fin.land.naver.com/articles/2652941172", "매물Link")</f>
        <v/>
      </c>
      <c r="M832" s="6">
        <f>HYPERLINK("https://map.naver.com/p/search/남이면 대련리 75",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신화</t>
        </is>
      </c>
      <c r="P832" s="4" t="n">
        <v>1</v>
      </c>
      <c r="Q832" s="4" t="n">
        <v>3487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자루형</t>
        </is>
      </c>
      <c r="V832" s="3" t="inlineStr">
        <is>
          <t>세로한면(가)</t>
        </is>
      </c>
    </row>
    <row r="833">
      <c r="A833" s="3" t="inlineStr">
        <is>
          <t>남이면 대련리 75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5" t="n">
        <v>35.5</v>
      </c>
      <c r="K833" s="3" t="inlineStr">
        <is>
          <t>도로와 접한 모양 좋은 토지, 주변에 소규모공장 산재,공장,창고 등 추천</t>
        </is>
      </c>
      <c r="L833" s="6">
        <f>HYPERLINK("https://fin.land.naver.com/articles/2654599913", "매물Link")</f>
        <v/>
      </c>
      <c r="M833" s="6">
        <f>HYPERLINK("https://map.naver.com/p/search/남이면 대련리 75",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바로그</t>
        </is>
      </c>
      <c r="P833" s="4" t="n">
        <v>1</v>
      </c>
      <c r="Q833" s="4" t="n">
        <v>3487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남이면 대련리 88-1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33.4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대련리 98-2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24.5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1884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세로한면(불)</t>
        </is>
      </c>
    </row>
    <row r="836">
      <c r="A836" s="3" t="inlineStr">
        <is>
          <t>남이면 대련리 산56-3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3.3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6557</v>
      </c>
      <c r="R836" s="3" t="inlineStr">
        <is>
          <t>자연녹지지역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문동리 143-1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14.7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978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문동리 192-1</t>
        </is>
      </c>
      <c r="B838" s="3" t="inlineStr">
        <is>
          <t>자연녹지지역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36.5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1520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문동리 205</t>
        </is>
      </c>
      <c r="B839" s="3" t="inlineStr">
        <is>
          <t>생산관리지역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80.8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940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21-1</t>
        </is>
      </c>
      <c r="B840" s="3" t="inlineStr">
        <is>
          <t>자연녹지지역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15.7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261</v>
      </c>
      <c r="R840" s="3" t="inlineStr">
        <is>
          <t>지정되지않음</t>
        </is>
      </c>
      <c r="S840" s="3" t="inlineStr">
        <is>
          <t>전기타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234</t>
        </is>
      </c>
      <c r="B841" s="3" t="inlineStr">
        <is>
          <t>생산관리지역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8.5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1980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문동리 259-2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14.5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800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262-1</t>
        </is>
      </c>
      <c r="B843" s="3" t="inlineStr">
        <is>
          <t>생산관리지역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32.6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629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264-3</t>
        </is>
      </c>
      <c r="B844" s="3" t="inlineStr">
        <is>
          <t>생산관리지역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32.9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555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세로각지(가)</t>
        </is>
      </c>
    </row>
    <row r="845">
      <c r="A845" s="3" t="inlineStr">
        <is>
          <t>남이면 문동리 338-1</t>
        </is>
      </c>
      <c r="B845" s="3" t="inlineStr">
        <is>
          <t>생산관리지역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13.6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756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문동리 477</t>
        </is>
      </c>
      <c r="B846" s="3" t="inlineStr">
        <is>
          <t>자연환경보전지역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23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734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자루형</t>
        </is>
      </c>
      <c r="V846" s="3" t="inlineStr">
        <is>
          <t>세로한면(불)</t>
        </is>
      </c>
    </row>
    <row r="847">
      <c r="A847" s="3" t="inlineStr">
        <is>
          <t>남이면 문동리 산26-20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5" t="n">
        <v>29.7</v>
      </c>
      <c r="K847" s="3" t="inlineStr">
        <is>
          <t>남이면 문동리 택지 매매 토목공사 완료 주택지 창고 근생등</t>
        </is>
      </c>
      <c r="L847" s="6">
        <f>HYPERLINK("https://fin.land.naver.com/articles/2652463956", "매물Link")</f>
        <v/>
      </c>
      <c r="M847" s="6">
        <f>HYPERLINK("https://map.naver.com/p/search/남이면 문동리 산26-20",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그린</t>
        </is>
      </c>
      <c r="P847" s="4" t="n">
        <v>1</v>
      </c>
      <c r="Q847" s="4" t="n">
        <v>1528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문동리 산26-20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5" t="n">
        <v>29.7</v>
      </c>
      <c r="K848" s="3" t="inlineStr">
        <is>
          <t>문동리 토목공사 완료된 전원주택지 매매, 1종근생가능</t>
        </is>
      </c>
      <c r="L848" s="6">
        <f>HYPERLINK("https://fin.land.naver.com/articles/2653456144", "매물Link")</f>
        <v/>
      </c>
      <c r="M848" s="6">
        <f>HYPERLINK("https://map.naver.com/p/search/남이면 문동리 산26-20",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원탑</t>
        </is>
      </c>
      <c r="P848" s="4" t="n">
        <v>1</v>
      </c>
      <c r="Q848" s="4" t="n">
        <v>1528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남이면 문동리 산26-51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30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652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문동리 산26-7</t>
        </is>
      </c>
      <c r="B850" s="3" t="inlineStr">
        <is>
          <t>보전녹지지역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5.2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1435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부용외천리 1069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45.3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2801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남이면 부용외천리 1069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45.3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2801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남이면 부용외천리 254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67.09999999999999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607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중로한면</t>
        </is>
      </c>
    </row>
    <row r="854">
      <c r="A854" s="3" t="inlineStr">
        <is>
          <t>남이면 부용외천리 63-1</t>
        </is>
      </c>
      <c r="B854" s="3" t="inlineStr">
        <is>
          <t>계획관리지역</t>
        </is>
      </c>
      <c r="C854" s="3" t="inlineStr">
        <is>
          <t>창고용지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33.1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4923</v>
      </c>
      <c r="R854" s="3" t="inlineStr">
        <is>
          <t>지정되지않음</t>
        </is>
      </c>
      <c r="S854" s="3" t="inlineStr">
        <is>
          <t>주거기타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732-1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13.7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3538</v>
      </c>
      <c r="R855" s="3" t="inlineStr">
        <is>
          <t>지정되지않음</t>
        </is>
      </c>
      <c r="S855" s="3" t="inlineStr">
        <is>
          <t>전기타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825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39.6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2192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부용외천리 866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대</t>
        </is>
      </c>
      <c r="E857" s="3" t="inlineStr">
        <is>
          <t>매매</t>
        </is>
      </c>
      <c r="F857" s="4" t="n">
        <v>200000</v>
      </c>
      <c r="G857" s="4" t="n">
        <v>4423</v>
      </c>
      <c r="H857" s="4" t="n">
        <v>1338</v>
      </c>
      <c r="I857" s="5" t="n">
        <v>149.5</v>
      </c>
      <c r="J857" s="5" t="n">
        <v>37.3</v>
      </c>
      <c r="K857" s="3" t="inlineStr">
        <is>
          <t>남청주IC 삼거리 부근으로 접근성 좋고, 투자가치 좋은 부지</t>
        </is>
      </c>
      <c r="L857" s="6">
        <f>HYPERLINK("https://fin.land.naver.com/articles/2655436259", "매물Link")</f>
        <v/>
      </c>
      <c r="M857" s="6">
        <f>HYPERLINK("https://map.naver.com/p/search/남이면 부용외천리 866", "지도Link")</f>
        <v/>
      </c>
      <c r="N857" s="6">
        <f>HYPERLINK("http://www.eum.go.kr/web/ar/lu/luLandDet.jsp?pnu=4311231040108660000&amp;isNoScr=script&amp;mode=search", "토지이음")</f>
        <v/>
      </c>
      <c r="O857" s="3" t="inlineStr">
        <is>
          <t>(주)미르</t>
        </is>
      </c>
      <c r="P857" s="4" t="n">
        <v>1</v>
      </c>
      <c r="Q857" s="4" t="n">
        <v>1656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부용외천리 866-3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75.09999999999999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556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남이면 부용외천리 866-3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170000</v>
      </c>
      <c r="G859" s="4" t="n">
        <v>4410</v>
      </c>
      <c r="H859" s="4" t="n">
        <v>1334</v>
      </c>
      <c r="I859" s="5" t="n">
        <v>127.4</v>
      </c>
      <c r="J859" s="5" t="n">
        <v>75.09999999999999</v>
      </c>
      <c r="K859" s="3" t="inlineStr">
        <is>
          <t>남청주IC 인근 계획관리  공장 창고, 회사사옥 등 투자가치 높은땅</t>
        </is>
      </c>
      <c r="L859" s="6">
        <f>HYPERLINK("https://fin.land.naver.com/articles/2650688603", "매물Link")</f>
        <v/>
      </c>
      <c r="M859" s="6">
        <f>HYPERLINK("https://map.naver.com/p/search/남이면 부용외천리 866-3", "지도Link")</f>
        <v/>
      </c>
      <c r="N859" s="6">
        <f>HYPERLINK("http://www.eum.go.kr/web/ar/lu/luLandDet.jsp?pnu=4311231040108660003&amp;isNoScr=script&amp;mode=search",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556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부용외천리 90</t>
        </is>
      </c>
      <c r="B860" s="3" t="inlineStr">
        <is>
          <t>계획관리지역</t>
        </is>
      </c>
      <c r="C860" s="3" t="inlineStr">
        <is>
          <t>공장용지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37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221</v>
      </c>
      <c r="R860" s="3" t="inlineStr">
        <is>
          <t>지정되지않음</t>
        </is>
      </c>
      <c r="S860" s="3" t="inlineStr">
        <is>
          <t>공업용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남이면 부용외천리 산153-24</t>
        </is>
      </c>
      <c r="B861" s="3" t="inlineStr">
        <is>
          <t>계획관리지역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4.6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20281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부용외천리 산224-4</t>
        </is>
      </c>
      <c r="B862" s="3" t="inlineStr">
        <is>
          <t>생산관리지역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2.5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386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부용외천리 산32-1</t>
        </is>
      </c>
      <c r="B863" s="3" t="inlineStr">
        <is>
          <t>농림지역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1.5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23901</v>
      </c>
      <c r="R863" s="3" t="inlineStr">
        <is>
          <t>보전관리지역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남이면 비룡리 218-3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14.3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147</v>
      </c>
      <c r="R864" s="3" t="inlineStr">
        <is>
          <t>지정되지않음</t>
        </is>
      </c>
      <c r="S864" s="3" t="inlineStr">
        <is>
          <t>도로등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비룡리 32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15000</v>
      </c>
      <c r="G865" s="4" t="n">
        <v>2160</v>
      </c>
      <c r="H865" s="4" t="n">
        <v>653</v>
      </c>
      <c r="I865" s="5" t="n">
        <v>23</v>
      </c>
      <c r="J865" s="5" t="n">
        <v>10</v>
      </c>
      <c r="K865" s="3" t="inlineStr">
        <is>
          <t>공기좋은 비룡리토지 비닐하우스 안 컨테이너농막 풍부한지하수 주말농장추천</t>
        </is>
      </c>
      <c r="L865" s="6">
        <f>HYPERLINK("https://fin.land.naver.com/articles/2653069463", "매물Link")</f>
        <v/>
      </c>
      <c r="M865" s="6">
        <f>HYPERLINK("https://map.naver.com/p/search/남이면 비룡리 32", "지도Link")</f>
        <v/>
      </c>
      <c r="N865" s="6">
        <f>HYPERLINK("http://www.eum.go.kr/web/ar/lu/luLandDet.jsp?pnu=4311231026100320000&amp;isNoScr=script&amp;mode=search", "토지이음")</f>
        <v/>
      </c>
      <c r="O865" s="3" t="inlineStr">
        <is>
          <t>행복도시</t>
        </is>
      </c>
      <c r="P865" s="4" t="n">
        <v>2</v>
      </c>
      <c r="Q865" s="4" t="n">
        <v>2160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비룡리 325-3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4066</v>
      </c>
      <c r="H866" s="4" t="n">
        <v>1230</v>
      </c>
      <c r="I866" s="5" t="n">
        <v>150.4</v>
      </c>
      <c r="J866" s="5" t="n">
        <v>28.9</v>
      </c>
      <c r="K866" s="3" t="inlineStr">
        <is>
          <t>만땅 1230 p 개발행위 득한 도로접한 나대지 계획관리</t>
        </is>
      </c>
      <c r="L866" s="6">
        <f>HYPERLINK("https://fin.land.naver.com/articles/2654561971", "매물Link")</f>
        <v/>
      </c>
      <c r="M866" s="6">
        <f>HYPERLINK("https://map.naver.com/p/search/남이면 비룡리 325-3",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2630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비룡리 325-3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185000</v>
      </c>
      <c r="G867" s="4" t="n">
        <v>585</v>
      </c>
      <c r="H867" s="4" t="n">
        <v>177</v>
      </c>
      <c r="I867" s="5" t="n">
        <v>1045.2</v>
      </c>
      <c r="J867" s="5" t="n">
        <v>28.9</v>
      </c>
      <c r="K867" s="3" t="inlineStr">
        <is>
          <t>o사진o 계획관리 도로접한 공장용지</t>
        </is>
      </c>
      <c r="L867" s="6">
        <f>HYPERLINK("https://fin.land.naver.com/articles/2654399449", "매물Link")</f>
        <v/>
      </c>
      <c r="M867" s="6">
        <f>HYPERLINK("https://map.naver.com/p/search/남이면 비룡리 325-3", "지도Link")</f>
        <v/>
      </c>
      <c r="N867" s="6">
        <f>HYPERLINK("http://www.eum.go.kr/web/ar/lu/luLandDet.jsp?pnu=4311231026103250003&amp;isNoScr=script&amp;mode=search", "토지이음")</f>
        <v/>
      </c>
      <c r="O867" s="3" t="inlineStr">
        <is>
          <t>서초만땅</t>
        </is>
      </c>
      <c r="P867" s="4" t="n">
        <v>1</v>
      </c>
      <c r="Q867" s="4" t="n">
        <v>2630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비룡리 463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19.9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2441.7</v>
      </c>
      <c r="R868" s="3" t="inlineStr">
        <is>
          <t>농림지역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사동리 128-1</t>
        </is>
      </c>
      <c r="B869" s="3" t="inlineStr">
        <is>
          <t>보전녹지지역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17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250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산막리 247-1</t>
        </is>
      </c>
      <c r="B870" s="3" t="inlineStr">
        <is>
          <t>생산관리지역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12.3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1464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산막리 263-2</t>
        </is>
      </c>
      <c r="B871" s="3" t="inlineStr">
        <is>
          <t>생산관리지역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12.3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1326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남이면 산막리 37</t>
        </is>
      </c>
      <c r="B872" s="3" t="inlineStr">
        <is>
          <t>농림지역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8.800000000000001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414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남이면 산막리 52-2</t>
        </is>
      </c>
      <c r="B873" s="3" t="inlineStr">
        <is>
          <t>생산관리지역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16.5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980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세로한면(불)</t>
        </is>
      </c>
    </row>
    <row r="874">
      <c r="A874" s="3" t="inlineStr">
        <is>
          <t>남이면 상발리 108</t>
        </is>
      </c>
      <c r="B874" s="3" t="inlineStr">
        <is>
          <t>자연녹지지역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55090</v>
      </c>
      <c r="G874" s="4" t="n">
        <v>2603</v>
      </c>
      <c r="H874" s="4" t="n">
        <v>787</v>
      </c>
      <c r="I874" s="5" t="n">
        <v>70</v>
      </c>
      <c r="J874" s="5" t="n">
        <v>16.7</v>
      </c>
      <c r="K874" s="3" t="inlineStr">
        <is>
          <t>남이면 상발리 토지매매</t>
        </is>
      </c>
      <c r="L874" s="6">
        <f>HYPERLINK("https://fin.land.naver.com/articles/2655890805", "매물Link")</f>
        <v/>
      </c>
      <c r="M874" s="6">
        <f>HYPERLINK("https://map.naver.com/p/search/남이면 상발리 108",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탄탄</t>
        </is>
      </c>
      <c r="P874" s="4" t="n">
        <v>1</v>
      </c>
      <c r="Q874" s="4" t="n">
        <v>2603</v>
      </c>
      <c r="R874" s="3" t="inlineStr">
        <is>
          <t>보전녹지지역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상발리 108</t>
        </is>
      </c>
      <c r="B875" s="3" t="inlineStr">
        <is>
          <t>자연녹지지역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5" t="n">
        <v>16.7</v>
      </c>
      <c r="K875" s="3" t="inlineStr">
        <is>
          <t>상발리 도로 접한 토지</t>
        </is>
      </c>
      <c r="L875" s="6">
        <f>HYPERLINK("https://fin.land.naver.com/articles/2655671708", "매물Link")</f>
        <v/>
      </c>
      <c r="M875" s="6">
        <f>HYPERLINK("https://map.naver.com/p/search/남이면 상발리 108",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더원</t>
        </is>
      </c>
      <c r="P875" s="4" t="n">
        <v>5</v>
      </c>
      <c r="Q875" s="4" t="n">
        <v>2603</v>
      </c>
      <c r="R875" s="3" t="inlineStr">
        <is>
          <t>보전녹지지역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남이면 상발리 108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2603</v>
      </c>
      <c r="H876" s="4" t="n">
        <v>787</v>
      </c>
      <c r="I876" s="5" t="n">
        <v>69.90000000000001</v>
      </c>
      <c r="J876" s="5" t="n">
        <v>16.7</v>
      </c>
      <c r="K876" s="3" t="inlineStr">
        <is>
          <t>상발리 토지매매</t>
        </is>
      </c>
      <c r="L876" s="6">
        <f>HYPERLINK("https://fin.land.naver.com/articles/2653622570", "매물Link")</f>
        <v/>
      </c>
      <c r="M876" s="6">
        <f>HYPERLINK("https://map.naver.com/p/search/남이면 상발리 108",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2603</v>
      </c>
      <c r="R876" s="3" t="inlineStr">
        <is>
          <t>보전녹지지역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남이면 상발리 27-1</t>
        </is>
      </c>
      <c r="B877" s="3" t="inlineStr">
        <is>
          <t>자연녹지지역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37.7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990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남이면 상발리 산14-35</t>
        </is>
      </c>
      <c r="B878" s="3" t="inlineStr">
        <is>
          <t>보전녹지지역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2.9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660</v>
      </c>
      <c r="R878" s="3" t="inlineStr">
        <is>
          <t>지정되지않음</t>
        </is>
      </c>
      <c r="S878" s="3" t="inlineStr">
        <is>
          <t>임야기타</t>
        </is>
      </c>
      <c r="T878" s="3" t="inlineStr">
        <is>
          <t>급경사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222-2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43.6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2050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222-6</t>
        </is>
      </c>
      <c r="B880" s="3" t="inlineStr">
        <is>
          <t>자연녹지지역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94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976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남이면 석실리 261</t>
        </is>
      </c>
      <c r="B881" s="3" t="inlineStr">
        <is>
          <t>자연녹지지역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37.9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450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석실리 339-2</t>
        </is>
      </c>
      <c r="B882" s="3" t="inlineStr">
        <is>
          <t>자연녹지지역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101.7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873</v>
      </c>
      <c r="R882" s="3" t="inlineStr">
        <is>
          <t>지정되지않음</t>
        </is>
      </c>
      <c r="S882" s="3" t="inlineStr">
        <is>
          <t>공업용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352-3</t>
        </is>
      </c>
      <c r="B883" s="3" t="inlineStr">
        <is>
          <t>자연녹지지역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45.2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3300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248-1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23.1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1364.4</v>
      </c>
      <c r="R892" s="3" t="inlineStr">
        <is>
          <t>보전녹지지역</t>
        </is>
      </c>
      <c r="S892" s="3" t="inlineStr">
        <is>
          <t>전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석판리 26-1</t>
        </is>
      </c>
      <c r="B893" s="3" t="inlineStr">
        <is>
          <t>자연녹지지역</t>
        </is>
      </c>
      <c r="C893" s="3" t="inlineStr">
        <is>
          <t>잡종지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140.4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660</v>
      </c>
      <c r="R893" s="3" t="inlineStr">
        <is>
          <t>지정되지않음</t>
        </is>
      </c>
      <c r="S893" s="3" t="inlineStr">
        <is>
          <t>상업용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남이면 석판리 26-11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43.9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941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265-1</t>
        </is>
      </c>
      <c r="B895" s="3" t="inlineStr">
        <is>
          <t>자연녹지지역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50.2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2453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석판리 3-1</t>
        </is>
      </c>
      <c r="B896" s="3" t="inlineStr">
        <is>
          <t>자연녹지지역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210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1462</v>
      </c>
      <c r="R896" s="3" t="inlineStr">
        <is>
          <t>지정되지않음</t>
        </is>
      </c>
      <c r="S896" s="3" t="inlineStr">
        <is>
          <t>상업기타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중로한면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49.9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56.9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수대리 1-29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26500</v>
      </c>
      <c r="G901" s="4" t="n">
        <v>584</v>
      </c>
      <c r="H901" s="4" t="n">
        <v>177</v>
      </c>
      <c r="I901" s="5" t="n">
        <v>149.7</v>
      </c>
      <c r="J901" s="5" t="n">
        <v>69.2</v>
      </c>
      <c r="K901" s="3" t="inlineStr">
        <is>
          <t>단독주택지 한가운데 위치한 토지, 탁트인 뷰, 카페자리추천</t>
        </is>
      </c>
      <c r="L901" s="6">
        <f>HYPERLINK("https://fin.land.naver.com/articles/2655971304", "매물Link")</f>
        <v/>
      </c>
      <c r="M901" s="6">
        <f>HYPERLINK("https://map.naver.com/p/search/남이면 수대리 1-29",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584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수대리 1-29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42000</v>
      </c>
      <c r="G902" s="4" t="n">
        <v>1000</v>
      </c>
      <c r="H902" s="4" t="n">
        <v>302</v>
      </c>
      <c r="I902" s="5" t="n">
        <v>139.1</v>
      </c>
      <c r="J902" s="5" t="n">
        <v>69.2</v>
      </c>
      <c r="K902" s="3" t="inlineStr">
        <is>
          <t>남이면수대리위치좋은토지저렴하게매매,금액협의</t>
        </is>
      </c>
      <c r="L902" s="6">
        <f>HYPERLINK("https://fin.land.naver.com/articles/2653463929", "매물Link")</f>
        <v/>
      </c>
      <c r="M902" s="6">
        <f>HYPERLINK("https://map.naver.com/p/search/남이면 수대리 1-29",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금호스마트</t>
        </is>
      </c>
      <c r="P902" s="4" t="n">
        <v>1</v>
      </c>
      <c r="Q902" s="4" t="n">
        <v>584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수대리 11</t>
        </is>
      </c>
      <c r="B903" s="3" t="inlineStr">
        <is>
          <t>자연녹지지역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66000</v>
      </c>
      <c r="G903" s="4" t="n">
        <v>731</v>
      </c>
      <c r="H903" s="4" t="n">
        <v>221</v>
      </c>
      <c r="I903" s="5" t="n">
        <v>298.6</v>
      </c>
      <c r="J903" s="5" t="n">
        <v>60.8</v>
      </c>
      <c r="K903" s="3" t="inlineStr">
        <is>
          <t>남이면 수대리 대로변 자연녹지 매매 창고 근생 자동차관련등 추천</t>
        </is>
      </c>
      <c r="L903" s="6">
        <f>HYPERLINK("https://fin.land.naver.com/articles/2654131214", "매물Link")</f>
        <v/>
      </c>
      <c r="M903" s="6">
        <f>HYPERLINK("https://map.naver.com/p/search/남이면 수대리 11", "지도Link")</f>
        <v/>
      </c>
      <c r="N903" s="6">
        <f>HYPERLINK("http://www.eum.go.kr/web/ar/lu/luLandDet.jsp?pnu=4311231039100110000&amp;isNoScr=script&amp;mode=search", "토지이음")</f>
        <v/>
      </c>
      <c r="O903" s="3" t="inlineStr">
        <is>
          <t>그린</t>
        </is>
      </c>
      <c r="P903" s="4" t="n">
        <v>1</v>
      </c>
      <c r="Q903" s="4" t="n">
        <v>560</v>
      </c>
      <c r="R903" s="3" t="inlineStr">
        <is>
          <t>지정되지않음</t>
        </is>
      </c>
      <c r="S903" s="3" t="inlineStr">
        <is>
          <t>전기타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중로한면</t>
        </is>
      </c>
    </row>
    <row r="904">
      <c r="A904" s="3" t="inlineStr">
        <is>
          <t>남이면 수대리 11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66000</v>
      </c>
      <c r="G904" s="4" t="n">
        <v>731</v>
      </c>
      <c r="H904" s="4" t="n">
        <v>221</v>
      </c>
      <c r="I904" s="5" t="n">
        <v>298.6</v>
      </c>
      <c r="J904" s="5" t="n">
        <v>60.8</v>
      </c>
      <c r="K904" s="3" t="inlineStr">
        <is>
          <t>4차로변 광고효과 탁월, 상가건물 추천</t>
        </is>
      </c>
      <c r="L904" s="6">
        <f>HYPERLINK("https://fin.land.naver.com/articles/2655630670", "매물Link")</f>
        <v/>
      </c>
      <c r="M904" s="6">
        <f>HYPERLINK("https://map.naver.com/p/search/남이면 수대리 11", "지도Link")</f>
        <v/>
      </c>
      <c r="N904" s="6">
        <f>HYPERLINK("http://www.eum.go.kr/web/ar/lu/luLandDet.jsp?pnu=4311231039100110000&amp;isNoScr=script&amp;mode=search", "토지이음")</f>
        <v/>
      </c>
      <c r="O904" s="3" t="inlineStr">
        <is>
          <t>정민</t>
        </is>
      </c>
      <c r="P904" s="4" t="n">
        <v>1</v>
      </c>
      <c r="Q904" s="4" t="n">
        <v>560</v>
      </c>
      <c r="R904" s="3" t="inlineStr">
        <is>
          <t>지정되지않음</t>
        </is>
      </c>
      <c r="S904" s="3" t="inlineStr">
        <is>
          <t>전기타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중로한면</t>
        </is>
      </c>
    </row>
    <row r="905">
      <c r="A905" s="3" t="inlineStr">
        <is>
          <t>남이면 수대리 114-7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13000</v>
      </c>
      <c r="G905" s="4" t="n">
        <v>508</v>
      </c>
      <c r="H905" s="4" t="n">
        <v>154</v>
      </c>
      <c r="I905" s="5" t="n">
        <v>84.40000000000001</v>
      </c>
      <c r="J905" s="5" t="n">
        <v>25.3</v>
      </c>
      <c r="K905" s="3" t="inlineStr">
        <is>
          <t>도심근교  주말쉼터 , 세컨하우스 좋은곳임.</t>
        </is>
      </c>
      <c r="L905" s="6">
        <f>HYPERLINK("https://fin.land.naver.com/articles/2651814384", "매물Link")</f>
        <v/>
      </c>
      <c r="M905" s="6">
        <f>HYPERLINK("https://map.naver.com/p/search/남이면 수대리 114-7", "지도Link")</f>
        <v/>
      </c>
      <c r="N905" s="6">
        <f>HYPERLINK("http://www.eum.go.kr/web/ar/lu/luLandDet.jsp?pnu=4311231039101140007&amp;isNoScr=script&amp;mode=search", "토지이음")</f>
        <v/>
      </c>
      <c r="O905" s="3" t="inlineStr">
        <is>
          <t>포시즌</t>
        </is>
      </c>
      <c r="P905" s="4" t="n">
        <v>2</v>
      </c>
      <c r="Q905" s="4" t="n">
        <v>445.3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115-6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80200</v>
      </c>
      <c r="G906" s="4" t="n">
        <v>2283</v>
      </c>
      <c r="H906" s="4" t="n">
        <v>691</v>
      </c>
      <c r="I906" s="5" t="n">
        <v>116.1</v>
      </c>
      <c r="J906" s="5" t="n">
        <v>28.8</v>
      </c>
      <c r="K906" s="3" t="inlineStr">
        <is>
          <t>수대리 진입도로있음 산 밑햇볕잘들고 현재 비닐하우스농장으로사용중</t>
        </is>
      </c>
      <c r="L906" s="6">
        <f>HYPERLINK("https://fin.land.naver.com/articles/2655766450", "매물Link")</f>
        <v/>
      </c>
      <c r="M906" s="6">
        <f>HYPERLINK("https://map.naver.com/p/search/남이면 수대리 115-6", "지도Link")</f>
        <v/>
      </c>
      <c r="N906" s="6">
        <f>HYPERLINK("http://www.eum.go.kr/web/ar/lu/luLandDet.jsp?pnu=4311231039101150006&amp;isNoScr=script&amp;mode=search", "토지이음")</f>
        <v/>
      </c>
      <c r="O906" s="3" t="inlineStr">
        <is>
          <t>건우다솔무소</t>
        </is>
      </c>
      <c r="P906" s="4" t="n">
        <v>1</v>
      </c>
      <c r="Q906" s="4" t="n">
        <v>2283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수대리 170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22.4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1785</v>
      </c>
      <c r="R907" s="3" t="inlineStr">
        <is>
          <t>보전녹지지역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남이면 수대리 186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32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3233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20-1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38.3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1831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남이면 수대리 229-1</t>
        </is>
      </c>
      <c r="B910" s="3" t="inlineStr">
        <is>
          <t>보전녹지지역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3.2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3933</v>
      </c>
      <c r="R910" s="3" t="inlineStr">
        <is>
          <t>자연녹지지역</t>
        </is>
      </c>
      <c r="S910" s="3" t="inlineStr">
        <is>
          <t>자연림</t>
        </is>
      </c>
      <c r="T910" s="3" t="inlineStr">
        <is>
          <t>급경사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수대리 25-1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25.3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2988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282-1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37.1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1622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수대리 95-2</t>
        </is>
      </c>
      <c r="B913" s="3" t="inlineStr">
        <is>
          <t>자연녹지지역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20.4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660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남이면 수대리 산26-1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2.6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3361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남이면 수대리 산4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4.1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5157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양촌리 125-3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140000</v>
      </c>
      <c r="G916" s="4" t="n">
        <v>2099</v>
      </c>
      <c r="H916" s="4" t="n">
        <v>635</v>
      </c>
      <c r="I916" s="5" t="n">
        <v>220.5</v>
      </c>
      <c r="J916" s="5" t="n">
        <v>56.6</v>
      </c>
      <c r="K916" s="3" t="inlineStr">
        <is>
          <t>청주시내 접근성 좋은 남이면 양촌리 근생으로 개발하면 좋을 토지매매</t>
        </is>
      </c>
      <c r="L916" s="6">
        <f>HYPERLINK("https://fin.land.naver.com/articles/2655718663", "매물Link")</f>
        <v/>
      </c>
      <c r="M916" s="6">
        <f>HYPERLINK("https://map.naver.com/p/search/남이면 양촌리 125-3", "지도Link")</f>
        <v/>
      </c>
      <c r="N916" s="6">
        <f>HYPERLINK("http://www.eum.go.kr/web/ar/lu/luLandDet.jsp?pnu=4311231037101250003&amp;isNoScr=script&amp;mode=search",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2099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양촌리 152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168000</v>
      </c>
      <c r="G917" s="4" t="n">
        <v>5293</v>
      </c>
      <c r="H917" s="4" t="n">
        <v>1601</v>
      </c>
      <c r="I917" s="5" t="n">
        <v>104.9</v>
      </c>
      <c r="J917" s="5" t="n">
        <v>65.40000000000001</v>
      </c>
      <c r="K917" s="3" t="inlineStr">
        <is>
          <t>3차 우회도로 인근 공장 및 창고부지로 추천함</t>
        </is>
      </c>
      <c r="L917" s="6">
        <f>HYPERLINK("https://fin.land.naver.com/articles/2651557248", "매물Link")</f>
        <v/>
      </c>
      <c r="M917" s="6">
        <f>HYPERLINK("https://map.naver.com/p/search/남이면 양촌리 152", "지도Link")</f>
        <v/>
      </c>
      <c r="N917" s="6">
        <f>HYPERLINK("http://www.eum.go.kr/web/ar/lu/luLandDet.jsp?pnu=4311231037101520000&amp;isNoScr=script&amp;mode=search",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2302</v>
      </c>
      <c r="R917" s="3" t="inlineStr">
        <is>
          <t>지정되지않음</t>
        </is>
      </c>
      <c r="S917" s="3" t="inlineStr">
        <is>
          <t>주거기타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남이면 양촌리 165</t>
        </is>
      </c>
      <c r="B918" s="3" t="inlineStr">
        <is>
          <t>자연녹지지역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12000</v>
      </c>
      <c r="G918" s="4" t="n">
        <v>394</v>
      </c>
      <c r="H918" s="4" t="n">
        <v>119</v>
      </c>
      <c r="I918" s="5" t="n">
        <v>100.8</v>
      </c>
      <c r="J918" s="5" t="n">
        <v>36.1</v>
      </c>
      <c r="K918" s="3" t="inlineStr">
        <is>
          <t>청주 도심 접근성이 뛰어나고 장기적 투자 가치 잠재력이 우수함</t>
        </is>
      </c>
      <c r="L918" s="6">
        <f>HYPERLINK("https://fin.land.naver.com/articles/2655757933", "매물Link")</f>
        <v/>
      </c>
      <c r="M918" s="6">
        <f>HYPERLINK("https://map.naver.com/p/search/남이면 양촌리 165", "지도Link")</f>
        <v/>
      </c>
      <c r="N918" s="6">
        <f>HYPERLINK("http://www.eum.go.kr/web/ar/lu/luLandDet.jsp?pnu=4311231037101650000&amp;isNoScr=script&amp;mode=search", "토지이음")</f>
        <v/>
      </c>
      <c r="O918" s="3" t="inlineStr">
        <is>
          <t>신영</t>
        </is>
      </c>
      <c r="P918" s="4" t="n">
        <v>2</v>
      </c>
      <c r="Q918" s="4" t="n">
        <v>394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268-6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70000</v>
      </c>
      <c r="G919" s="4" t="n">
        <v>626</v>
      </c>
      <c r="H919" s="4" t="n">
        <v>189</v>
      </c>
      <c r="I919" s="5" t="n">
        <v>370.4</v>
      </c>
      <c r="J919" s="5" t="n">
        <v>133.1</v>
      </c>
      <c r="K919" s="3" t="inlineStr">
        <is>
          <t>양촌카플주차장 인근, 인접토지건물 연계 매매23억원, 가격 절충</t>
        </is>
      </c>
      <c r="L919" s="6">
        <f>HYPERLINK("https://fin.land.naver.com/articles/2653650190", "매물Link")</f>
        <v/>
      </c>
      <c r="M919" s="6">
        <f>HYPERLINK("https://map.naver.com/p/search/남이면 양촌리 268-6", "지도Link")</f>
        <v/>
      </c>
      <c r="N919" s="6">
        <f>HYPERLINK("http://www.eum.go.kr/web/ar/lu/luLandDet.jsp?pnu=4311231037102680006&amp;isNoScr=script&amp;mode=search", "토지이음")</f>
        <v/>
      </c>
      <c r="O919" s="3" t="inlineStr">
        <is>
          <t>라인</t>
        </is>
      </c>
      <c r="P919" s="4" t="n">
        <v>1</v>
      </c>
      <c r="Q919" s="4" t="n">
        <v>626</v>
      </c>
      <c r="R919" s="3" t="inlineStr">
        <is>
          <t>지정되지않음</t>
        </is>
      </c>
      <c r="S919" s="3" t="inlineStr">
        <is>
          <t>상업용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양촌리 314-2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44000</v>
      </c>
      <c r="G920" s="4" t="n">
        <v>969</v>
      </c>
      <c r="H920" s="4" t="n">
        <v>293</v>
      </c>
      <c r="I920" s="5" t="n">
        <v>150.2</v>
      </c>
      <c r="J920" s="5" t="n">
        <v>68.8</v>
      </c>
      <c r="K920" s="3" t="inlineStr">
        <is>
          <t>도로접한 전원주택지 매매</t>
        </is>
      </c>
      <c r="L920" s="6">
        <f>HYPERLINK("https://fin.land.naver.com/articles/2654796113", "매물Link")</f>
        <v/>
      </c>
      <c r="M920" s="6">
        <f>HYPERLINK("https://map.naver.com/p/search/남이면 양촌리 314-2", "지도Link")</f>
        <v/>
      </c>
      <c r="N920" s="6">
        <f>HYPERLINK("http://www.eum.go.kr/web/ar/lu/luLandDet.jsp?pnu=4311231037103140002&amp;isNoScr=script&amp;mode=search", "토지이음")</f>
        <v/>
      </c>
      <c r="O920" s="3" t="inlineStr">
        <is>
          <t>원탑</t>
        </is>
      </c>
      <c r="P920" s="4" t="n">
        <v>1</v>
      </c>
      <c r="Q920" s="4" t="n">
        <v>969</v>
      </c>
      <c r="R920" s="3" t="inlineStr">
        <is>
          <t>보전녹지지역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317-2</t>
        </is>
      </c>
      <c r="B921" s="3" t="inlineStr">
        <is>
          <t>자연녹지지역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53000</v>
      </c>
      <c r="G921" s="4" t="n">
        <v>1309</v>
      </c>
      <c r="H921" s="4" t="n">
        <v>396</v>
      </c>
      <c r="I921" s="5" t="n">
        <v>133.8</v>
      </c>
      <c r="J921" s="5" t="n">
        <v>48.1</v>
      </c>
      <c r="K921" s="3" t="inlineStr">
        <is>
          <t>남이면 양촌리 도로 접한 자연녹지 밭 매매 창고.근생등 추천</t>
        </is>
      </c>
      <c r="L921" s="6">
        <f>HYPERLINK("https://fin.land.naver.com/articles/2651924628", "매물Link")</f>
        <v/>
      </c>
      <c r="M921" s="6">
        <f>HYPERLINK("https://map.naver.com/p/search/남이면 양촌리 317-2", "지도Link")</f>
        <v/>
      </c>
      <c r="N921" s="6">
        <f>HYPERLINK("http://www.eum.go.kr/web/ar/lu/luLandDet.jsp?pnu=4311231037103170002&amp;isNoScr=script&amp;mode=search", "토지이음")</f>
        <v/>
      </c>
      <c r="O921" s="3" t="inlineStr">
        <is>
          <t>그린</t>
        </is>
      </c>
      <c r="P921" s="4" t="n">
        <v>1</v>
      </c>
      <c r="Q921" s="4" t="n">
        <v>1309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373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71000</v>
      </c>
      <c r="G922" s="4" t="n">
        <v>1993</v>
      </c>
      <c r="H922" s="4" t="n">
        <v>603</v>
      </c>
      <c r="I922" s="5" t="n">
        <v>117.7</v>
      </c>
      <c r="J922" s="5" t="n">
        <v>52.3</v>
      </c>
      <c r="K922" s="3" t="inlineStr">
        <is>
          <t>3순환로 인접  정남향 토지로 활용도 좋은 저렴한토지</t>
        </is>
      </c>
      <c r="L922" s="6">
        <f>HYPERLINK("https://fin.land.naver.com/articles/2655210050", "매물Link")</f>
        <v/>
      </c>
      <c r="M922" s="6">
        <f>HYPERLINK("https://map.naver.com/p/search/남이면 양촌리 373", "지도Link")</f>
        <v/>
      </c>
      <c r="N922" s="6">
        <f>HYPERLINK("http://www.eum.go.kr/web/ar/lu/luLandDet.jsp?pnu=4311231037103730000&amp;isNoScr=script&amp;mode=search", "토지이음")</f>
        <v/>
      </c>
      <c r="O922" s="3" t="inlineStr">
        <is>
          <t>청주원</t>
        </is>
      </c>
      <c r="P922" s="4" t="n">
        <v>1</v>
      </c>
      <c r="Q922" s="4" t="n">
        <v>1993</v>
      </c>
      <c r="R922" s="3" t="inlineStr">
        <is>
          <t>보전녹지지역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395-1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5" t="n">
        <v>42.1</v>
      </c>
      <c r="K923" s="3" t="inlineStr">
        <is>
          <t>남향토지로 접근성 우수</t>
        </is>
      </c>
      <c r="L923" s="6">
        <f>HYPERLINK("https://fin.land.naver.com/articles/2651705474", "매물Link")</f>
        <v/>
      </c>
      <c r="M923" s="6">
        <f>HYPERLINK("https://map.naver.com/p/search/남이면 양촌리 395-1", "지도Link")</f>
        <v/>
      </c>
      <c r="N923" s="6">
        <f>HYPERLINK("http://www.eum.go.kr/web/ar/lu/luLandDet.jsp?pnu=4311231037103950001&amp;isNoScr=script&amp;mode=search", "토지이음")</f>
        <v/>
      </c>
      <c r="O923" s="3" t="inlineStr">
        <is>
          <t>터사랑</t>
        </is>
      </c>
      <c r="P923" s="4" t="n">
        <v>1</v>
      </c>
      <c r="Q923" s="4" t="n">
        <v>684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417-3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30.3</v>
      </c>
      <c r="K924" s="3" t="inlineStr">
        <is>
          <t>8m 아스팔트 포장도로에 접한 토지. 용도 다양함</t>
        </is>
      </c>
      <c r="L924" s="6">
        <f>HYPERLINK("https://fin.land.naver.com/articles/2655210508", "매물Link")</f>
        <v/>
      </c>
      <c r="M924" s="6">
        <f>HYPERLINK("https://map.naver.com/p/search/남이면 양촌리 417-3", "지도Link")</f>
        <v/>
      </c>
      <c r="N924" s="6">
        <f>HYPERLINK("http://www.eum.go.kr/web/ar/lu/luLandDet.jsp?pnu=4311231037104170003&amp;isNoScr=script&amp;mode=search",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1088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남이면 양촌리 419-4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220000</v>
      </c>
      <c r="G925" s="4" t="n">
        <v>4540</v>
      </c>
      <c r="H925" s="4" t="n">
        <v>1373</v>
      </c>
      <c r="I925" s="5" t="n">
        <v>160.2</v>
      </c>
      <c r="J925" s="5" t="n">
        <v>37.5</v>
      </c>
      <c r="K925" s="3" t="inlineStr">
        <is>
          <t>제2종근생 허가득,토목공사 완료,오폐수직관,3순환로인접,공장 음식점</t>
        </is>
      </c>
      <c r="L925" s="6">
        <f>HYPERLINK("https://fin.land.naver.com/articles/2651557955", "매물Link")</f>
        <v/>
      </c>
      <c r="M925" s="6">
        <f>HYPERLINK("https://map.naver.com/p/search/남이면 양촌리 419-4",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라인</t>
        </is>
      </c>
      <c r="P925" s="4" t="n">
        <v>1</v>
      </c>
      <c r="Q925" s="4" t="n">
        <v>911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419-4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234000</v>
      </c>
      <c r="G926" s="4" t="n">
        <v>4829</v>
      </c>
      <c r="H926" s="4" t="n">
        <v>1461</v>
      </c>
      <c r="I926" s="5" t="n">
        <v>160.2</v>
      </c>
      <c r="J926" s="5" t="n">
        <v>37.5</v>
      </c>
      <c r="K926" s="3" t="inlineStr">
        <is>
          <t>8m도로접, 제2종근생 제조압 허가득, 토목공사 완료</t>
        </is>
      </c>
      <c r="L926" s="6">
        <f>HYPERLINK("https://fin.land.naver.com/articles/2654897282", "매물Link")</f>
        <v/>
      </c>
      <c r="M926" s="6">
        <f>HYPERLINK("https://map.naver.com/p/search/남이면 양촌리 419-4", "지도Link")</f>
        <v/>
      </c>
      <c r="N926" s="6">
        <f>HYPERLINK("http://www.eum.go.kr/web/ar/lu/luLandDet.jsp?pnu=4311231037104190004&amp;isNoScr=script&amp;mode=search", "토지이음")</f>
        <v/>
      </c>
      <c r="O926" s="3" t="inlineStr">
        <is>
          <t>플러스자이합동</t>
        </is>
      </c>
      <c r="P926" s="4" t="n">
        <v>1</v>
      </c>
      <c r="Q926" s="4" t="n">
        <v>911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53-69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103.6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685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양촌리 53-96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43.5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맹지</t>
        </is>
      </c>
    </row>
    <row r="929">
      <c r="A929" s="3" t="inlineStr">
        <is>
          <t>남이면 양촌리 산12-5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3.5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1910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산8-26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74.3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388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외천리 121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18.5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2280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남이면 외천리 276-2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30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384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외천리 276-2</t>
        </is>
      </c>
      <c r="B933" s="3" t="inlineStr">
        <is>
          <t>계획관리지역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30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384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외천리 276-2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30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384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외천리 296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55.7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620</v>
      </c>
      <c r="R935" s="3" t="inlineStr">
        <is>
          <t>지정되지않음</t>
        </is>
      </c>
      <c r="S935" s="3" t="inlineStr">
        <is>
          <t>단독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세로각지(가)</t>
        </is>
      </c>
    </row>
    <row r="936">
      <c r="A936" s="3" t="inlineStr">
        <is>
          <t>남이면 외천리 296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55.7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620</v>
      </c>
      <c r="R936" s="3" t="inlineStr">
        <is>
          <t>지정되지않음</t>
        </is>
      </c>
      <c r="S936" s="3" t="inlineStr">
        <is>
          <t>단독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세로각지(가)</t>
        </is>
      </c>
    </row>
    <row r="937">
      <c r="A937" s="3" t="inlineStr">
        <is>
          <t>남이면 외천리 296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55.7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620</v>
      </c>
      <c r="R937" s="3" t="inlineStr">
        <is>
          <t>지정되지않음</t>
        </is>
      </c>
      <c r="S937" s="3" t="inlineStr">
        <is>
          <t>단독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세로각지(가)</t>
        </is>
      </c>
    </row>
    <row r="938">
      <c r="A938" s="3" t="inlineStr">
        <is>
          <t>남이면 외천리 37-5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34.8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2790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외천리 428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16.4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1613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외천리 93-3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61.2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766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척북리 74-2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35.2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2268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남이면 척산리 241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26.4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3678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척산리 497-1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42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1544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척산리 528-4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54.9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635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척산리 693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11.9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1785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척산리 79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12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2188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척산리 산117-1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5.7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9534</v>
      </c>
      <c r="R947" s="3" t="inlineStr">
        <is>
          <t>계획관리지역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세로한면(불)</t>
        </is>
      </c>
    </row>
    <row r="948">
      <c r="A948" s="3" t="inlineStr">
        <is>
          <t>남이면 척산리 산92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5" t="n">
        <v>3.2</v>
      </c>
      <c r="K948" s="3" t="inlineStr">
        <is>
          <t>남이면 척산리 토목완료 임야 연접2필지 7,008㎡ 5억9천만원</t>
        </is>
      </c>
      <c r="L948" s="6">
        <f>HYPERLINK("https://fin.land.naver.com/articles/2656028574", "매물Link")</f>
        <v/>
      </c>
      <c r="M948" s="6">
        <f>HYPERLINK("https://map.naver.com/p/search/남이면 척산리 산92",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4400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척산리 산92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5" t="n">
        <v>3.2</v>
      </c>
      <c r="K949" s="3" t="inlineStr">
        <is>
          <t>도로접한 임야 매매 합니다</t>
        </is>
      </c>
      <c r="L949" s="6">
        <f>HYPERLINK("https://fin.land.naver.com/articles/2651026639", "매물Link")</f>
        <v/>
      </c>
      <c r="M949" s="6">
        <f>HYPERLINK("https://map.naver.com/p/search/남이면 척산리 산92",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수피아</t>
        </is>
      </c>
      <c r="P949" s="4" t="n">
        <v>1</v>
      </c>
      <c r="Q949" s="4" t="n">
        <v>4400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남이면 팔봉리 101-3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22.4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1775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팔봉리 122-1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25.2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793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팔봉리 264-5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20.4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1874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남이면 팔봉리 264-5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20.4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1874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남이면 팔봉리 329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20.4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591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남이면 팔봉리 376-1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17.4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1544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팔봉리 51-11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50.2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732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팔봉리 산22-11</t>
        </is>
      </c>
      <c r="B957" s="3" t="inlineStr">
        <is>
          <t>보전녹지지역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41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650</v>
      </c>
      <c r="R957" s="3" t="inlineStr">
        <is>
          <t>자연녹지지역</t>
        </is>
      </c>
      <c r="S957" s="3" t="inlineStr">
        <is>
          <t>주거나지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세로각지(가)</t>
        </is>
      </c>
    </row>
    <row r="958">
      <c r="A958" s="3" t="inlineStr">
        <is>
          <t>남이면 팔봉리 산40-16</t>
        </is>
      </c>
      <c r="B958" s="3" t="inlineStr">
        <is>
          <t>보전녹지지역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1.7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35282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다정동 641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급매 추가조율가능 161.5p 공원접함 프라이버시최상</t>
        </is>
      </c>
      <c r="L960" s="6">
        <f>HYPERLINK("https://fin.land.naver.com/articles/2654659639", "매물Link")</f>
        <v/>
      </c>
      <c r="M960" s="6">
        <f>HYPERLINK("https://map.naver.com/p/search/다정동 643",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세종스타</t>
        </is>
      </c>
      <c r="P960" s="4" t="n">
        <v>2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다정동에서 귀한 정남향 택지 I 공원을 크게 품은 지</t>
        </is>
      </c>
      <c r="L962" s="6">
        <f>HYPERLINK("https://fin.land.naver.com/articles/2655943140", "매물Link")</f>
        <v/>
      </c>
      <c r="M962" s="6">
        <f>HYPERLINK("https://map.naver.com/p/search/다정동 651",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세종신한</t>
        </is>
      </c>
      <c r="P962" s="4" t="n">
        <v>3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총 90.9p, 다정동 조용한 단독주택지, 정남향</t>
        </is>
      </c>
      <c r="L964" s="6">
        <f>HYPERLINK("https://fin.land.naver.com/articles/2652842480", "매물Link")</f>
        <v/>
      </c>
      <c r="M964" s="6">
        <f>HYPERLINK("https://map.naver.com/p/search/다정동 651",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코너 택지 개방감 일조권 확보 I 정부세종청사 세종호수공원 차량 10</t>
        </is>
      </c>
      <c r="L975" s="6">
        <f>HYPERLINK("https://fin.land.naver.com/articles/2655996250", "매물Link")</f>
        <v/>
      </c>
      <c r="M975" s="6">
        <f>HYPERLINK("https://map.naver.com/p/search/다정동 729",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세종신한</t>
        </is>
      </c>
      <c r="P975" s="4" t="n">
        <v>2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5" t="n">
        <v>326</v>
      </c>
      <c r="K978" s="3" t="inlineStr">
        <is>
          <t>코너자리 위치 좋음, 넓은토지</t>
        </is>
      </c>
      <c r="L978" s="6">
        <f>HYPERLINK("https://fin.land.naver.com/articles/2654222787", "매물Link")</f>
        <v/>
      </c>
      <c r="M978" s="6">
        <f>HYPERLINK("https://map.naver.com/p/search/다정동 756",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5" t="n">
        <v>326</v>
      </c>
      <c r="K979" s="3" t="inlineStr">
        <is>
          <t>다정동 조용한 위치 단독주택 매매, 코너위치</t>
        </is>
      </c>
      <c r="L979" s="6">
        <f>HYPERLINK("https://fin.land.naver.com/articles/2650890648", "매물Link")</f>
        <v/>
      </c>
      <c r="M979" s="6">
        <f>HYPERLINK("https://map.naver.com/p/search/다정동 756",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5" t="n">
        <v>304.6</v>
      </c>
      <c r="K983" s="3" t="inlineStr">
        <is>
          <t>다정동 접근성 좋은 주택지 매매</t>
        </is>
      </c>
      <c r="L983" s="6">
        <f>HYPERLINK("https://fin.land.naver.com/articles/2652651256", "매물Link")</f>
        <v/>
      </c>
      <c r="M983" s="6">
        <f>HYPERLINK("https://map.naver.com/p/search/다정동 772",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태양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총 95.5p, 조율가능, 다정동 단독주택지</t>
        </is>
      </c>
      <c r="L997" s="6">
        <f>HYPERLINK("https://fin.land.naver.com/articles/2654703670",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nan</t>
        </is>
      </c>
      <c r="L999" s="6">
        <f>HYPERLINK("https://fin.land.naver.com/articles/2655007233",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5" t="n">
        <v>318.9</v>
      </c>
      <c r="K1004" s="3" t="inlineStr">
        <is>
          <t>급매 조율가능 조용한 선호하는 안쪽위치</t>
        </is>
      </c>
      <c r="L1004" s="6">
        <f>HYPERLINK("https://fin.land.naver.com/articles/2652419011",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세종 다정동 단독주택 부지로 주목할 대지 매매</t>
        </is>
      </c>
      <c r="L1007" s="6">
        <f>HYPERLINK("https://fin.land.naver.com/articles/2654266239",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nan</t>
        </is>
      </c>
      <c r="L1022" s="6">
        <f>HYPERLINK("https://fin.land.naver.com/articles/2652567664", "매물Link")</f>
        <v/>
      </c>
      <c r="M1022" s="6">
        <f>HYPERLINK("https://map.naver.com/p/search/도담동 419",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진달래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99.1p, 도담동 말발굽 토지, 공원 보행로 접해 있음</t>
        </is>
      </c>
      <c r="L1023" s="6">
        <f>HYPERLINK("https://fin.land.naver.com/articles/2653565954",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조율가능 반원호내 좋은위치</t>
        </is>
      </c>
      <c r="L1028" s="6">
        <f>HYPERLINK("https://fin.land.naver.com/articles/2654855310", "매물Link")</f>
        <v/>
      </c>
      <c r="M1028" s="6">
        <f>HYPERLINK("https://map.naver.com/p/search/도담동 455",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5" t="n">
        <v>366.9</v>
      </c>
      <c r="K1031" s="3" t="inlineStr">
        <is>
          <t>양지초 양지유치원 정문 건너편 최선호 위치 주변시세보다 저렴 추천매물</t>
        </is>
      </c>
      <c r="L1031" s="6">
        <f>HYPERLINK("https://fin.land.naver.com/articles/2656123728", "매물Link")</f>
        <v/>
      </c>
      <c r="M1031" s="6">
        <f>HYPERLINK("https://map.naver.com/p/search/도담동 546",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도담동 택지. 초등학교,충남대병원 가까운거리 위치</t>
        </is>
      </c>
      <c r="L1032" s="6">
        <f>HYPERLINK("https://fin.land.naver.com/articles/2650945757", "매물Link")</f>
        <v/>
      </c>
      <c r="M1032" s="6">
        <f>HYPERLINK("https://map.naver.com/p/search/도담동 546",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OK세종 사무소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산조망 코너각지 정남향 입지최상</t>
        </is>
      </c>
      <c r="L1048" s="6">
        <f>HYPERLINK("https://fin.land.naver.com/articles/2656123691", "매물Link")</f>
        <v/>
      </c>
      <c r="M1048" s="6">
        <f>HYPERLINK("https://map.naver.com/p/search/도담동 712",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삼거리 코너 입지, 도담동 단독주택 매매</t>
        </is>
      </c>
      <c r="L1049" s="6">
        <f>HYPERLINK("https://fin.land.naver.com/articles/2654218536", "매물Link")</f>
        <v/>
      </c>
      <c r="M1049" s="6">
        <f>HYPERLINK("https://map.naver.com/p/search/도담동 712",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입지 좋은 도담동 근린생활용지 토지 매매, 대로변</t>
        </is>
      </c>
      <c r="L1052" s="6">
        <f>HYPERLINK("https://fin.land.naver.com/articles/2655487648", "매물Link")</f>
        <v/>
      </c>
      <c r="M1052" s="6">
        <f>HYPERLINK("https://map.naver.com/p/search/도담동 716",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도담동 입지우수한 근생 용지 부지, 매매의사 확실,가격조율가능</t>
        </is>
      </c>
      <c r="L1053" s="6">
        <f>HYPERLINK("https://fin.land.naver.com/articles/2653451371", "매물Link")</f>
        <v/>
      </c>
      <c r="M1053" s="6">
        <f>HYPERLINK("https://map.naver.com/p/search/도담동 716",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짱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코너 유치원 홈플러스 늘봄초인근 조율가능</t>
        </is>
      </c>
      <c r="L1064" s="6">
        <f>HYPERLINK("https://fin.land.naver.com/articles/2655236017", "매물Link")</f>
        <v/>
      </c>
      <c r="M1064" s="6">
        <f>HYPERLINK("https://map.naver.com/p/search/도담동 784",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5" t="n">
        <v>391.1</v>
      </c>
      <c r="K1070" s="3" t="inlineStr">
        <is>
          <t>도담동 위치 좋은 단독주택, 홈플러스 인근</t>
        </is>
      </c>
      <c r="L1070" s="6">
        <f>HYPERLINK("https://fin.land.naver.com/articles/2650892389", "매물Link")</f>
        <v/>
      </c>
      <c r="M1070" s="6">
        <f>HYPERLINK("https://map.naver.com/p/search/도담동 837",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5" t="n">
        <v>391.1</v>
      </c>
      <c r="K1072" s="3" t="inlineStr">
        <is>
          <t>강추매물, 가격좋은 토지, 홈플인접</t>
        </is>
      </c>
      <c r="L1072" s="6">
        <f>HYPERLINK("https://fin.land.naver.com/articles/2651289273", "매물Link")</f>
        <v/>
      </c>
      <c r="M1072" s="6">
        <f>HYPERLINK("https://map.naver.com/p/search/도담동 837",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사이다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급매 KDI옆 반곡동D2 넓은평수 144.71p</t>
        </is>
      </c>
      <c r="L1078" s="6">
        <f>HYPERLINK("https://fin.land.naver.com/articles/2655202638", "매물Link")</f>
        <v/>
      </c>
      <c r="M1078" s="6">
        <f>HYPERLINK("https://map.naver.com/p/search/반곡동 1061",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nan</t>
        </is>
      </c>
      <c r="L1079" s="6">
        <f>HYPERLINK("https://fin.land.naver.com/articles/2655007875", "매물Link")</f>
        <v/>
      </c>
      <c r="M1079" s="6">
        <f>HYPERLINK("https://map.naver.com/p/search/반곡동 1061",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공원 앞, 사거리 코너 각지 위치, 입지 좋은 토지</t>
        </is>
      </c>
      <c r="L1080" s="6">
        <f>HYPERLINK("https://fin.land.naver.com/articles/2653567967", "매물Link")</f>
        <v/>
      </c>
      <c r="M1080" s="6">
        <f>HYPERLINK("https://map.naver.com/p/search/반곡동 1077",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5" t="n">
        <v>308</v>
      </c>
      <c r="K1082" s="3" t="inlineStr">
        <is>
          <t>135p, 넓은 단독주택 토지매매, 공원앞, 입지 굿</t>
        </is>
      </c>
      <c r="L1082" s="6">
        <f>HYPERLINK("https://fin.land.naver.com/articles/2653687042", "매물Link")</f>
        <v/>
      </c>
      <c r="M1082" s="6">
        <f>HYPERLINK("https://map.naver.com/p/search/반곡동 1077",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초등학교 인접, 반곡동 토지매매, 지대 높음</t>
        </is>
      </c>
      <c r="L1094" s="6">
        <f>HYPERLINK("https://fin.land.naver.com/articles/2654704892", "매물Link")</f>
        <v/>
      </c>
      <c r="M1094" s="6">
        <f>HYPERLINK("https://map.naver.com/p/search/반곡동 901",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3면코너 시유지접함 위치최상</t>
        </is>
      </c>
      <c r="L1096" s="6">
        <f>HYPERLINK("https://fin.land.naver.com/articles/2655192384", "매물Link")</f>
        <v/>
      </c>
      <c r="M1096" s="6">
        <f>HYPERLINK("https://map.naver.com/p/search/반곡동 908",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시유지접한 코너각지 조용한위치 조율가능</t>
        </is>
      </c>
      <c r="L1100" s="6">
        <f>HYPERLINK("https://fin.land.naver.com/articles/2651085953", "매물Link")</f>
        <v/>
      </c>
      <c r="M1100" s="6">
        <f>HYPERLINK("https://map.naver.com/p/search/반곡동 932",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위치좋은 지대높은 토지, 97.2p, 시유지 40p 사용가능</t>
        </is>
      </c>
      <c r="L1101" s="6">
        <f>HYPERLINK("https://fin.land.naver.com/articles/2651189098", "매물Link")</f>
        <v/>
      </c>
      <c r="M1101" s="6">
        <f>HYPERLINK("https://map.naver.com/p/search/반곡동 932",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남청주 ic 5분, 2차선에서 진입가능한 공장부지</t>
        </is>
      </c>
      <c r="L1116" s="6">
        <f>HYPERLINK("https://fin.land.naver.com/articles/2656001176", "매물Link")</f>
        <v/>
      </c>
      <c r="M1116" s="6">
        <f>HYPERLINK("https://map.naver.com/p/search/부강면 갈산리 395",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토담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4200 남청주ic 5분 공장용지 물류센터 창고</t>
        </is>
      </c>
      <c r="L1117" s="6">
        <f>HYPERLINK("https://fin.land.naver.com/articles/2656023491",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반포더드림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79.90000000000001</v>
      </c>
      <c r="K1138" s="3" t="inlineStr">
        <is>
          <t>도로접한 모양좋은 토지, 카페나, 식당, 주택지로도 좋음</t>
        </is>
      </c>
      <c r="L1138" s="6">
        <f>HYPERLINK("https://fin.land.naver.com/articles/2652042892", "매물Link")</f>
        <v/>
      </c>
      <c r="M1138" s="6">
        <f>HYPERLINK("https://map.naver.com/p/search/부강면 금호리 389-1", "지도Link")</f>
        <v/>
      </c>
      <c r="N1138" s="6">
        <f>HYPERLINK("http://www.eum.go.kr/web/ar/lu/luLandDet.jsp?pnu=3611033028103890001&amp;isNoScr=script&amp;mode=search", "토지이음")</f>
        <v/>
      </c>
      <c r="O1138" s="3" t="inlineStr">
        <is>
          <t>미스터홈즈강남지사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79.09999999999999</v>
      </c>
      <c r="K1139" s="3" t="inlineStr">
        <is>
          <t>도로접하고 부강일반사업단지근교, 남i주10분이내,사옥,공장물류창고 적합.</t>
        </is>
      </c>
      <c r="L1139" s="6">
        <f>HYPERLINK("https://fin.land.naver.com/articles/2651044965", "매물Link")</f>
        <v/>
      </c>
      <c r="M1139" s="6">
        <f>HYPERLINK("https://map.naver.com/p/search/부강면 금호리 389-10", "지도Link")</f>
        <v/>
      </c>
      <c r="N1139" s="6">
        <f>HYPERLINK("http://www.eum.go.kr/web/ar/lu/luLandDet.jsp?pnu=3611033028103890010&amp;isNoScr=script&amp;mode=search", "토지이음")</f>
        <v/>
      </c>
      <c r="O1139" s="3" t="inlineStr">
        <is>
          <t>원내</t>
        </is>
      </c>
      <c r="P1139" s="4" t="n">
        <v>1</v>
      </c>
      <c r="Q1139" s="4" t="n">
        <v>656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5" t="n">
        <v>53.4</v>
      </c>
      <c r="K1140" s="3" t="inlineStr">
        <is>
          <t>현재 전으로 사용중 두필지 전원주택분양 좋음, 사업용사용가능창고,사옥공장</t>
        </is>
      </c>
      <c r="L1140" s="6">
        <f>HYPERLINK("https://fin.land.naver.com/articles/2651044105",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원내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5" t="n">
        <v>44.2</v>
      </c>
      <c r="K1184" s="3" t="inlineStr">
        <is>
          <t>nan</t>
        </is>
      </c>
      <c r="L1184" s="6">
        <f>HYPERLINK("https://fin.land.naver.com/articles/2651247437", "매물Link")</f>
        <v/>
      </c>
      <c r="M1184" s="6">
        <f>HYPERLINK("https://map.naver.com/p/search/부강면 문곡리 802",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대웅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5" t="n">
        <v>44.2</v>
      </c>
      <c r="K1185" s="3" t="inlineStr">
        <is>
          <t>nan</t>
        </is>
      </c>
      <c r="L1185" s="6">
        <f>HYPERLINK("https://fin.land.naver.com/articles/2654967426", "매물Link")</f>
        <v/>
      </c>
      <c r="M1185" s="6">
        <f>HYPERLINK("https://map.naver.com/p/search/부강면 문곡리 802",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갤러리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계획관리지역의 과수원으로 전기 및 인터넷, 상수도 배수시설이 완비된 토지</t>
        </is>
      </c>
      <c r="L1236" s="6">
        <f>HYPERLINK("https://fin.land.naver.com/articles/2655802258", "매물Link")</f>
        <v/>
      </c>
      <c r="M1236" s="6">
        <f>HYPERLINK("https://map.naver.com/p/search/부강면 행산리 389",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HYPERLINK("https://fin.land.naver.com/articles/2655301464", "매물Link")</f>
        <v/>
      </c>
      <c r="M1237" s="6">
        <f>HYPERLINK("https://map.naver.com/p/search/부강면 행산리 389",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5" t="n">
        <v>24.8</v>
      </c>
      <c r="K1238" s="3" t="inlineStr">
        <is>
          <t>감나무 블루베리 등이 식재되어 5생활권 5분거리 과수원</t>
        </is>
      </c>
      <c r="L1238" s="6">
        <f>HYPERLINK("https://fin.land.naver.com/articles/2653686533", "매물Link")</f>
        <v/>
      </c>
      <c r="M1238" s="6">
        <f>HYPERLINK("https://map.naver.com/p/search/부강면 행산리 389-3",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5" t="n">
        <v>24.8</v>
      </c>
      <c r="K1240" s="3" t="inlineStr">
        <is>
          <t>계획관리지역의 과수원으로 농촌 체류형 쉼터나 공방 및 전원주택지로 좋은</t>
        </is>
      </c>
      <c r="L1240" s="6">
        <f>HYPERLINK("https://fin.land.naver.com/articles/2656051456", "매물Link")</f>
        <v/>
      </c>
      <c r="M1240" s="6">
        <f>HYPERLINK("https://map.naver.com/p/search/부강면 행산리 389-3",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5" t="n">
        <v>18.3</v>
      </c>
      <c r="K1247" s="3" t="inlineStr">
        <is>
          <t>2차선 도로 인접 토지 매매</t>
        </is>
      </c>
      <c r="L1247" s="6">
        <f>HYPERLINK("https://fin.land.naver.com/articles/2653135877", "매물Link")</f>
        <v/>
      </c>
      <c r="M1247" s="6">
        <f>HYPERLINK("https://map.naver.com/p/search/부강면 행산리 448",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주식회사넥서스</t>
        </is>
      </c>
      <c r="P1247" s="4" t="n">
        <v>3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가격절충가능</t>
        </is>
      </c>
      <c r="L1271" s="6">
        <f>HYPERLINK("https://fin.land.naver.com/articles/2652933750", "매물Link")</f>
        <v/>
      </c>
      <c r="M1271" s="6">
        <f>HYPERLINK("https://map.naver.com/p/search/소정면 대곡리 471-4",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88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도로접 나대지 매매</t>
        </is>
      </c>
      <c r="L1272" s="6">
        <f>HYPERLINK("https://fin.land.naver.com/articles/2651993571", "매물Link")</f>
        <v/>
      </c>
      <c r="M1272" s="6">
        <f>HYPERLINK("https://map.naver.com/p/search/소정면 대곡리 471-4",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재화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소정면 대곡리 계획관리 임야, 저렴한가격, 개발용, 남천안IC 인근</t>
        </is>
      </c>
      <c r="L1277" s="6">
        <f>HYPERLINK("https://fin.land.naver.com/articles/2654025437", "매물Link")</f>
        <v/>
      </c>
      <c r="M1277" s="6">
        <f>HYPERLINK("https://map.naver.com/p/search/소정면 대곡리 산5-1",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스카이</t>
        </is>
      </c>
      <c r="P1277" s="4" t="n">
        <v>3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올 계획관리지역</t>
        </is>
      </c>
      <c r="L1278" s="6">
        <f>HYPERLINK("https://fin.land.naver.com/articles/2652931285", "매물Link")</f>
        <v/>
      </c>
      <c r="M1278" s="6">
        <f>HYPERLINK("https://map.naver.com/p/search/소정면 대곡리 산5-1",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으뜸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108.9p, 사거리 코너자리, 아름동 최고입지</t>
        </is>
      </c>
      <c r="L1308" s="6">
        <f>HYPERLINK("https://fin.land.naver.com/articles/2654694877", "매물Link")</f>
        <v/>
      </c>
      <c r="M1308" s="6">
        <f>HYPERLINK("https://map.naver.com/p/search/아름동 1116",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총 108.9p, 사거리코너 위치좋은 입지</t>
        </is>
      </c>
      <c r="L1309" s="6">
        <f>HYPERLINK("https://fin.land.naver.com/articles/2653682969", "매물Link")</f>
        <v/>
      </c>
      <c r="M1309" s="6">
        <f>HYPERLINK("https://map.naver.com/p/search/아름동 1116",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97.6p, 충대병원 인근 토지 급매, 조율도가능</t>
        </is>
      </c>
      <c r="L1314" s="6">
        <f>HYPERLINK("https://fin.land.naver.com/articles/2653682221", "매물Link")</f>
        <v/>
      </c>
      <c r="M1314" s="6">
        <f>HYPERLINK("https://map.naver.com/p/search/아름동 1142",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급매 추가조율가능 입지좋은 충대병원인근</t>
        </is>
      </c>
      <c r="L1315" s="6">
        <f>HYPERLINK("https://fin.land.naver.com/articles/2651133638", "매물Link")</f>
        <v/>
      </c>
      <c r="M1315" s="6">
        <f>HYPERLINK("https://map.naver.com/p/search/아름동 1142",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세종스타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아름동 대로변 근생용지, 96.1p</t>
        </is>
      </c>
      <c r="L1324" s="6">
        <f>HYPERLINK("https://fin.land.naver.com/articles/2652839304", "매물Link")</f>
        <v/>
      </c>
      <c r="M1324" s="6">
        <f>HYPERLINK("https://map.naver.com/p/search/아름동 1183",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5" t="n">
        <v>724</v>
      </c>
      <c r="K1325" s="3" t="inlineStr">
        <is>
          <t>근린생활시설 용지로서 대단위 아파트 전면에 위치하여 최고의 상권</t>
        </is>
      </c>
      <c r="L1325" s="6">
        <f>HYPERLINK("https://fin.land.naver.com/articles/2651956271", "매물Link")</f>
        <v/>
      </c>
      <c r="M1325" s="6">
        <f>HYPERLINK("https://map.naver.com/p/search/아름동 1183",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대우마을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급매 남향 코너각지 조율가능 옆필지 연접매매가능</t>
        </is>
      </c>
      <c r="L1327" s="6">
        <f>HYPERLINK("https://fin.land.naver.com/articles/2655177213", "매물Link")</f>
        <v/>
      </c>
      <c r="M1327" s="6">
        <f>HYPERLINK("https://map.naver.com/p/search/아름동 1191",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세종스타</t>
        </is>
      </c>
      <c r="P1327" s="4" t="n">
        <v>2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사거리 코너입지 최고, 조율도 가능</t>
        </is>
      </c>
      <c r="L1329" s="6">
        <f>HYPERLINK("https://fin.land.naver.com/articles/2654692792", "매물Link")</f>
        <v/>
      </c>
      <c r="M1329" s="6">
        <f>HYPERLINK("https://map.naver.com/p/search/아름동 1191",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아름동 학교 가까운 주택지</t>
        </is>
      </c>
      <c r="L1336" s="6">
        <f>HYPERLINK("https://fin.land.naver.com/articles/2653003576", "매물Link")</f>
        <v/>
      </c>
      <c r="M1336" s="6">
        <f>HYPERLINK("https://map.naver.com/p/search/아름동 1231",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급매, 110.7p, 아름초인접, 범지기10단지인근</t>
        </is>
      </c>
      <c r="L1337" s="6">
        <f>HYPERLINK("https://fin.land.naver.com/articles/2654927262", "매물Link")</f>
        <v/>
      </c>
      <c r="M1337" s="6">
        <f>HYPERLINK("https://map.naver.com/p/search/아름동 1231",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총 110.7p, 아파트 단지 옆, 아름초 인근, 위치좋고 가격좋은 토지</t>
        </is>
      </c>
      <c r="L1338" s="6">
        <f>HYPERLINK("https://fin.land.naver.com/articles/2652842649", "매물Link")</f>
        <v/>
      </c>
      <c r="M1338" s="6">
        <f>HYPERLINK("https://map.naver.com/p/search/아름동 1231",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아름동학원가, 상권이용편리로얄택지, 금액조율가능, 추천매매</t>
        </is>
      </c>
      <c r="L1339" s="6">
        <f>HYPERLINK("https://fin.land.naver.com/articles/2653093272", "매물Link")</f>
        <v/>
      </c>
      <c r="M1339" s="6">
        <f>HYPERLINK("https://map.naver.com/p/search/아름동 1231",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한방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103.7p, 삼거리 코너자리, 왼쪽 토지 활용도 높은 좋은 위치</t>
        </is>
      </c>
      <c r="L1341" s="6">
        <f>HYPERLINK("https://fin.land.naver.com/articles/2654920262", "매물Link")</f>
        <v/>
      </c>
      <c r="M1341" s="6">
        <f>HYPERLINK("https://map.naver.com/p/search/아름동 1365",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조율가능 학원가최인접 땅모양 건축하기 좋음</t>
        </is>
      </c>
      <c r="L1342" s="6">
        <f>HYPERLINK("https://fin.land.naver.com/articles/2655004786", "매물Link")</f>
        <v/>
      </c>
      <c r="M1342" s="6">
        <f>HYPERLINK("https://map.naver.com/p/search/아름동 1365",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세종스타</t>
        </is>
      </c>
      <c r="P1342" s="4" t="n">
        <v>4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급매, 학교, 편의시설, 정부청사 가까워 생활편리, 보행도로접 코너각지</t>
        </is>
      </c>
      <c r="L1348" s="6">
        <f>HYPERLINK("https://fin.land.naver.com/articles/2655652433", "매물Link")</f>
        <v/>
      </c>
      <c r="M1348" s="6">
        <f>HYPERLINK("https://map.naver.com/p/search/아름동 1380",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온뜰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급매, 총 91p, 삼거리코너, 아파트 단지 밑</t>
        </is>
      </c>
      <c r="L1349" s="6">
        <f>HYPERLINK("https://fin.land.naver.com/articles/2652838634", "매물Link")</f>
        <v/>
      </c>
      <c r="M1349" s="6">
        <f>HYPERLINK("https://map.naver.com/p/search/아름동 1380",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아름동 주택지 저렴한 가격 급매, 코너각지, 위치좋음</t>
        </is>
      </c>
      <c r="L1350" s="6">
        <f>HYPERLINK("https://fin.land.naver.com/articles/2653003304", "매물Link")</f>
        <v/>
      </c>
      <c r="M1350" s="6">
        <f>HYPERLINK("https://map.naver.com/p/search/아름동 1380",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OK세종 사무소</t>
        </is>
      </c>
      <c r="P1350" s="4" t="n">
        <v>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D8중 최저가.네고 가능.초,중,고 가깝고,마트.교통까지 편리</t>
        </is>
      </c>
      <c r="L1351" s="6">
        <f>HYPERLINK("https://fin.land.naver.com/articles/2656130718", "매물Link")</f>
        <v/>
      </c>
      <c r="M1351" s="6">
        <f>HYPERLINK("https://map.naver.com/p/search/아름동 1380",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수자인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총 91p, 삼거리 코너, 단지 인접, 급매</t>
        </is>
      </c>
      <c r="L1352" s="6">
        <f>HYPERLINK("https://fin.land.naver.com/articles/2654223009", "매물Link")</f>
        <v/>
      </c>
      <c r="M1352" s="6">
        <f>HYPERLINK("https://map.naver.com/p/search/아름동 1380",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접근성 좋은 아름동 택지</t>
        </is>
      </c>
      <c r="L1359" s="6">
        <f>HYPERLINK("https://fin.land.naver.com/articles/2652794578", "매물Link")</f>
        <v/>
      </c>
      <c r="M1359" s="6">
        <f>HYPERLINK("https://map.naver.com/p/search/아름동 1443",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강아지풀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단독주택지.대지</t>
        </is>
      </c>
      <c r="L1360" s="6">
        <f>HYPERLINK("https://fin.land.naver.com/articles/2651582608", "매물Link")</f>
        <v/>
      </c>
      <c r="M1360" s="6">
        <f>HYPERLINK("https://map.naver.com/p/search/아름동 1443",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세종몽땅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데이터센터, 방송국 사옥부지, 조율가능, 정보통신업 추천</t>
        </is>
      </c>
      <c r="L1363" s="6">
        <f>HYPERLINK("https://fin.land.naver.com/articles/2653569005", "매물Link")</f>
        <v/>
      </c>
      <c r="M1363" s="6">
        <f>HYPERLINK("https://map.naver.com/p/search/아름동 815",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151.5p, 데이터센터, 방송관련 사옥 추천, 조율가능, 입지좋은 토지</t>
        </is>
      </c>
      <c r="L1364" s="6">
        <f>HYPERLINK("https://fin.land.naver.com/articles/2654888844", "매물Link")</f>
        <v/>
      </c>
      <c r="M1364" s="6">
        <f>HYPERLINK("https://map.naver.com/p/search/아름동 815",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국제고 인근, 충대병원 가까운 아름동 단독주택 토지매매</t>
        </is>
      </c>
      <c r="L1368" s="6">
        <f>HYPERLINK("https://fin.land.naver.com/articles/2652839214", "매물Link")</f>
        <v/>
      </c>
      <c r="M1368" s="6">
        <f>HYPERLINK("https://map.naver.com/p/search/아름동 826",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뒤로 넓은 공원낀위치 우측 연결녹지 넓어 쾌적한곳</t>
        </is>
      </c>
      <c r="L1371" s="6">
        <f>HYPERLINK("https://fin.land.naver.com/articles/2652418910", "매물Link")</f>
        <v/>
      </c>
      <c r="M1371" s="6">
        <f>HYPERLINK("https://map.naver.com/p/search/아름동 879",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,아름동 최상 택지,충남대병원 인접 생활권 편리,어린이공원접</t>
        </is>
      </c>
      <c r="L1372" s="6">
        <f>HYPERLINK("https://fin.land.naver.com/articles/2650851626", "매물Link")</f>
        <v/>
      </c>
      <c r="M1372" s="6">
        <f>HYPERLINK("https://map.naver.com/p/search/아름동 879",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조율가능 공공조경접함 건축하기 좋은 땅모양</t>
        </is>
      </c>
      <c r="L1380" s="6">
        <f>HYPERLINK("https://fin.land.naver.com/articles/2652418932", "매물Link")</f>
        <v/>
      </c>
      <c r="M1380" s="6">
        <f>HYPERLINK("https://map.naver.com/p/search/아름동 929",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11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행복도시에서 가까운 토지 대토 투자적합 연서산단에서도 가까움</t>
        </is>
      </c>
      <c r="L1434" s="6">
        <f>HYPERLINK("https://fin.land.naver.com/articles/2652664106", "매물Link")</f>
        <v/>
      </c>
      <c r="M1434" s="6">
        <f>HYPERLINK("https://map.naver.com/p/search/연기면 수산리 11",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고운동리치세종</t>
        </is>
      </c>
      <c r="P1434" s="4" t="n">
        <v>3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119</t>
        </is>
      </c>
      <c r="B1435" s="3" t="inlineStr">
        <is>
          <t>생산관리지역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179800</v>
      </c>
      <c r="G1435" s="4" t="n">
        <v>1918</v>
      </c>
      <c r="H1435" s="4" t="n">
        <v>580</v>
      </c>
      <c r="I1435" s="5" t="n">
        <v>310</v>
      </c>
      <c r="J1435" s="5" t="n">
        <v>58.2</v>
      </c>
      <c r="K1435" s="3" t="inlineStr">
        <is>
          <t>수산3거리,2차선변 입지좋은 토지 매매.</t>
        </is>
      </c>
      <c r="L1435" s="6">
        <f>HYPERLINK("https://fin.land.naver.com/articles/2651374838", "매물Link")</f>
        <v/>
      </c>
      <c r="M1435" s="6">
        <f>HYPERLINK("https://map.naver.com/p/search/연기면 수산리 119", "지도Link")</f>
        <v/>
      </c>
      <c r="N1435" s="6">
        <f>HYPERLINK("http://www.eum.go.kr/web/ar/lu/luLandDet.jsp?pnu=3611031024101190000&amp;isNoScr=script&amp;mode=search", "토지이음")</f>
        <v/>
      </c>
      <c r="O1435" s="3" t="inlineStr">
        <is>
          <t>세종강산</t>
        </is>
      </c>
      <c r="P1435" s="4" t="n">
        <v>1</v>
      </c>
      <c r="Q1435" s="4" t="n">
        <v>1010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연기면 수산리 123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8차선 국도접 가시성접근성 최상 계획관리지역 토지</t>
        </is>
      </c>
      <c r="L1513" s="6">
        <f>HYPERLINK("https://fin.land.naver.com/articles/2655697014", "매물Link")</f>
        <v/>
      </c>
      <c r="M1513" s="6">
        <f>HYPERLINK("https://map.naver.com/p/search/연기면 연기리 507-4",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스마트옥션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대 도로접 투자 적정지</t>
        </is>
      </c>
      <c r="L1514" s="6">
        <f>HYPERLINK("https://fin.land.naver.com/articles/2651896465", "매물Link")</f>
        <v/>
      </c>
      <c r="M1514" s="6">
        <f>HYPERLINK("https://map.naver.com/p/search/연기면 연기리 507-4",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광장(프라자)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5" t="n">
        <v>106.7</v>
      </c>
      <c r="K1518" s="3" t="inlineStr">
        <is>
          <t>세종 내판리 토지 매매.지목 대지구단위계획구역</t>
        </is>
      </c>
      <c r="L1518" s="6">
        <f>HYPERLINK("https://fin.land.naver.com/articles/2655139659", "매물Link")</f>
        <v/>
      </c>
      <c r="M1518" s="6">
        <f>HYPERLINK("https://map.naver.com/p/search/연동면 내판리 10-1",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세종몽땅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5" t="n">
        <v>106.7</v>
      </c>
      <c r="K1519" s="3" t="inlineStr">
        <is>
          <t>nan</t>
        </is>
      </c>
      <c r="L1519" s="6">
        <f>HYPERLINK("https://fin.land.naver.com/articles/2656146852", "매물Link")</f>
        <v/>
      </c>
      <c r="M1519" s="6">
        <f>HYPERLINK("https://map.naver.com/p/search/연동면 내판리 10-1",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세종지평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5" t="n">
        <v>41.8</v>
      </c>
      <c r="K1529" s="3" t="inlineStr">
        <is>
          <t>급매  저렴한 매물    추천매물</t>
        </is>
      </c>
      <c r="L1529" s="6">
        <f>HYPERLINK("https://fin.land.naver.com/articles/2653315073", "매물Link")</f>
        <v/>
      </c>
      <c r="M1529" s="6">
        <f>HYPERLINK("https://map.naver.com/p/search/연동면 내판리 35-5",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세종푸르지오</t>
        </is>
      </c>
      <c r="P1529" s="4" t="n">
        <v>2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5" t="n">
        <v>41.8</v>
      </c>
      <c r="K1531" s="3" t="inlineStr">
        <is>
          <t>시세보다 저렴한  최상의 위치로  계획관리 토지로 용도다양</t>
        </is>
      </c>
      <c r="L1531" s="6">
        <f>HYPERLINK("https://fin.land.naver.com/articles/2651026655", "매물Link")</f>
        <v/>
      </c>
      <c r="M1531" s="6">
        <f>HYPERLINK("https://map.naver.com/p/search/연동면 내판리 35-5",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연동스카이</t>
        </is>
      </c>
      <c r="P1531" s="4" t="n">
        <v>1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5" t="n">
        <v>103.4</v>
      </c>
      <c r="K1624" s="3" t="inlineStr">
        <is>
          <t>2차선도로접  명학산업단지 5생활권 남청주ic 인근</t>
        </is>
      </c>
      <c r="L1624" s="6">
        <f>HYPERLINK("https://fin.land.naver.com/articles/2650660360", "매물Link")</f>
        <v/>
      </c>
      <c r="M1624" s="6">
        <f>HYPERLINK("https://map.naver.com/p/search/연동면 응암리 584-13",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세종로또</t>
        </is>
      </c>
      <c r="P1624" s="4" t="n">
        <v>1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5" t="n">
        <v>103.4</v>
      </c>
      <c r="K1625" s="3" t="inlineStr">
        <is>
          <t>2차선 도로접한,대,평지로 땅모양 좋아요,5생활권 및 명학 산업단지 근접</t>
        </is>
      </c>
      <c r="L1625" s="6">
        <f>HYPERLINK("https://fin.land.naver.com/articles/2652213741", "매물Link")</f>
        <v/>
      </c>
      <c r="M1625" s="6">
        <f>HYPERLINK("https://map.naver.com/p/search/연동면 응암리 584-13",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해밀탑</t>
        </is>
      </c>
      <c r="P1625" s="4" t="n">
        <v>2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5" t="n">
        <v>66</v>
      </c>
      <c r="K1638" s="3" t="inlineStr">
        <is>
          <t>고복리 계획관리지역 대와 전으로 시세보다 저렴한 2필지 일괄매매.</t>
        </is>
      </c>
      <c r="L1638" s="6">
        <f>HYPERLINK("https://fin.land.naver.com/articles/2653550278", "매물Link")</f>
        <v/>
      </c>
      <c r="M1638" s="6">
        <f>HYPERLINK("https://map.naver.com/p/search/연서면 고복리 112-1",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세종대장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5" t="n">
        <v>66</v>
      </c>
      <c r="K1639" s="3" t="inlineStr">
        <is>
          <t>고복리 계획관리지역 매매,  2차선 도로 150m  위치 좋은 토지</t>
        </is>
      </c>
      <c r="L1639" s="6">
        <f>HYPERLINK("https://fin.land.naver.com/articles/2653959002", "매물Link")</f>
        <v/>
      </c>
      <c r="M1639" s="6">
        <f>HYPERLINK("https://map.naver.com/p/search/연서면 고복리 112-1",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세종땅사랑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접근성좋아요,국유지구거및도로접</t>
        </is>
      </c>
      <c r="L1694" s="6">
        <f>HYPERLINK("https://fin.land.naver.com/articles/2654252150", "매물Link")</f>
        <v/>
      </c>
      <c r="M1694" s="6">
        <f>HYPERLINK("https://map.naver.com/p/search/연서면 기룡리 651-5",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싱글벙글</t>
        </is>
      </c>
      <c r="P1694" s="4" t="n">
        <v>2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도로사정 아주 양호하며 주인 사정상 주변 시세보다 저렴한 가격으로 매매함</t>
        </is>
      </c>
      <c r="L1698" s="6">
        <f>HYPERLINK("https://fin.land.naver.com/articles/2655915704",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갤러리</t>
        </is>
      </c>
      <c r="P1698" s="4" t="n">
        <v>6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HYPERLINK("https://fin.land.naver.com/articles/2655596322",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조아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HYPERLINK("https://fin.land.naver.com/articles/2653892163", "매물Link")</f>
        <v/>
      </c>
      <c r="M1741" s="6">
        <f>HYPERLINK("https://map.naver.com/p/search/연서면 성제리 186-5",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담뜰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5" t="n">
        <v>27.3</v>
      </c>
      <c r="K1742" s="3" t="inlineStr">
        <is>
          <t>2차선 도로에 접한 투자용 토지 급매입니다. 스마트산업단지 인근에 있음</t>
        </is>
      </c>
      <c r="L1742" s="6">
        <f>HYPERLINK("https://fin.land.naver.com/articles/2655060808", "매물Link")</f>
        <v/>
      </c>
      <c r="M1742" s="6">
        <f>HYPERLINK("https://map.naver.com/p/search/연서면 성제리 186-5",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스마일세종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5" t="n">
        <v>39.5</v>
      </c>
      <c r="K1752" s="3" t="inlineStr">
        <is>
          <t>조치원 공공택지 500미터 자연녹지 급하게 매도</t>
        </is>
      </c>
      <c r="L1752" s="6">
        <f>HYPERLINK("https://fin.land.naver.com/articles/2651011862", "매물Link")</f>
        <v/>
      </c>
      <c r="M1752" s="6">
        <f>HYPERLINK("https://map.naver.com/p/search/연서면 성제리 273-9",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5" t="n">
        <v>39.5</v>
      </c>
      <c r="K1753" s="3" t="inlineStr">
        <is>
          <t>nan</t>
        </is>
      </c>
      <c r="L1753" s="6">
        <f>HYPERLINK("https://fin.land.naver.com/articles/2651153583", "매물Link")</f>
        <v/>
      </c>
      <c r="M1753" s="6">
        <f>HYPERLINK("https://map.naver.com/p/search/연서면 성제리 273-9",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nan</t>
        </is>
      </c>
      <c r="L1777" s="6">
        <f>HYPERLINK("https://fin.land.naver.com/articles/2655626687", "매물Link")</f>
        <v/>
      </c>
      <c r="M1777" s="6">
        <f>HYPERLINK("https://map.naver.com/p/search/연서면 신대리 395-62",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전원주택단지내 전원주택부지</t>
        </is>
      </c>
      <c r="L1778" s="6">
        <f>HYPERLINK("https://fin.land.naver.com/articles/2654424413", "매물Link")</f>
        <v/>
      </c>
      <c r="M1778" s="6">
        <f>HYPERLINK("https://map.naver.com/p/search/연서면 신대리 395-62",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5" t="n">
        <v>31.2</v>
      </c>
      <c r="K1801" s="3" t="inlineStr">
        <is>
          <t>고복저수지인근,4m도로접, 모양좋고 평탄한 농지, 주말농장,체류형쉼터,</t>
        </is>
      </c>
      <c r="L1801" s="6">
        <f>HYPERLINK("https://fin.land.naver.com/articles/2651745421", "매물Link")</f>
        <v/>
      </c>
      <c r="M1801" s="6">
        <f>HYPERLINK("https://map.naver.com/p/search/연서면 쌍류리 101-10",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세종 연서면 고복저수지 인근 건축 및 투자 추천 추가 하천부지 있음</t>
        </is>
      </c>
      <c r="L1926" s="6">
        <f>HYPERLINK("https://fin.land.naver.com/articles/2654669162", "매물Link")</f>
        <v/>
      </c>
      <c r="M1926" s="6">
        <f>HYPERLINK("https://map.naver.com/p/search/연서면 청라리 127-1",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나침반</t>
        </is>
      </c>
      <c r="P1926" s="4" t="n">
        <v>7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고복저수지5분거리 국산인근수혜지</t>
        </is>
      </c>
      <c r="L1927" s="6">
        <f>HYPERLINK("https://fin.land.naver.com/articles/2652904321", "매물Link")</f>
        <v/>
      </c>
      <c r="M1927" s="6">
        <f>HYPERLINK("https://map.naver.com/p/search/연서면 청라리 127-1",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오송원</t>
        </is>
      </c>
      <c r="P1927" s="4" t="n">
        <v>1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l청년l 세종시 투자가치 있는 토지 입니다.</t>
        </is>
      </c>
      <c r="L1928" s="6">
        <f>HYPERLINK("https://fin.land.naver.com/articles/2652676790", "매물Link")</f>
        <v/>
      </c>
      <c r="M1928" s="6">
        <f>HYPERLINK("https://map.naver.com/p/search/연서면 청라리 127-1",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청년사사무소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53.7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1400</v>
      </c>
      <c r="R1945" s="3" t="inlineStr">
        <is>
          <t>지정되지않음</t>
        </is>
      </c>
      <c r="S1945" s="3" t="inlineStr">
        <is>
          <t>단독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소로한면</t>
        </is>
      </c>
    </row>
    <row r="1946">
      <c r="A1946" s="3" t="inlineStr">
        <is>
          <t>오송읍 공북리 568-28</t>
        </is>
      </c>
      <c r="B1946" s="3" t="inlineStr">
        <is>
          <t>계획관리지역</t>
        </is>
      </c>
      <c r="C1946" s="3" t="inlineStr">
        <is>
          <t>잡종지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72.2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79</v>
      </c>
      <c r="R1946" s="3" t="inlineStr">
        <is>
          <t>지정되지않음</t>
        </is>
      </c>
      <c r="S1946" s="3" t="inlineStr">
        <is>
          <t>주거기타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공북리 568-30</t>
        </is>
      </c>
      <c r="B1947" s="3" t="inlineStr">
        <is>
          <t>계획관리지역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144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가로장방</t>
        </is>
      </c>
      <c r="V1947" s="3" t="inlineStr">
        <is>
          <t>세로한면(가)</t>
        </is>
      </c>
    </row>
    <row r="1948">
      <c r="A1948" s="3" t="inlineStr">
        <is>
          <t>오송읍 공북리 639-1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21.6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975</v>
      </c>
      <c r="R1948" s="3" t="inlineStr">
        <is>
          <t>생산관리지역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오송읍 공북리 산52-7</t>
        </is>
      </c>
      <c r="B1949" s="3" t="inlineStr">
        <is>
          <t>보전관리지역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3.1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2791</v>
      </c>
      <c r="R1949" s="3" t="inlineStr">
        <is>
          <t>지정되지않음</t>
        </is>
      </c>
      <c r="S1949" s="3" t="inlineStr">
        <is>
          <t>조림</t>
        </is>
      </c>
      <c r="T1949" s="3" t="inlineStr">
        <is>
          <t>급경사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오송읍 궁평리 204-8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27.4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2036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세로장방</t>
        </is>
      </c>
      <c r="V1950" s="3" t="inlineStr">
        <is>
          <t>세로한면(가)</t>
        </is>
      </c>
    </row>
    <row r="1951">
      <c r="A1951" s="3" t="inlineStr">
        <is>
          <t>오송읍 궁평리 216-6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27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3743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세로한면(불)</t>
        </is>
      </c>
    </row>
    <row r="1952">
      <c r="A1952" s="3" t="inlineStr">
        <is>
          <t>오송읍 궁평리 234-6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37.1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3003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궁평리 259-14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93.90000000000001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1144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오송읍 궁평리 272-3</t>
        </is>
      </c>
      <c r="B1954" s="3" t="inlineStr">
        <is>
          <t>계획관리지역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161.2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573</v>
      </c>
      <c r="R1954" s="3" t="inlineStr">
        <is>
          <t>지정되지않음</t>
        </is>
      </c>
      <c r="S1954" s="3" t="inlineStr">
        <is>
          <t>단독</t>
        </is>
      </c>
      <c r="T1954" s="3" t="inlineStr">
        <is>
          <t>평지</t>
        </is>
      </c>
      <c r="U1954" s="3" t="inlineStr">
        <is>
          <t>사다리형</t>
        </is>
      </c>
      <c r="V1954" s="3" t="inlineStr">
        <is>
          <t>세로한면(가)</t>
        </is>
      </c>
    </row>
    <row r="1955">
      <c r="A1955" s="3" t="inlineStr">
        <is>
          <t>오송읍 궁평리 278-1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46.8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4076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세로한면(불)</t>
        </is>
      </c>
    </row>
    <row r="1956">
      <c r="A1956" s="3" t="inlineStr">
        <is>
          <t>오송읍 궁평리 296-3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53.7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3967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오송읍 궁평리 303-1</t>
        </is>
      </c>
      <c r="B1957" s="3" t="inlineStr">
        <is>
          <t>농림지역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63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1523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중로한면</t>
        </is>
      </c>
    </row>
    <row r="1958">
      <c r="A1958" s="3" t="inlineStr">
        <is>
          <t>오송읍 궁평리 61-6</t>
        </is>
      </c>
      <c r="B1958" s="3" t="inlineStr">
        <is>
          <t>계획관리지역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103.6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347</v>
      </c>
      <c r="R1958" s="3" t="inlineStr">
        <is>
          <t>지정되지않음</t>
        </is>
      </c>
      <c r="S1958" s="3" t="inlineStr">
        <is>
          <t>단독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궁평리 75-1</t>
        </is>
      </c>
      <c r="B1959" s="3" t="inlineStr">
        <is>
          <t>농림지역</t>
        </is>
      </c>
      <c r="C1959" s="3" t="inlineStr">
        <is>
          <t>전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37.1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3078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세로각지(가)</t>
        </is>
      </c>
    </row>
    <row r="1960">
      <c r="A1960" s="3" t="inlineStr">
        <is>
          <t>오송읍 궁평리 81-7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31.3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3411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세로한면(불)</t>
        </is>
      </c>
    </row>
    <row r="1961">
      <c r="A1961" s="3" t="inlineStr">
        <is>
          <t>오송읍 동평리 381-13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26.6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1769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세로한면(불)</t>
        </is>
      </c>
    </row>
    <row r="1962">
      <c r="A1962" s="3" t="inlineStr">
        <is>
          <t>오송읍 동평리 95-1</t>
        </is>
      </c>
      <c r="B1962" s="3" t="inlineStr">
        <is>
          <t>계획관리지역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109.4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184</v>
      </c>
      <c r="R1962" s="3" t="inlineStr">
        <is>
          <t>지정되지않음</t>
        </is>
      </c>
      <c r="S1962" s="3" t="inlineStr">
        <is>
          <t>주거기타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세로각지(가)</t>
        </is>
      </c>
    </row>
    <row r="1963">
      <c r="A1963" s="3" t="inlineStr">
        <is>
          <t>오송읍 만수리 272-3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35.7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1183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만수리 544</t>
        </is>
      </c>
      <c r="B1964" s="3" t="inlineStr">
        <is>
          <t>일반상업지역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583.5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499.9</v>
      </c>
      <c r="R1964" s="3" t="inlineStr">
        <is>
          <t>지정되지않음</t>
        </is>
      </c>
      <c r="S1964" s="3" t="inlineStr">
        <is>
          <t>상업용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중로한면</t>
        </is>
      </c>
    </row>
    <row r="1965">
      <c r="A1965" s="3" t="inlineStr">
        <is>
          <t>오송읍 만수리 866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486.3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513.7</v>
      </c>
      <c r="R1965" s="3" t="inlineStr">
        <is>
          <t>지정되지않음</t>
        </is>
      </c>
      <c r="S1965" s="3" t="inlineStr">
        <is>
          <t>상업용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중로각지</t>
        </is>
      </c>
    </row>
    <row r="1966">
      <c r="A1966" s="3" t="inlineStr">
        <is>
          <t>오송읍 봉산리 1124</t>
        </is>
      </c>
      <c r="B1966" s="3" t="inlineStr">
        <is>
          <t>제1종일반주거지역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208.1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240.6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소로한면</t>
        </is>
      </c>
    </row>
    <row r="1967">
      <c r="A1967" s="3" t="inlineStr">
        <is>
          <t>오송읍 봉산리 1208</t>
        </is>
      </c>
      <c r="B1967" s="3" t="inlineStr">
        <is>
          <t>제1종일반주거지역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206.3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264.6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소로한면</t>
        </is>
      </c>
    </row>
    <row r="1968">
      <c r="A1968" s="3" t="inlineStr">
        <is>
          <t>오송읍 봉산리 1209</t>
        </is>
      </c>
      <c r="B1968" s="3" t="inlineStr">
        <is>
          <t>제1종일반주거지역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206.3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264.8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소로한면</t>
        </is>
      </c>
    </row>
    <row r="1969">
      <c r="A1969" s="3" t="inlineStr">
        <is>
          <t>오송읍 봉산리 1221</t>
        </is>
      </c>
      <c r="B1969" s="3" t="inlineStr">
        <is>
          <t>준주거지역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624.1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412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중로각지</t>
        </is>
      </c>
    </row>
    <row r="1970">
      <c r="A1970" s="3" t="inlineStr">
        <is>
          <t>오송읍 봉산리 1276</t>
        </is>
      </c>
      <c r="B1970" s="3" t="inlineStr">
        <is>
          <t>제1종일반주거지역</t>
        </is>
      </c>
      <c r="C1970" s="3" t="inlineStr">
        <is>
          <t>주차장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220.4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1091.4</v>
      </c>
      <c r="R1970" s="3" t="inlineStr">
        <is>
          <t>지정되지않음</t>
        </is>
      </c>
      <c r="S1970" s="3" t="inlineStr">
        <is>
          <t>주차장등</t>
        </is>
      </c>
      <c r="T1970" s="3" t="inlineStr">
        <is>
          <t>평지</t>
        </is>
      </c>
      <c r="U1970" s="3" t="inlineStr">
        <is>
          <t>가로장방</t>
        </is>
      </c>
      <c r="V1970" s="3" t="inlineStr">
        <is>
          <t>중로각지</t>
        </is>
      </c>
    </row>
    <row r="1971">
      <c r="A1971" s="3" t="inlineStr">
        <is>
          <t>오송읍 봉산리 1293</t>
        </is>
      </c>
      <c r="B1971" s="3" t="inlineStr">
        <is>
          <t>준주거지역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624.1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413.5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중로각지</t>
        </is>
      </c>
    </row>
    <row r="1972">
      <c r="A1972" s="3" t="inlineStr">
        <is>
          <t>오송읍 봉산리 1296</t>
        </is>
      </c>
      <c r="B1972" s="3" t="inlineStr">
        <is>
          <t>준주거지역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624.1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411.7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중로각지</t>
        </is>
      </c>
    </row>
    <row r="1973">
      <c r="A1973" s="3" t="inlineStr">
        <is>
          <t>오송읍 봉산리 1297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624.1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421.4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1298</t>
        </is>
      </c>
      <c r="B1974" s="3" t="inlineStr">
        <is>
          <t>일반상업지역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585.5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1164.1</v>
      </c>
      <c r="R1974" s="3" t="inlineStr">
        <is>
          <t>지정되지않음</t>
        </is>
      </c>
      <c r="S1974" s="3" t="inlineStr">
        <is>
          <t>상업기타</t>
        </is>
      </c>
      <c r="T1974" s="3" t="inlineStr">
        <is>
          <t>평지</t>
        </is>
      </c>
      <c r="U1974" s="3" t="inlineStr">
        <is>
          <t>가로장방</t>
        </is>
      </c>
      <c r="V1974" s="3" t="inlineStr">
        <is>
          <t>중로각지</t>
        </is>
      </c>
    </row>
    <row r="1975">
      <c r="A1975" s="3" t="inlineStr">
        <is>
          <t>오송읍 봉산리 1299</t>
        </is>
      </c>
      <c r="B1975" s="3" t="inlineStr">
        <is>
          <t>일반상업지역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579.5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1195.9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1301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618.2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1115.2</v>
      </c>
      <c r="R1976" s="3" t="inlineStr">
        <is>
          <t>지정되지않음</t>
        </is>
      </c>
      <c r="S1976" s="3" t="inlineStr">
        <is>
          <t>상업기타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1308</t>
        </is>
      </c>
      <c r="B1977" s="3" t="inlineStr">
        <is>
          <t>일반상업지역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606.3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820.6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정방형</t>
        </is>
      </c>
      <c r="V1977" s="3" t="inlineStr">
        <is>
          <t>중로각지</t>
        </is>
      </c>
    </row>
    <row r="1978">
      <c r="A1978" s="3" t="inlineStr">
        <is>
          <t>오송읍 봉산리 1321</t>
        </is>
      </c>
      <c r="B1978" s="3" t="inlineStr">
        <is>
          <t>일반상업지역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550.1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1541.1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중로한면</t>
        </is>
      </c>
    </row>
    <row r="1979">
      <c r="A1979" s="3" t="inlineStr">
        <is>
          <t>오송읍 봉산리 1324</t>
        </is>
      </c>
      <c r="B1979" s="3" t="inlineStr">
        <is>
          <t>일반상업지역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573.2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1524.9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정방형</t>
        </is>
      </c>
      <c r="V1979" s="3" t="inlineStr">
        <is>
          <t>중로각지</t>
        </is>
      </c>
    </row>
    <row r="1980">
      <c r="A1980" s="3" t="inlineStr">
        <is>
          <t>오송읍 봉산리 1326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719.3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889.6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광대소각</t>
        </is>
      </c>
    </row>
    <row r="1981">
      <c r="A1981" s="3" t="inlineStr">
        <is>
          <t>오송읍 봉산리 1328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660.2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858.6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광대소각</t>
        </is>
      </c>
    </row>
    <row r="1982">
      <c r="A1982" s="3" t="inlineStr">
        <is>
          <t>오송읍 봉산리 1344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624.1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408.9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1367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290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244.4</v>
      </c>
      <c r="R1983" s="3" t="inlineStr">
        <is>
          <t>지정되지않음</t>
        </is>
      </c>
      <c r="S1983" s="3" t="inlineStr">
        <is>
          <t>주상기타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소로각지</t>
        </is>
      </c>
    </row>
    <row r="1984">
      <c r="A1984" s="3" t="inlineStr">
        <is>
          <t>오송읍 봉산리 1375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207.9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239.5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1375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207.9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239.5</v>
      </c>
      <c r="R1985" s="3" t="inlineStr">
        <is>
          <t>지정되지않음</t>
        </is>
      </c>
      <c r="S1985" s="3" t="inlineStr">
        <is>
          <t>주거기타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1392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250.2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246.5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소로각지</t>
        </is>
      </c>
    </row>
    <row r="1987">
      <c r="A1987" s="3" t="inlineStr">
        <is>
          <t>오송읍 봉산리 1415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207.9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244</v>
      </c>
      <c r="R1987" s="3" t="inlineStr">
        <is>
          <t>지정되지않음</t>
        </is>
      </c>
      <c r="S1987" s="3" t="inlineStr">
        <is>
          <t>주거기타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오송읍 봉산리 1419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250.2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238.1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소로각지</t>
        </is>
      </c>
    </row>
    <row r="1989">
      <c r="A1989" s="3" t="inlineStr">
        <is>
          <t>오송읍 봉산리 796</t>
        </is>
      </c>
      <c r="B1989" s="3" t="inlineStr">
        <is>
          <t>제1종일반주거지역</t>
        </is>
      </c>
      <c r="C1989" s="3" t="inlineStr">
        <is>
          <t>주차장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207.4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1039.2</v>
      </c>
      <c r="R1989" s="3" t="inlineStr">
        <is>
          <t>지정되지않음</t>
        </is>
      </c>
      <c r="S1989" s="3" t="inlineStr">
        <is>
          <t>주차장등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중로각지</t>
        </is>
      </c>
    </row>
    <row r="1990">
      <c r="A1990" s="3" t="inlineStr">
        <is>
          <t>오송읍 봉산리 841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342.8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249.4</v>
      </c>
      <c r="R1990" s="3" t="inlineStr">
        <is>
          <t>지정되지않음</t>
        </is>
      </c>
      <c r="S1990" s="3" t="inlineStr">
        <is>
          <t>주상기타</t>
        </is>
      </c>
      <c r="T1990" s="3" t="inlineStr">
        <is>
          <t>평지</t>
        </is>
      </c>
      <c r="U1990" s="3" t="inlineStr">
        <is>
          <t>정방형</t>
        </is>
      </c>
      <c r="V1990" s="3" t="inlineStr">
        <is>
          <t>중로각지</t>
        </is>
      </c>
    </row>
    <row r="1991">
      <c r="A1991" s="3" t="inlineStr">
        <is>
          <t>오송읍 봉산리 853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205.7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276.1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853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205.7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276.1</v>
      </c>
      <c r="R1992" s="3" t="inlineStr">
        <is>
          <t>지정되지않음</t>
        </is>
      </c>
      <c r="S1992" s="3" t="inlineStr">
        <is>
          <t>주거기타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소로한면</t>
        </is>
      </c>
    </row>
    <row r="1993">
      <c r="A1993" s="3" t="inlineStr">
        <is>
          <t>오송읍 봉산리 859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205.7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280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872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236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271.2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소로한면</t>
        </is>
      </c>
    </row>
    <row r="1995">
      <c r="A1995" s="3" t="inlineStr">
        <is>
          <t>오송읍 봉산리 872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236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271.2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소로한면</t>
        </is>
      </c>
    </row>
    <row r="1996">
      <c r="A1996" s="3" t="inlineStr">
        <is>
          <t>오송읍 봉산리 888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291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252.1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중로각지</t>
        </is>
      </c>
    </row>
    <row r="1997">
      <c r="A1997" s="3" t="inlineStr">
        <is>
          <t>오송읍 봉산리 949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236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271</v>
      </c>
      <c r="R1997" s="3" t="inlineStr">
        <is>
          <t>지정되지않음</t>
        </is>
      </c>
      <c r="S1997" s="3" t="inlineStr">
        <is>
          <t>주상기타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954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257.5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265.3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가로장방</t>
        </is>
      </c>
      <c r="V1998" s="3" t="inlineStr">
        <is>
          <t>소로각지</t>
        </is>
      </c>
    </row>
    <row r="1999">
      <c r="A1999" s="3" t="inlineStr">
        <is>
          <t>오송읍 상봉리 114-3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48.7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602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오송읍 상봉리 240-4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45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1896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소로한면</t>
        </is>
      </c>
    </row>
    <row r="2001">
      <c r="A2001" s="3" t="inlineStr">
        <is>
          <t>오송읍 상봉리 313</t>
        </is>
      </c>
      <c r="B2001" s="3" t="inlineStr">
        <is>
          <t>보전관리지역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10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2615</v>
      </c>
      <c r="R2001" s="3" t="inlineStr">
        <is>
          <t>지정되지않음</t>
        </is>
      </c>
      <c r="S2001" s="3" t="inlineStr">
        <is>
          <t>답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상봉리 359-3</t>
        </is>
      </c>
      <c r="B2002" s="3" t="inlineStr">
        <is>
          <t>농림지역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21.5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2008</v>
      </c>
      <c r="R2002" s="3" t="inlineStr">
        <is>
          <t>지정되지않음</t>
        </is>
      </c>
      <c r="S2002" s="3" t="inlineStr">
        <is>
          <t>답</t>
        </is>
      </c>
      <c r="T2002" s="3" t="inlineStr">
        <is>
          <t>평지</t>
        </is>
      </c>
      <c r="U2002" s="3" t="inlineStr">
        <is>
          <t>가로장방</t>
        </is>
      </c>
      <c r="V2002" s="3" t="inlineStr">
        <is>
          <t>세로각지(가)</t>
        </is>
      </c>
    </row>
    <row r="2003">
      <c r="A2003" s="3" t="inlineStr">
        <is>
          <t>오송읍 상봉리 415-1</t>
        </is>
      </c>
      <c r="B2003" s="3" t="inlineStr">
        <is>
          <t>농림지역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22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1230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세로한면(가)</t>
        </is>
      </c>
    </row>
    <row r="2004">
      <c r="A2004" s="3" t="inlineStr">
        <is>
          <t>오송읍 상봉리 415-1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22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1230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세로한면(가)</t>
        </is>
      </c>
    </row>
    <row r="2005">
      <c r="A2005" s="3" t="inlineStr">
        <is>
          <t>오송읍 상봉리 산49-1</t>
        </is>
      </c>
      <c r="B2005" s="3" t="inlineStr">
        <is>
          <t>농림지역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2.4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29256</v>
      </c>
      <c r="R2005" s="3" t="inlineStr">
        <is>
          <t>생산관리지역</t>
        </is>
      </c>
      <c r="S2005" s="3" t="inlineStr">
        <is>
          <t>자연림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오송읍 상정리 149-1</t>
        </is>
      </c>
      <c r="B2006" s="3" t="inlineStr">
        <is>
          <t>농림지역</t>
        </is>
      </c>
      <c r="C2006" s="3" t="inlineStr">
        <is>
          <t>창고용지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27.4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660</v>
      </c>
      <c r="R2006" s="3" t="inlineStr">
        <is>
          <t>지정되지않음</t>
        </is>
      </c>
      <c r="S2006" s="3" t="inlineStr">
        <is>
          <t>답창고</t>
        </is>
      </c>
      <c r="T2006" s="3" t="inlineStr">
        <is>
          <t>평지</t>
        </is>
      </c>
      <c r="U2006" s="3" t="inlineStr">
        <is>
          <t>정방형</t>
        </is>
      </c>
      <c r="V2006" s="3" t="inlineStr">
        <is>
          <t>세로한면(가)</t>
        </is>
      </c>
    </row>
    <row r="2007">
      <c r="A2007" s="3" t="inlineStr">
        <is>
          <t>오송읍 상정리 149-3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23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2368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상정리 174-7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43.7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982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평지</t>
        </is>
      </c>
      <c r="U2008" s="3" t="inlineStr">
        <is>
          <t>가로장방</t>
        </is>
      </c>
      <c r="V2008" s="3" t="inlineStr">
        <is>
          <t>소로한면</t>
        </is>
      </c>
    </row>
    <row r="2009">
      <c r="A2009" s="3" t="inlineStr">
        <is>
          <t>오송읍 상정리 189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84.3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733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평지</t>
        </is>
      </c>
      <c r="U2009" s="3" t="inlineStr">
        <is>
          <t>자루형</t>
        </is>
      </c>
      <c r="V2009" s="3" t="inlineStr">
        <is>
          <t>소로한면</t>
        </is>
      </c>
    </row>
    <row r="2010">
      <c r="A2010" s="3" t="inlineStr">
        <is>
          <t>오송읍 상정리 191-4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83.59999999999999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367</v>
      </c>
      <c r="R2010" s="3" t="inlineStr">
        <is>
          <t>지정되지않음</t>
        </is>
      </c>
      <c r="S2010" s="3" t="inlineStr">
        <is>
          <t>단독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오송읍 상정리 206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36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1987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오송읍 상정리 261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23.3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1083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306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26.1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1714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세로한면(불)</t>
        </is>
      </c>
    </row>
    <row r="2014">
      <c r="A2014" s="3" t="inlineStr">
        <is>
          <t>오송읍 상정리 337</t>
        </is>
      </c>
      <c r="B2014" s="3" t="inlineStr">
        <is>
          <t>계획관리지역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38.1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2022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337</t>
        </is>
      </c>
      <c r="B2015" s="3" t="inlineStr">
        <is>
          <t>계획관리지역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38.1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2022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상정리 62-2</t>
        </is>
      </c>
      <c r="B2016" s="3" t="inlineStr">
        <is>
          <t>농림지역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53.2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647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상정리 669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80.09999999999999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507.1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완경사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상정리 725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80.09999999999999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541.1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완경사</t>
        </is>
      </c>
      <c r="U2018" s="3" t="inlineStr">
        <is>
          <t>세로장방</t>
        </is>
      </c>
      <c r="V2018" s="3" t="inlineStr">
        <is>
          <t>세로한면(가)</t>
        </is>
      </c>
    </row>
    <row r="2019">
      <c r="A2019" s="3" t="inlineStr">
        <is>
          <t>오송읍 상정리 751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80.09999999999999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535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완경사</t>
        </is>
      </c>
      <c r="U2019" s="3" t="inlineStr">
        <is>
          <t>가로장방</t>
        </is>
      </c>
      <c r="V2019" s="3" t="inlineStr">
        <is>
          <t>세로한면(가)</t>
        </is>
      </c>
    </row>
    <row r="2020">
      <c r="A2020" s="3" t="inlineStr">
        <is>
          <t>오송읍 상정리 751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80.09999999999999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535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완경사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상정리 79</t>
        </is>
      </c>
      <c r="B2021" s="3" t="inlineStr">
        <is>
          <t>생산관리지역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18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2383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완경사</t>
        </is>
      </c>
      <c r="U2021" s="3" t="inlineStr">
        <is>
          <t>부정형</t>
        </is>
      </c>
      <c r="V2021" s="3" t="inlineStr">
        <is>
          <t>세로한면(불)</t>
        </is>
      </c>
    </row>
    <row r="2022">
      <c r="A2022" s="3" t="inlineStr">
        <is>
          <t>오송읍 상정리 89-34</t>
        </is>
      </c>
      <c r="B2022" s="3" t="inlineStr">
        <is>
          <t>보전관리지역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76.09999999999999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651</v>
      </c>
      <c r="R2022" s="3" t="inlineStr">
        <is>
          <t>지정되지않음</t>
        </is>
      </c>
      <c r="S2022" s="3" t="inlineStr">
        <is>
          <t>주거기타</t>
        </is>
      </c>
      <c r="T2022" s="3" t="inlineStr">
        <is>
          <t>완경사</t>
        </is>
      </c>
      <c r="U2022" s="3" t="inlineStr">
        <is>
          <t>사다리형</t>
        </is>
      </c>
      <c r="V2022" s="3" t="inlineStr">
        <is>
          <t>세로각지(가)</t>
        </is>
      </c>
    </row>
    <row r="2023">
      <c r="A2023" s="3" t="inlineStr">
        <is>
          <t>오송읍 상정리 산55-3</t>
        </is>
      </c>
      <c r="B2023" s="3" t="inlineStr">
        <is>
          <t>보전관리지역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78.3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555</v>
      </c>
      <c r="R2023" s="3" t="inlineStr">
        <is>
          <t>지정되지않음</t>
        </is>
      </c>
      <c r="S2023" s="3" t="inlineStr">
        <is>
          <t>주거나지</t>
        </is>
      </c>
      <c r="T2023" s="3" t="inlineStr">
        <is>
          <t>완경사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서평리 127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59.4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4225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소로각지</t>
        </is>
      </c>
    </row>
    <row r="2025">
      <c r="A2025" s="3" t="inlineStr">
        <is>
          <t>오송읍 서평리 128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55.5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3967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129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55.5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4116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129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55.5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4116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131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55.5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4076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소로한면</t>
        </is>
      </c>
    </row>
    <row r="2029">
      <c r="A2029" s="3" t="inlineStr">
        <is>
          <t>오송읍 서평리 180-6</t>
        </is>
      </c>
      <c r="B2029" s="3" t="inlineStr">
        <is>
          <t>농림지역</t>
        </is>
      </c>
      <c r="C2029" s="3" t="inlineStr">
        <is>
          <t>창고용지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128.3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769</v>
      </c>
      <c r="R2029" s="3" t="inlineStr">
        <is>
          <t>지정되지않음</t>
        </is>
      </c>
      <c r="S2029" s="3" t="inlineStr">
        <is>
          <t>답창고</t>
        </is>
      </c>
      <c r="T2029" s="3" t="inlineStr">
        <is>
          <t>평지</t>
        </is>
      </c>
      <c r="U2029" s="3" t="inlineStr">
        <is>
          <t>가로장방</t>
        </is>
      </c>
      <c r="V2029" s="3" t="inlineStr">
        <is>
          <t>광대로한면</t>
        </is>
      </c>
    </row>
    <row r="2030">
      <c r="A2030" s="3" t="inlineStr">
        <is>
          <t>오송읍 서평리 180-6</t>
        </is>
      </c>
      <c r="B2030" s="3" t="inlineStr">
        <is>
          <t>농림지역</t>
        </is>
      </c>
      <c r="C2030" s="3" t="inlineStr">
        <is>
          <t>창고용지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128.3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769</v>
      </c>
      <c r="R2030" s="3" t="inlineStr">
        <is>
          <t>지정되지않음</t>
        </is>
      </c>
      <c r="S2030" s="3" t="inlineStr">
        <is>
          <t>답창고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광대로한면</t>
        </is>
      </c>
    </row>
    <row r="2031">
      <c r="A2031" s="3" t="inlineStr">
        <is>
          <t>오송읍 서평리 183-2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51.4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3977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서평리 196-3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54.7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2033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소로한면</t>
        </is>
      </c>
    </row>
    <row r="2033">
      <c r="A2033" s="3" t="inlineStr">
        <is>
          <t>오송읍 서평리 210-1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54.7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1373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214-4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54.7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3080</v>
      </c>
      <c r="R2034" s="3" t="inlineStr">
        <is>
          <t>지정되지않음</t>
        </is>
      </c>
      <c r="S2034" s="3" t="inlineStr">
        <is>
          <t>전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281-1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29.5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2827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오송읍 서평리 356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49.6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900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소로한면</t>
        </is>
      </c>
    </row>
    <row r="2037">
      <c r="A2037" s="3" t="inlineStr">
        <is>
          <t>오송읍 서평리 356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49.6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900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사다리형</t>
        </is>
      </c>
      <c r="V2037" s="3" t="inlineStr">
        <is>
          <t>소로한면</t>
        </is>
      </c>
    </row>
    <row r="2038">
      <c r="A2038" s="3" t="inlineStr">
        <is>
          <t>오송읍 서평리 381-8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39.1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4100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서평리 56-9</t>
        </is>
      </c>
      <c r="B2039" s="3" t="inlineStr">
        <is>
          <t>계획관리지역</t>
        </is>
      </c>
      <c r="C2039" s="3" t="inlineStr">
        <is>
          <t>전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195.9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542</v>
      </c>
      <c r="R2039" s="3" t="inlineStr">
        <is>
          <t>지정되지않음</t>
        </is>
      </c>
      <c r="S2039" s="3" t="inlineStr">
        <is>
          <t>주상기타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중로한면</t>
        </is>
      </c>
    </row>
    <row r="2040">
      <c r="A2040" s="3" t="inlineStr">
        <is>
          <t>오송읍 서평리 664-97</t>
        </is>
      </c>
      <c r="B2040" s="3" t="inlineStr">
        <is>
          <t>농림지역</t>
        </is>
      </c>
      <c r="C2040" s="3" t="inlineStr">
        <is>
          <t>전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38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591</v>
      </c>
      <c r="R2040" s="3" t="inlineStr">
        <is>
          <t>지정되지않음</t>
        </is>
      </c>
      <c r="S2040" s="3" t="inlineStr">
        <is>
          <t>전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80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36.9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3848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88-1</t>
        </is>
      </c>
      <c r="B2042" s="3" t="inlineStr">
        <is>
          <t>농림지역</t>
        </is>
      </c>
      <c r="C2042" s="3" t="inlineStr">
        <is>
          <t>전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38.8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1289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세로각지(가)</t>
        </is>
      </c>
    </row>
    <row r="2043">
      <c r="A2043" s="3" t="inlineStr">
        <is>
          <t>오송읍 서평리 88-2</t>
        </is>
      </c>
      <c r="B2043" s="3" t="inlineStr">
        <is>
          <t>농림지역</t>
        </is>
      </c>
      <c r="C2043" s="3" t="inlineStr">
        <is>
          <t>전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37.3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2668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세로한면(가)</t>
        </is>
      </c>
    </row>
    <row r="2044">
      <c r="A2044" s="3" t="inlineStr">
        <is>
          <t>오송읍 서평리 96-3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</t>
        </is>
      </c>
      <c r="B2045" s="3" t="inlineStr">
        <is>
          <t>계획관리지역</t>
        </is>
      </c>
      <c r="C2045" s="3" t="inlineStr">
        <is>
          <t>임야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23.8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4268</v>
      </c>
      <c r="R2045" s="3" t="inlineStr">
        <is>
          <t>지정되지않음</t>
        </is>
      </c>
      <c r="S2045" s="3" t="inlineStr">
        <is>
          <t>자연림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맹지</t>
        </is>
      </c>
    </row>
    <row r="2046">
      <c r="A2046" s="3" t="inlineStr">
        <is>
          <t>오송읍 쌍청리 108-1</t>
        </is>
      </c>
      <c r="B2046" s="3" t="inlineStr">
        <is>
          <t>계획관리지역</t>
        </is>
      </c>
      <c r="C2046" s="3" t="inlineStr">
        <is>
          <t>대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70.09999999999999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456</v>
      </c>
      <c r="R2046" s="3" t="inlineStr">
        <is>
          <t>지정되지않음</t>
        </is>
      </c>
      <c r="S2046" s="3" t="inlineStr">
        <is>
          <t>공업용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세로한면(가)</t>
        </is>
      </c>
    </row>
    <row r="2047">
      <c r="A2047" s="3" t="inlineStr">
        <is>
          <t>오송읍 쌍청리 108-31</t>
        </is>
      </c>
      <c r="B2047" s="3" t="inlineStr">
        <is>
          <t>계획관리지역</t>
        </is>
      </c>
      <c r="C2047" s="3" t="inlineStr">
        <is>
          <t>공장용지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61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566</v>
      </c>
      <c r="R2047" s="3" t="inlineStr">
        <is>
          <t>지정되지않음</t>
        </is>
      </c>
      <c r="S2047" s="3" t="inlineStr">
        <is>
          <t>공업나지</t>
        </is>
      </c>
      <c r="T2047" s="3" t="inlineStr">
        <is>
          <t>완경사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쌍청리 117-16</t>
        </is>
      </c>
      <c r="B2048" s="3" t="inlineStr">
        <is>
          <t>계획관리지역</t>
        </is>
      </c>
      <c r="C2048" s="3" t="inlineStr">
        <is>
          <t>임야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59.3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1701</v>
      </c>
      <c r="R2048" s="3" t="inlineStr">
        <is>
          <t>지정되지않음</t>
        </is>
      </c>
      <c r="S2048" s="3" t="inlineStr">
        <is>
          <t>전기타</t>
        </is>
      </c>
      <c r="T2048" s="3" t="inlineStr">
        <is>
          <t>완경사</t>
        </is>
      </c>
      <c r="U2048" s="3" t="inlineStr">
        <is>
          <t>사다리형</t>
        </is>
      </c>
      <c r="V2048" s="3" t="inlineStr">
        <is>
          <t>세로한면(가)</t>
        </is>
      </c>
    </row>
    <row r="2049">
      <c r="A2049" s="3" t="inlineStr">
        <is>
          <t>오송읍 쌍청리 124-3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69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362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세로한면(가)</t>
        </is>
      </c>
    </row>
    <row r="2050">
      <c r="A2050" s="3" t="inlineStr">
        <is>
          <t>오송읍 쌍청리 165-3</t>
        </is>
      </c>
      <c r="B2050" s="3" t="inlineStr">
        <is>
          <t>계획관리지역</t>
        </is>
      </c>
      <c r="C2050" s="3" t="inlineStr">
        <is>
          <t>전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48.6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751</v>
      </c>
      <c r="R2050" s="3" t="inlineStr">
        <is>
          <t>지정되지않음</t>
        </is>
      </c>
      <c r="S2050" s="3" t="inlineStr">
        <is>
          <t>전</t>
        </is>
      </c>
      <c r="T2050" s="3" t="inlineStr">
        <is>
          <t>평지</t>
        </is>
      </c>
      <c r="U2050" s="3" t="inlineStr">
        <is>
          <t>부정형</t>
        </is>
      </c>
      <c r="V2050" s="3" t="inlineStr">
        <is>
          <t>세로한면(가)</t>
        </is>
      </c>
    </row>
    <row r="2051">
      <c r="A2051" s="3" t="inlineStr">
        <is>
          <t>오송읍 쌍청리 29-1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31.9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2266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쌍청리 317-7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111.3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441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소로한면</t>
        </is>
      </c>
    </row>
    <row r="2053">
      <c r="A2053" s="3" t="inlineStr">
        <is>
          <t>오송읍 쌍청리 429-4</t>
        </is>
      </c>
      <c r="B2053" s="3" t="inlineStr">
        <is>
          <t>농림지역</t>
        </is>
      </c>
      <c r="C2053" s="3" t="inlineStr">
        <is>
          <t>과수원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35.7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2440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평지</t>
        </is>
      </c>
      <c r="U2053" s="3" t="inlineStr">
        <is>
          <t>사다리형</t>
        </is>
      </c>
      <c r="V2053" s="3" t="inlineStr">
        <is>
          <t>세로한면(가)</t>
        </is>
      </c>
    </row>
    <row r="2054">
      <c r="A2054" s="3" t="inlineStr">
        <is>
          <t>오송읍 쌍청리 451-2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35.7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3273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쌍청리 454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35.7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4000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세로한면(가)</t>
        </is>
      </c>
    </row>
    <row r="2056">
      <c r="A2056" s="3" t="inlineStr">
        <is>
          <t>오송읍 쌍청리 463</t>
        </is>
      </c>
      <c r="B2056" s="3" t="inlineStr">
        <is>
          <t>농림지역</t>
        </is>
      </c>
      <c r="C2056" s="3" t="inlineStr">
        <is>
          <t>과수원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35.7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4182</v>
      </c>
      <c r="R2056" s="3" t="inlineStr">
        <is>
          <t>지정되지않음</t>
        </is>
      </c>
      <c r="S2056" s="3" t="inlineStr">
        <is>
          <t>과수원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세로한면(가)</t>
        </is>
      </c>
    </row>
    <row r="2057">
      <c r="A2057" s="3" t="inlineStr">
        <is>
          <t>오송읍 쌍청리 498</t>
        </is>
      </c>
      <c r="B2057" s="3" t="inlineStr">
        <is>
          <t>계획관리지역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67.5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2099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자루형</t>
        </is>
      </c>
      <c r="V2057" s="3" t="inlineStr">
        <is>
          <t>세로한면(불)</t>
        </is>
      </c>
    </row>
    <row r="2058">
      <c r="A2058" s="3" t="inlineStr">
        <is>
          <t>오송읍 쌍청리 498</t>
        </is>
      </c>
      <c r="B2058" s="3" t="inlineStr">
        <is>
          <t>계획관리지역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67.5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2099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평지</t>
        </is>
      </c>
      <c r="U2058" s="3" t="inlineStr">
        <is>
          <t>자루형</t>
        </is>
      </c>
      <c r="V2058" s="3" t="inlineStr">
        <is>
          <t>세로한면(불)</t>
        </is>
      </c>
    </row>
    <row r="2059">
      <c r="A2059" s="3" t="inlineStr">
        <is>
          <t>오송읍 쌍청리 539-2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18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2208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맹지</t>
        </is>
      </c>
    </row>
    <row r="2060">
      <c r="A2060" s="3" t="inlineStr">
        <is>
          <t>오송읍 쌍청리 8-1</t>
        </is>
      </c>
      <c r="B2060" s="3" t="inlineStr">
        <is>
          <t>생산관리지역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46.5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1613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연제리 527-1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59.4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1825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연제리 540-20</t>
        </is>
      </c>
      <c r="B2062" s="3" t="inlineStr">
        <is>
          <t>계획관리지역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189.7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1332</v>
      </c>
      <c r="R2062" s="3" t="inlineStr">
        <is>
          <t>지정되지않음</t>
        </is>
      </c>
      <c r="S2062" s="3" t="inlineStr">
        <is>
          <t>상업용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연제리 540-37</t>
        </is>
      </c>
      <c r="B2063" s="3" t="inlineStr">
        <is>
          <t>계획관리지역</t>
        </is>
      </c>
      <c r="C2063" s="3" t="inlineStr">
        <is>
          <t>공장용지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161.4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500</v>
      </c>
      <c r="R2063" s="3" t="inlineStr">
        <is>
          <t>지정되지않음</t>
        </is>
      </c>
      <c r="S2063" s="3" t="inlineStr">
        <is>
          <t>주상나지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연제리 664-2</t>
        </is>
      </c>
      <c r="B2064" s="3" t="inlineStr">
        <is>
          <t>준공업지역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199.2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4958.7</v>
      </c>
      <c r="R2064" s="3" t="inlineStr">
        <is>
          <t>지정되지않음</t>
        </is>
      </c>
      <c r="S2064" s="3" t="inlineStr">
        <is>
          <t>상업용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중로한면</t>
        </is>
      </c>
    </row>
    <row r="2065">
      <c r="A2065" s="3" t="inlineStr">
        <is>
          <t>오송읍 연제리 668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619.8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803.1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광대소각</t>
        </is>
      </c>
    </row>
    <row r="2066">
      <c r="A2066" s="3" t="inlineStr">
        <is>
          <t>오송읍 연제리 692</t>
        </is>
      </c>
      <c r="B2066" s="3" t="inlineStr">
        <is>
          <t>일반상업지역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301.3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593.3</v>
      </c>
      <c r="R2066" s="3" t="inlineStr">
        <is>
          <t>지정되지않음</t>
        </is>
      </c>
      <c r="S2066" s="3" t="inlineStr">
        <is>
          <t>상업나지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광대소각</t>
        </is>
      </c>
    </row>
    <row r="2067">
      <c r="A2067" s="3" t="inlineStr">
        <is>
          <t>오송읍 연제리 703</t>
        </is>
      </c>
      <c r="B2067" s="3" t="inlineStr">
        <is>
          <t>일반상업지역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809.3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690.3</v>
      </c>
      <c r="R2067" s="3" t="inlineStr">
        <is>
          <t>지정되지않음</t>
        </is>
      </c>
      <c r="S2067" s="3" t="inlineStr">
        <is>
          <t>상업나지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광대소각</t>
        </is>
      </c>
    </row>
    <row r="2068">
      <c r="A2068" s="3" t="inlineStr">
        <is>
          <t>오송읍 연제리 산 24-15</t>
        </is>
      </c>
      <c r="B2068" s="3" t="inlineStr">
        <is>
          <t>계획관리지역</t>
        </is>
      </c>
      <c r="C2068" s="3" t="inlineStr">
        <is>
          <t>임야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16.8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1076</v>
      </c>
      <c r="R2068" s="3" t="inlineStr">
        <is>
          <t>지정되지않음</t>
        </is>
      </c>
      <c r="S2068" s="3" t="inlineStr">
        <is>
          <t>자연림</t>
        </is>
      </c>
      <c r="T2068" s="3" t="inlineStr">
        <is>
          <t>완경사</t>
        </is>
      </c>
      <c r="U2068" s="3" t="inlineStr">
        <is>
          <t>부정형</t>
        </is>
      </c>
      <c r="V2068" s="3" t="inlineStr">
        <is>
          <t>세로한면(불)</t>
        </is>
      </c>
    </row>
    <row r="2069">
      <c r="A2069" s="3" t="inlineStr">
        <is>
          <t>오송읍 오송리 146-29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166.3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372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오송리 206-3</t>
        </is>
      </c>
      <c r="B2070" s="3" t="inlineStr">
        <is>
          <t>계획관리지역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159.6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295</v>
      </c>
      <c r="R2070" s="3" t="inlineStr">
        <is>
          <t>지정되지않음</t>
        </is>
      </c>
      <c r="S2070" s="3" t="inlineStr">
        <is>
          <t>단독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세로각지(가)</t>
        </is>
      </c>
    </row>
    <row r="2071">
      <c r="A2071" s="3" t="inlineStr">
        <is>
          <t>오송읍 오송리 242-2</t>
        </is>
      </c>
      <c r="B2071" s="3" t="inlineStr">
        <is>
          <t>계획관리지역</t>
        </is>
      </c>
      <c r="C2071" s="3" t="inlineStr">
        <is>
          <t>주유소용지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313.2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810</v>
      </c>
      <c r="R2071" s="3" t="inlineStr">
        <is>
          <t>지정되지않음</t>
        </is>
      </c>
      <c r="S2071" s="3" t="inlineStr">
        <is>
          <t>주상용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광대로한면</t>
        </is>
      </c>
    </row>
    <row r="2072">
      <c r="A2072" s="3" t="inlineStr">
        <is>
          <t>오송읍 오송리 242-2</t>
        </is>
      </c>
      <c r="B2072" s="3" t="inlineStr">
        <is>
          <t>계획관리지역</t>
        </is>
      </c>
      <c r="C2072" s="3" t="inlineStr">
        <is>
          <t>주유소용지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313.2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810</v>
      </c>
      <c r="R2072" s="3" t="inlineStr">
        <is>
          <t>지정되지않음</t>
        </is>
      </c>
      <c r="S2072" s="3" t="inlineStr">
        <is>
          <t>주상용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광대로한면</t>
        </is>
      </c>
    </row>
    <row r="2073">
      <c r="A2073" s="3" t="inlineStr">
        <is>
          <t>오송읍 오송리 245-4</t>
        </is>
      </c>
      <c r="B2073" s="3" t="inlineStr">
        <is>
          <t>계획관리지역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103.7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700</v>
      </c>
      <c r="R2073" s="3" t="inlineStr">
        <is>
          <t>지정되지않음</t>
        </is>
      </c>
      <c r="S2073" s="3" t="inlineStr">
        <is>
          <t>답기타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오송읍 오송리 246-52</t>
        </is>
      </c>
      <c r="B2074" s="3" t="inlineStr">
        <is>
          <t>계획관리지역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163.6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667</v>
      </c>
      <c r="R2074" s="3" t="inlineStr">
        <is>
          <t>지정되지않음</t>
        </is>
      </c>
      <c r="S2074" s="3" t="inlineStr">
        <is>
          <t>공업용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246-53</t>
        </is>
      </c>
      <c r="B2075" s="3" t="inlineStr">
        <is>
          <t>계획관리지역</t>
        </is>
      </c>
      <c r="C2075" s="3" t="inlineStr">
        <is>
          <t>전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110.3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2011</v>
      </c>
      <c r="R2075" s="3" t="inlineStr">
        <is>
          <t>지정되지않음</t>
        </is>
      </c>
      <c r="S2075" s="3" t="inlineStr">
        <is>
          <t>전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오송리 60-104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234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286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소로한면</t>
        </is>
      </c>
    </row>
    <row r="2077">
      <c r="A2077" s="3" t="inlineStr">
        <is>
          <t>오송읍 정중리 317-1</t>
        </is>
      </c>
      <c r="B2077" s="3" t="inlineStr">
        <is>
          <t>농림지역</t>
        </is>
      </c>
      <c r="C2077" s="3" t="inlineStr">
        <is>
          <t>잡종지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25.2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237</v>
      </c>
      <c r="R2077" s="3" t="inlineStr">
        <is>
          <t>지정되지않음</t>
        </is>
      </c>
      <c r="S2077" s="3" t="inlineStr">
        <is>
          <t>답창고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정중리 569-1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138.1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142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정중리 634</t>
        </is>
      </c>
      <c r="B2079" s="3" t="inlineStr">
        <is>
          <t>일반공업지역</t>
        </is>
      </c>
      <c r="C2079" s="3" t="inlineStr">
        <is>
          <t>공장용지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74.40000000000001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27537.3</v>
      </c>
      <c r="R2079" s="3" t="inlineStr">
        <is>
          <t>지정되지않음</t>
        </is>
      </c>
      <c r="S2079" s="3" t="inlineStr">
        <is>
          <t>공업기타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광대소각</t>
        </is>
      </c>
    </row>
    <row r="2080">
      <c r="A2080" s="3" t="inlineStr">
        <is>
          <t>오송읍 정중리 698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361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660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699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361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678.2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704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5" t="n">
        <v>347.1</v>
      </c>
      <c r="K2083" s="3" t="inlineStr">
        <is>
          <t>오송 2산단 지원시설용지  아파트 인접한 대로변 토지 근생 건물등 가능</t>
        </is>
      </c>
      <c r="L2083" s="6">
        <f>HYPERLINK("https://fin.land.naver.com/articles/2652625205", "매물Link")</f>
        <v/>
      </c>
      <c r="M2083" s="6">
        <f>HYPERLINK("https://map.naver.com/p/search/오송읍 정중리 704",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더원</t>
        </is>
      </c>
      <c r="P2083" s="4" t="n">
        <v>3</v>
      </c>
      <c r="Q2083" s="4" t="n">
        <v>548.8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중로각지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407.6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407.6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산업단지 시작 코너 자리, 아파트 세대 배후.</t>
        </is>
      </c>
      <c r="L2087" s="6">
        <f>HYPERLINK("https://fin.land.naver.com/articles/2652526004",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707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407.6</v>
      </c>
      <c r="K2088" s="3" t="inlineStr">
        <is>
          <t>4차선 메인 코너토지 대단지아파트들을 끼고있음</t>
        </is>
      </c>
      <c r="L2088" s="6">
        <f>HYPERLINK("https://fin.land.naver.com/articles/2652380240", "매물Link")</f>
        <v/>
      </c>
      <c r="M2088" s="6">
        <f>HYPERLINK("https://map.naver.com/p/search/오송읍 정중리 707",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조은</t>
        </is>
      </c>
      <c r="P2088" s="4" t="n">
        <v>1</v>
      </c>
      <c r="Q2088" s="4" t="n">
        <v>558.8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정중리 746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388.1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639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광대소각</t>
        </is>
      </c>
    </row>
    <row r="2090">
      <c r="A2090" s="3" t="inlineStr">
        <is>
          <t>오송읍 정중리 755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361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668.8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5" t="n">
        <v>256.4</v>
      </c>
      <c r="K2091" s="3" t="inlineStr">
        <is>
          <t>신도시 대단지아파트인접  지원시설용지</t>
        </is>
      </c>
      <c r="L2091" s="6">
        <f>HYPERLINK("https://fin.land.naver.com/articles/2651351013",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오송원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5" t="n">
        <v>256.4</v>
      </c>
      <c r="K2092" s="3" t="inlineStr">
        <is>
          <t>nan</t>
        </is>
      </c>
      <c r="L2092" s="6">
        <f>HYPERLINK("https://fin.land.naver.com/articles/2651733349",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동행사무소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5" t="n">
        <v>256.4</v>
      </c>
      <c r="K2093" s="3" t="inlineStr">
        <is>
          <t>오송2산단내 아파트 대단지 옆 지원시설용지 급매</t>
        </is>
      </c>
      <c r="L2093" s="6">
        <f>HYPERLINK("https://fin.land.naver.com/articles/2656104516",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아임</t>
        </is>
      </c>
      <c r="P2093" s="4" t="n">
        <v>6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768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256.4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590.3</v>
      </c>
      <c r="R2094" s="3" t="inlineStr">
        <is>
          <t>지정되지않음</t>
        </is>
      </c>
      <c r="S2094" s="3" t="inlineStr">
        <is>
          <t>상업나지</t>
        </is>
      </c>
      <c r="T2094" s="3" t="inlineStr">
        <is>
          <t>평지</t>
        </is>
      </c>
      <c r="U2094" s="3" t="inlineStr">
        <is>
          <t>정방형</t>
        </is>
      </c>
      <c r="V2094" s="3" t="inlineStr">
        <is>
          <t>중로한면</t>
        </is>
      </c>
    </row>
    <row r="2095">
      <c r="A2095" s="3" t="inlineStr">
        <is>
          <t>오송읍 정중리 773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258.9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580.4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정중리 산13-1</t>
        </is>
      </c>
      <c r="B2096" s="3" t="inlineStr">
        <is>
          <t>계획관리지역</t>
        </is>
      </c>
      <c r="C2096" s="3" t="inlineStr">
        <is>
          <t>임야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16.7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6437</v>
      </c>
      <c r="R2096" s="3" t="inlineStr">
        <is>
          <t>지정되지않음</t>
        </is>
      </c>
      <c r="S2096" s="3" t="inlineStr">
        <is>
          <t>자연림</t>
        </is>
      </c>
      <c r="T2096" s="3" t="inlineStr">
        <is>
          <t>완경사</t>
        </is>
      </c>
      <c r="U2096" s="3" t="inlineStr">
        <is>
          <t>부정형</t>
        </is>
      </c>
      <c r="V2096" s="3" t="inlineStr">
        <is>
          <t>세로한면(불)</t>
        </is>
      </c>
    </row>
    <row r="2097">
      <c r="A2097" s="3" t="inlineStr">
        <is>
          <t>오송읍 호계리 143-1</t>
        </is>
      </c>
      <c r="B2097" s="3" t="inlineStr">
        <is>
          <t>농림지역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30.4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2059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세로한면(가)</t>
        </is>
      </c>
    </row>
    <row r="2098">
      <c r="A2098" s="3" t="inlineStr">
        <is>
          <t>오송읍 호계리 152-1</t>
        </is>
      </c>
      <c r="B2098" s="3" t="inlineStr">
        <is>
          <t>계획관리지역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39.1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962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부정형</t>
        </is>
      </c>
      <c r="V2098" s="3" t="inlineStr">
        <is>
          <t>세로각지(가)</t>
        </is>
      </c>
    </row>
    <row r="2099">
      <c r="A2099" s="3" t="inlineStr">
        <is>
          <t>오송읍 호계리 155-1</t>
        </is>
      </c>
      <c r="B2099" s="3" t="inlineStr">
        <is>
          <t>계획관리지역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38.1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2943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세로한면(가)</t>
        </is>
      </c>
    </row>
    <row r="2100">
      <c r="A2100" s="3" t="inlineStr">
        <is>
          <t>오송읍 호계리 224-2</t>
        </is>
      </c>
      <c r="B2100" s="3" t="inlineStr">
        <is>
          <t>생산관리지역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51.1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899</v>
      </c>
      <c r="R2100" s="3" t="inlineStr">
        <is>
          <t>지정되지않음</t>
        </is>
      </c>
      <c r="S2100" s="3" t="inlineStr">
        <is>
          <t>답기타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중로한면</t>
        </is>
      </c>
    </row>
    <row r="2101">
      <c r="A2101" s="3" t="inlineStr">
        <is>
          <t>오송읍 호계리 230-3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32.4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1595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호계리 3-2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33.6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1494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맹지</t>
        </is>
      </c>
    </row>
    <row r="2103">
      <c r="A2103" s="3" t="inlineStr">
        <is>
          <t>오송읍 호계리 50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40.1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1927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30200</v>
      </c>
      <c r="G2173" s="4" t="n">
        <v>499</v>
      </c>
      <c r="H2173" s="4" t="n">
        <v>151</v>
      </c>
      <c r="I2173" s="5" t="n">
        <v>200</v>
      </c>
      <c r="J2173" s="5" t="n">
        <v>35.3</v>
      </c>
      <c r="K2173" s="3" t="inlineStr">
        <is>
          <t>지대가 높아 뷰가 좋은 위치,한옥주택 및 김종서장군묘소 인접,4필지 매매</t>
        </is>
      </c>
      <c r="L2173" s="6">
        <f>HYPERLINK("https://fin.land.naver.com/articles/2655577711", "매물Link")</f>
        <v/>
      </c>
      <c r="M2173" s="6">
        <f>HYPERLINK("https://map.naver.com/p/search/장군면 대교리 348", "지도Link")</f>
        <v/>
      </c>
      <c r="N2173" s="6">
        <f>HYPERLINK("http://www.eum.go.kr/web/ar/lu/luLandDet.jsp?pnu=3611035023103480000&amp;isNoScr=script&amp;mode=search", "토지이음")</f>
        <v/>
      </c>
      <c r="O2173" s="3" t="inlineStr">
        <is>
          <t>고운맘</t>
        </is>
      </c>
      <c r="P2173" s="4" t="n">
        <v>1</v>
      </c>
      <c r="Q2173" s="4" t="n">
        <v>499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47000</v>
      </c>
      <c r="G2174" s="4" t="n">
        <v>499</v>
      </c>
      <c r="H2174" s="4" t="n">
        <v>151</v>
      </c>
      <c r="I2174" s="5" t="n">
        <v>311.3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HYPERLINK("https://fin.land.naver.com/articles/2652479249", "매물Link")</f>
        <v/>
      </c>
      <c r="M2174" s="6">
        <f>HYPERLINK("https://map.naver.com/p/search/장군면 대교리 348", "지도Link")</f>
        <v/>
      </c>
      <c r="N2174" s="6">
        <f>HYPERLINK("http://www.eum.go.kr/web/ar/lu/luLandDet.jsp?pnu=3611035023103480000&amp;isNoScr=script&amp;mode=search", "토지이음")</f>
        <v/>
      </c>
      <c r="O2174" s="3" t="inlineStr">
        <is>
          <t>그래그</t>
        </is>
      </c>
      <c r="P2174" s="4" t="n">
        <v>2</v>
      </c>
      <c r="Q2174" s="4" t="n">
        <v>499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348-1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대</t>
        </is>
      </c>
      <c r="E2175" s="3" t="inlineStr">
        <is>
          <t>매매</t>
        </is>
      </c>
      <c r="F2175" s="4" t="n">
        <v>28000</v>
      </c>
      <c r="G2175" s="4" t="n">
        <v>516</v>
      </c>
      <c r="H2175" s="4" t="n">
        <v>156</v>
      </c>
      <c r="I2175" s="5" t="n">
        <v>179.5</v>
      </c>
      <c r="J2175" s="5" t="n">
        <v>35.3</v>
      </c>
      <c r="K2175" s="3" t="inlineStr">
        <is>
          <t>근생부지허가난 토지,가격조율</t>
        </is>
      </c>
      <c r="L2175" s="6">
        <f>HYPERLINK("https://fin.land.naver.com/articles/2654851939", "매물Link")</f>
        <v/>
      </c>
      <c r="M2175" s="6">
        <f>HYPERLINK("https://map.naver.com/p/search/장군면 대교리 348-1", "지도Link")</f>
        <v/>
      </c>
      <c r="N2175" s="6">
        <f>HYPERLINK("http://www.eum.go.kr/web/ar/lu/luLandDet.jsp?pnu=3611035023103480001&amp;isNoScr=script&amp;mode=search", "토지이음")</f>
        <v/>
      </c>
      <c r="O2175" s="3" t="inlineStr">
        <is>
          <t>담뜰</t>
        </is>
      </c>
      <c r="P2175" s="4" t="n">
        <v>2</v>
      </c>
      <c r="Q2175" s="4" t="n">
        <v>516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348-4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39000</v>
      </c>
      <c r="G2176" s="4" t="n">
        <v>710</v>
      </c>
      <c r="H2176" s="4" t="n">
        <v>215</v>
      </c>
      <c r="I2176" s="5" t="n">
        <v>181.4</v>
      </c>
      <c r="J2176" s="5" t="n">
        <v>35.3</v>
      </c>
      <c r="K2176" s="3" t="inlineStr">
        <is>
          <t>가격조정가능</t>
        </is>
      </c>
      <c r="L2176" s="6">
        <f>HYPERLINK("https://fin.land.naver.com/articles/2654384477", "매물Link")</f>
        <v/>
      </c>
      <c r="M2176" s="6">
        <f>HYPERLINK("https://map.naver.com/p/search/장군면 대교리 348-4", "지도Link")</f>
        <v/>
      </c>
      <c r="N2176" s="6">
        <f>HYPERLINK("http://www.eum.go.kr/web/ar/lu/luLandDet.jsp?pnu=3611035023103480004&amp;isNoScr=script&amp;mode=search", "토지이음")</f>
        <v/>
      </c>
      <c r="O2176" s="3" t="inlineStr">
        <is>
          <t>그래그</t>
        </is>
      </c>
      <c r="P2176" s="4" t="n">
        <v>1</v>
      </c>
      <c r="Q2176" s="4" t="n">
        <v>710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348-6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28000</v>
      </c>
      <c r="G2177" s="4" t="n">
        <v>511</v>
      </c>
      <c r="H2177" s="4" t="n">
        <v>155</v>
      </c>
      <c r="I2177" s="5" t="n">
        <v>180.6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HYPERLINK("https://fin.land.naver.com/articles/2652481467", "매물Link")</f>
        <v/>
      </c>
      <c r="M2177" s="6">
        <f>HYPERLINK("https://map.naver.com/p/search/장군면 대교리 348-6", "지도Link")</f>
        <v/>
      </c>
      <c r="N2177" s="6">
        <f>HYPERLINK("http://www.eum.go.kr/web/ar/lu/luLandDet.jsp?pnu=3611035023103480006&amp;isNoScr=script&amp;mode=search", "토지이음")</f>
        <v/>
      </c>
      <c r="O2177" s="3" t="inlineStr">
        <is>
          <t>그래그</t>
        </is>
      </c>
      <c r="P2177" s="4" t="n">
        <v>1</v>
      </c>
      <c r="Q2177" s="4" t="n">
        <v>511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5" t="n">
        <v>44.7</v>
      </c>
      <c r="K2192" s="3" t="inlineStr">
        <is>
          <t>김종서장군 역사테마공원 가는길 도로변 농림지역 토지</t>
        </is>
      </c>
      <c r="L2192" s="6">
        <f>HYPERLINK("https://fin.land.naver.com/articles/2656063188", "매물Link")</f>
        <v/>
      </c>
      <c r="M2192" s="6">
        <f>HYPERLINK("https://map.naver.com/p/search/장군면 대교리 433-13",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온뜰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5" t="n">
        <v>44.7</v>
      </c>
      <c r="K2193" s="3" t="inlineStr">
        <is>
          <t>김종서장군 역사테마공원 인근 도로에 2면 접한 토지</t>
        </is>
      </c>
      <c r="L2193" s="6">
        <f>HYPERLINK("https://fin.land.naver.com/articles/2652100664", "매물Link")</f>
        <v/>
      </c>
      <c r="M2193" s="6">
        <f>HYPERLINK("https://map.naver.com/p/search/장군면 대교리 433-13",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미스터홈즈강남지사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5" t="n">
        <v>239.6</v>
      </c>
      <c r="K2262" s="3" t="inlineStr">
        <is>
          <t>도로지분 포함, 건축허가되어 있는 가치있는 토지에 투자하세요</t>
        </is>
      </c>
      <c r="L2262" s="6">
        <f>HYPERLINK("https://fin.land.naver.com/articles/2655207829", "매물Link")</f>
        <v/>
      </c>
      <c r="M2262" s="6">
        <f>HYPERLINK("https://map.naver.com/p/search/장군면 봉안리 216-12",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수자인시티</t>
        </is>
      </c>
      <c r="P2262" s="4" t="n">
        <v>2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5" t="n">
        <v>194.2</v>
      </c>
      <c r="K2271" s="3" t="inlineStr">
        <is>
          <t>프라우드힐 단독주택지</t>
        </is>
      </c>
      <c r="L2271" s="6">
        <f>HYPERLINK("https://fin.land.naver.com/articles/2652349234", "매물Link")</f>
        <v/>
      </c>
      <c r="M2271" s="6">
        <f>HYPERLINK("https://map.naver.com/p/search/장군면 봉안리 22-71",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세종몽땅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5" t="n">
        <v>194.2</v>
      </c>
      <c r="K2272" s="3" t="inlineStr">
        <is>
          <t>급매,행복마을 프라우드힐,다정동 인접,벙커형 주차장가능,저렴한 택지</t>
        </is>
      </c>
      <c r="L2272" s="6">
        <f>HYPERLINK("https://fin.land.naver.com/articles/2650851587", "매물Link")</f>
        <v/>
      </c>
      <c r="M2272" s="6">
        <f>HYPERLINK("https://map.naver.com/p/search/장군면 봉안리 22-71",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고운맘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5" t="n">
        <v>174.2</v>
      </c>
      <c r="K2285" s="3" t="inlineStr">
        <is>
          <t>장군면 봉안리 계획관리 잡종지 매매</t>
        </is>
      </c>
      <c r="L2285" s="6">
        <f>HYPERLINK("https://fin.land.naver.com/articles/2653974780", "매물Link")</f>
        <v/>
      </c>
      <c r="M2285" s="6">
        <f>HYPERLINK("https://map.naver.com/p/search/장군면 봉안리 287-2",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갤러리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5" t="n">
        <v>174.2</v>
      </c>
      <c r="K2286" s="3" t="inlineStr">
        <is>
          <t>공시지가로 매매하는 장군면 봉안리 계획관리지역 잡종지 급매합니다</t>
        </is>
      </c>
      <c r="L2286" s="6">
        <f>HYPERLINK("https://fin.land.naver.com/articles/2655557008", "매물Link")</f>
        <v/>
      </c>
      <c r="M2286" s="6">
        <f>HYPERLINK("https://map.naver.com/p/search/장군면 봉안리 287-2",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5" t="n">
        <v>121.9</v>
      </c>
      <c r="K2295" s="3" t="inlineStr">
        <is>
          <t>nan</t>
        </is>
      </c>
      <c r="L2295" s="6">
        <f>HYPERLINK("https://fin.land.naver.com/articles/2653570365", "매물Link")</f>
        <v/>
      </c>
      <c r="M2295" s="6">
        <f>HYPERLINK("https://map.naver.com/p/search/장군면 봉안리 4-20",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보람최고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5" t="n">
        <v>121.9</v>
      </c>
      <c r="K2296" s="3" t="inlineStr">
        <is>
          <t>급매 행복도시인접한전원주택지 분할매매가능 도로지분포함</t>
        </is>
      </c>
      <c r="L2296" s="6">
        <f>HYPERLINK("https://fin.land.naver.com/articles/2654842048", "매물Link")</f>
        <v/>
      </c>
      <c r="M2296" s="6">
        <f>HYPERLINK("https://map.naver.com/p/search/장군면 봉안리 4-20",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레몬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5" t="n">
        <v>94.2</v>
      </c>
      <c r="K2345" s="3" t="inlineStr">
        <is>
          <t>생명나무, 초급매 도로낀 계획관리 사각형모양 ,대교천 가까운 토지</t>
        </is>
      </c>
      <c r="L2345" s="6">
        <f>HYPERLINK("https://fin.land.naver.com/articles/2651248453", "매물Link")</f>
        <v/>
      </c>
      <c r="M2345" s="6">
        <f>HYPERLINK("https://map.naver.com/p/search/장군면 송문리 26-3",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생명나무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5" t="n">
        <v>94.2</v>
      </c>
      <c r="K2346" s="3" t="inlineStr">
        <is>
          <t>세종시 장군면 송문리 잘 형성된 전원주택지 시세 이하 급매</t>
        </is>
      </c>
      <c r="L2346" s="6">
        <f>HYPERLINK("https://fin.land.naver.com/articles/2655852349", "매물Link")</f>
        <v/>
      </c>
      <c r="M2346" s="6">
        <f>HYPERLINK("https://map.naver.com/p/search/장군면 송문리 26-3",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나침반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</t>
        </is>
      </c>
      <c r="B2353" s="3" t="inlineStr">
        <is>
          <t>보전관리지역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85000</v>
      </c>
      <c r="G2353" s="4" t="n">
        <v>2532</v>
      </c>
      <c r="H2353" s="4" t="n">
        <v>766</v>
      </c>
      <c r="I2353" s="5" t="n">
        <v>111</v>
      </c>
      <c r="J2353" s="5" t="n">
        <v>31.4</v>
      </c>
      <c r="K2353" s="3" t="inlineStr">
        <is>
          <t>조망감이 산정상에서 휴양하는듯</t>
        </is>
      </c>
      <c r="L2353" s="6">
        <f>HYPERLINK("https://fin.land.naver.com/articles/2651964326", "매물Link")</f>
        <v/>
      </c>
      <c r="M2353" s="6">
        <f>HYPERLINK("https://map.naver.com/p/search/장군면 송문리 355", "지도Link")</f>
        <v/>
      </c>
      <c r="N2353" s="6">
        <f>HYPERLINK("http://www.eum.go.kr/web/ar/lu/luLandDet.jsp?pnu=3611035029103550000&amp;isNoScr=script&amp;mode=search", "토지이음")</f>
        <v/>
      </c>
      <c r="O2353" s="3" t="inlineStr">
        <is>
          <t>용궁</t>
        </is>
      </c>
      <c r="P2353" s="4" t="n">
        <v>1</v>
      </c>
      <c r="Q2353" s="4" t="n">
        <v>1974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355-11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73000</v>
      </c>
      <c r="G2354" s="4" t="n">
        <v>948</v>
      </c>
      <c r="H2354" s="4" t="n">
        <v>287</v>
      </c>
      <c r="I2354" s="5" t="n">
        <v>254.4</v>
      </c>
      <c r="J2354" s="5" t="n">
        <v>80</v>
      </c>
      <c r="K2354" s="3" t="inlineStr">
        <is>
          <t>nan</t>
        </is>
      </c>
      <c r="L2354" s="6">
        <f>HYPERLINK("https://fin.land.naver.com/articles/2653636969", "매물Link")</f>
        <v/>
      </c>
      <c r="M2354" s="6">
        <f>HYPERLINK("https://map.naver.com/p/search/장군면 송문리 355-11", "지도Link")</f>
        <v/>
      </c>
      <c r="N2354" s="6">
        <f>HYPERLINK("http://www.eum.go.kr/web/ar/lu/luLandDet.jsp?pnu=3611035029103550011&amp;isNoScr=script&amp;mode=search", "토지이음")</f>
        <v/>
      </c>
      <c r="O2354" s="3" t="inlineStr">
        <is>
          <t>고운동리치세종</t>
        </is>
      </c>
      <c r="P2354" s="4" t="n">
        <v>1</v>
      </c>
      <c r="Q2354" s="4" t="n">
        <v>948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355-37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21000</v>
      </c>
      <c r="G2355" s="4" t="n">
        <v>579</v>
      </c>
      <c r="H2355" s="4" t="n">
        <v>175</v>
      </c>
      <c r="I2355" s="5" t="n">
        <v>120</v>
      </c>
      <c r="J2355" s="5" t="n">
        <v>21.2</v>
      </c>
      <c r="K2355" s="3" t="inlineStr">
        <is>
          <t>상하수도 전기 통신 가능. 매수해두셨다가 편할 때 주택 지으세요</t>
        </is>
      </c>
      <c r="L2355" s="6">
        <f>HYPERLINK("https://fin.land.naver.com/articles/2652033922", "매물Link")</f>
        <v/>
      </c>
      <c r="M2355" s="6">
        <f>HYPERLINK("https://map.naver.com/p/search/장군면 송문리 355-37", "지도Link")</f>
        <v/>
      </c>
      <c r="N2355" s="6">
        <f>HYPERLINK("http://www.eum.go.kr/web/ar/lu/luLandDet.jsp?pnu=3611035029103550037&amp;isNoScr=script&amp;mode=search",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579</v>
      </c>
      <c r="R2355" s="3" t="inlineStr">
        <is>
          <t>지정되지않음</t>
        </is>
      </c>
      <c r="S2355" s="3" t="inlineStr">
        <is>
          <t>자연림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5" t="n">
        <v>37.5</v>
      </c>
      <c r="K2385" s="3" t="inlineStr">
        <is>
          <t>계획관리지역 토지매매</t>
        </is>
      </c>
      <c r="L2385" s="6">
        <f>HYPERLINK("https://fin.land.naver.com/articles/2652873325", "매물Link")</f>
        <v/>
      </c>
      <c r="M2385" s="6">
        <f>HYPERLINK("https://map.naver.com/p/search/장군면 송정리 556-5",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450000</v>
      </c>
      <c r="G2402" s="4" t="n">
        <v>10003</v>
      </c>
      <c r="H2402" s="4" t="n">
        <v>3026</v>
      </c>
      <c r="I2402" s="5" t="n">
        <v>148.7</v>
      </c>
      <c r="J2402" s="5" t="n">
        <v>27.5</v>
      </c>
      <c r="K2402" s="3" t="inlineStr">
        <is>
          <t>계획관리지역 알토란 토지,실외 골프연습장,전원주택지조성,가격조정가능</t>
        </is>
      </c>
      <c r="L2402" s="6">
        <f>HYPERLINK("https://fin.land.naver.com/articles/2651445631", "매물Link")</f>
        <v/>
      </c>
      <c r="M2402" s="6">
        <f>HYPERLINK("https://map.naver.com/p/search/장군면 송학리 212", "지도Link")</f>
        <v/>
      </c>
      <c r="N2402" s="6">
        <f>HYPERLINK("http://www.eum.go.kr/web/ar/lu/luLandDet.jsp?pnu=3611035031102120000&amp;isNoScr=script&amp;mode=search",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8934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453000</v>
      </c>
      <c r="G2403" s="4" t="n">
        <v>10003</v>
      </c>
      <c r="H2403" s="4" t="n">
        <v>3026</v>
      </c>
      <c r="I2403" s="5" t="n">
        <v>149.7</v>
      </c>
      <c r="J2403" s="5" t="n">
        <v>28.6</v>
      </c>
      <c r="K2403" s="3" t="inlineStr">
        <is>
          <t>계획관리지역 임야, 실외 골프연습장 설치, 전원주택지 개발 등 추천</t>
        </is>
      </c>
      <c r="L2403" s="6">
        <f>HYPERLINK("https://fin.land.naver.com/articles/2655656837", "매물Link")</f>
        <v/>
      </c>
      <c r="M2403" s="6">
        <f>HYPERLINK("https://map.naver.com/p/search/장군면 송학리 212-1", "지도Link")</f>
        <v/>
      </c>
      <c r="N2403" s="6">
        <f>HYPERLINK("http://www.eum.go.kr/web/ar/lu/luLandDet.jsp?pnu=3611035031102120001&amp;isNoScr=script&amp;mode=search",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1069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5" t="n">
        <v>40.3</v>
      </c>
      <c r="K2417" s="3" t="inlineStr">
        <is>
          <t>입지좋은 계획관리지역, 도로인접으로 전원주택활용 및 투자가치 높은 토지</t>
        </is>
      </c>
      <c r="L2417" s="6">
        <f>HYPERLINK("https://fin.land.naver.com/articles/2653717060", "매물Link")</f>
        <v/>
      </c>
      <c r="M2417" s="6">
        <f>HYPERLINK("https://map.naver.com/p/search/장군면 송학리 483-2",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마곡9단지</t>
        </is>
      </c>
      <c r="P2417" s="4" t="n">
        <v>5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5" t="n">
        <v>40.3</v>
      </c>
      <c r="K2418" s="3" t="inlineStr">
        <is>
          <t>계획관리지역 현황도로 접, 앞면 탁트이고 주변 풍광 뛰어나 전원주택 추천</t>
        </is>
      </c>
      <c r="L2418" s="6">
        <f>HYPERLINK("https://fin.land.naver.com/articles/2651028782", "매물Link")</f>
        <v/>
      </c>
      <c r="M2418" s="6">
        <f>HYPERLINK("https://map.naver.com/p/search/장군면 송학리 483-2",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2차선 의당전의로 접한 계획관리지역 임야, 음식점 또는 커피숍 추천</t>
        </is>
      </c>
      <c r="L2424" s="6">
        <f>HYPERLINK("https://fin.land.naver.com/articles/2651030469", "매물Link")</f>
        <v/>
      </c>
      <c r="M2424" s="6">
        <f>HYPERLINK("https://map.naver.com/p/search/장군면 송학리 산38-11",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온뜰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nan</t>
        </is>
      </c>
      <c r="L2425" s="6">
        <f>HYPERLINK("https://fin.land.naver.com/articles/2653655308", "매물Link")</f>
        <v/>
      </c>
      <c r="M2425" s="6">
        <f>HYPERLINK("https://map.naver.com/p/search/장군면 송학리 산38-11",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세종몽땅</t>
        </is>
      </c>
      <c r="P2425" s="4" t="n">
        <v>1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게획관리지역 임야 2차선변 접.</t>
        </is>
      </c>
      <c r="L2426" s="6">
        <f>HYPERLINK("https://fin.land.naver.com/articles/2656166824", "매물Link")</f>
        <v/>
      </c>
      <c r="M2426" s="6">
        <f>HYPERLINK("https://map.naver.com/p/search/장군면 송학리 산38-11",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로데오상가</t>
        </is>
      </c>
      <c r="P2426" s="4" t="n">
        <v>4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</t>
        </is>
      </c>
      <c r="B2428" s="3" t="inlineStr">
        <is>
          <t>생산관리지역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36000</v>
      </c>
      <c r="G2428" s="4" t="n">
        <v>541</v>
      </c>
      <c r="H2428" s="4" t="n">
        <v>164</v>
      </c>
      <c r="I2428" s="5" t="n">
        <v>219.5</v>
      </c>
      <c r="J2428" s="5" t="n">
        <v>33.8</v>
      </c>
      <c r="K2428" s="3" t="inlineStr">
        <is>
          <t>세종국가산단과 정안세종전용도로 사이에 2차선도로에 접한 토지이용도 최상</t>
        </is>
      </c>
      <c r="L2428" s="6">
        <f>HYPERLINK("https://fin.land.naver.com/articles/2652982238", "매물Link")</f>
        <v/>
      </c>
      <c r="M2428" s="6">
        <f>HYPERLINK("https://map.naver.com/p/search/장군면 용암리 111", "지도Link")</f>
        <v/>
      </c>
      <c r="N2428" s="6">
        <f>HYPERLINK("http://www.eum.go.kr/web/ar/lu/luLandDet.jsp?pnu=3611035033101110000&amp;isNoScr=script&amp;mode=search", "토지이음")</f>
        <v/>
      </c>
      <c r="O2428" s="3" t="inlineStr">
        <is>
          <t>온누리</t>
        </is>
      </c>
      <c r="P2428" s="4" t="n">
        <v>1</v>
      </c>
      <c r="Q2428" s="4" t="n">
        <v>541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소로한면</t>
        </is>
      </c>
    </row>
    <row r="2429">
      <c r="A2429" s="3" t="inlineStr">
        <is>
          <t>장군면 용암리 111-3</t>
        </is>
      </c>
      <c r="B2429" s="3" t="inlineStr">
        <is>
          <t>생산관리지역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45000</v>
      </c>
      <c r="G2429" s="4" t="n">
        <v>2020</v>
      </c>
      <c r="H2429" s="4" t="n">
        <v>611</v>
      </c>
      <c r="I2429" s="5" t="n">
        <v>73.59999999999999</v>
      </c>
      <c r="J2429" s="5" t="n">
        <v>21.7</v>
      </c>
      <c r="K2429" s="3" t="inlineStr">
        <is>
          <t>성장관리계획구역,  답, 충대병원 근거리, 국유지인접사용가능</t>
        </is>
      </c>
      <c r="L2429" s="6">
        <f>HYPERLINK("https://fin.land.naver.com/articles/2652534308", "매물Link")</f>
        <v/>
      </c>
      <c r="M2429" s="6">
        <f>HYPERLINK("https://map.naver.com/p/search/장군면 용암리 111-3", "지도Link")</f>
        <v/>
      </c>
      <c r="N2429" s="6">
        <f>HYPERLINK("http://www.eum.go.kr/web/ar/lu/luLandDet.jsp?pnu=3611035033101110003&amp;isNoScr=script&amp;mode=search", "토지이음")</f>
        <v/>
      </c>
      <c r="O2429" s="3" t="inlineStr">
        <is>
          <t>SK랜드</t>
        </is>
      </c>
      <c r="P2429" s="4" t="n">
        <v>1</v>
      </c>
      <c r="Q2429" s="4" t="n">
        <v>496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맹지</t>
        </is>
      </c>
    </row>
    <row r="2430">
      <c r="A2430" s="3" t="inlineStr">
        <is>
          <t>장군면 용암리 146-3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140000</v>
      </c>
      <c r="G2439" s="4" t="n">
        <v>3399</v>
      </c>
      <c r="H2439" s="4" t="n">
        <v>1028</v>
      </c>
      <c r="I2439" s="5" t="n">
        <v>136.2</v>
      </c>
      <c r="J2439" s="5" t="n">
        <v>34.7</v>
      </c>
      <c r="K2439" s="3" t="inlineStr">
        <is>
          <t>2차선 접한 넓은 토지.</t>
        </is>
      </c>
      <c r="L2439" s="6">
        <f>HYPERLINK("https://fin.land.naver.com/articles/2651423050", "매물Link")</f>
        <v/>
      </c>
      <c r="M2439" s="6">
        <f>HYPERLINK("https://map.naver.com/p/search/장군면 용암리 668-1",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세종소담114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150000</v>
      </c>
      <c r="G2440" s="4" t="n">
        <v>3399</v>
      </c>
      <c r="H2440" s="4" t="n">
        <v>1028</v>
      </c>
      <c r="I2440" s="5" t="n">
        <v>145.9</v>
      </c>
      <c r="J2440" s="5" t="n">
        <v>34.7</v>
      </c>
      <c r="K2440" s="3" t="inlineStr">
        <is>
          <t>서세종 ic  근접 토지, 세종시 확장, 미래가치기대 ,주말농장등</t>
        </is>
      </c>
      <c r="L2440" s="6">
        <f>HYPERLINK("https://fin.land.naver.com/articles/2652360213", "매물Link")</f>
        <v/>
      </c>
      <c r="M2440" s="6">
        <f>HYPERLINK("https://map.naver.com/p/search/장군면 용암리 668-1",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세종특별시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왕복6차선 도로접 계획관리.성장관리 토지</t>
        </is>
      </c>
      <c r="L2463" s="6">
        <f>HYPERLINK("https://fin.land.naver.com/articles/2650933064", "매물Link")</f>
        <v/>
      </c>
      <c r="M2463" s="6">
        <f>HYPERLINK("https://map.naver.com/p/search/장군면 은용리 82",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법조연합은온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6차선 도로접,위치 좋은 근생부지, 서비스센터부지 추천 ,</t>
        </is>
      </c>
      <c r="L2464" s="6">
        <f>HYPERLINK("https://fin.land.naver.com/articles/2652752326", "매물Link")</f>
        <v/>
      </c>
      <c r="M2464" s="6">
        <f>HYPERLINK("https://map.naver.com/p/search/장군면 은용리 82",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담뜰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5" t="n">
        <v>22.4</v>
      </c>
      <c r="K2471" s="3" t="inlineStr">
        <is>
          <t>세종신도시 인접한 농지 도로접근용이</t>
        </is>
      </c>
      <c r="L2471" s="6">
        <f>HYPERLINK("https://fin.land.naver.com/articles/2654543541", "매물Link")</f>
        <v/>
      </c>
      <c r="M2471" s="6">
        <f>HYPERLINK("https://map.naver.com/p/search/장군면 태산리 324-9",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포스코</t>
        </is>
      </c>
      <c r="P2471" s="4" t="n">
        <v>2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5" t="n">
        <v>22.4</v>
      </c>
      <c r="K2472" s="3" t="inlineStr">
        <is>
          <t>세종 장군면 평탄 농지, 영농·시설하우스 검토 추천</t>
        </is>
      </c>
      <c r="L2472" s="6">
        <f>HYPERLINK("https://fin.land.naver.com/articles/2655432030", "매물Link")</f>
        <v/>
      </c>
      <c r="M2472" s="6">
        <f>HYPERLINK("https://map.naver.com/p/search/장군면 태산리 324-9",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세종소담황금</t>
        </is>
      </c>
      <c r="P2472" s="4" t="n">
        <v>1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2차선 지방도에 접해있고 주택 건축이 가능한 농림지역, 인근 리조트 건설</t>
        </is>
      </c>
      <c r="L2476" s="6">
        <f>HYPERLINK("https://fin.land.naver.com/articles/2655656623", "매물Link")</f>
        <v/>
      </c>
      <c r="M2476" s="6">
        <f>HYPERLINK("https://map.naver.com/p/search/장군면 평기리 106-12",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급매, 농가주택 가능,  대토용, 투자용</t>
        </is>
      </c>
      <c r="L2477" s="6">
        <f>HYPERLINK("https://fin.land.naver.com/articles/2652663278", "매물Link")</f>
        <v/>
      </c>
      <c r="M2477" s="6">
        <f>HYPERLINK("https://map.naver.com/p/search/장군면 평기리 106-12",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33000</v>
      </c>
      <c r="G2484" s="4" t="n">
        <v>219</v>
      </c>
      <c r="H2484" s="4" t="n">
        <v>66</v>
      </c>
      <c r="I2484" s="5" t="n">
        <v>500</v>
      </c>
      <c r="J2484" s="5" t="n">
        <v>105.8</v>
      </c>
      <c r="K2484" s="3" t="inlineStr">
        <is>
          <t>2차선도로접,세종시근접,단독주택부지,근생부지로 추천</t>
        </is>
      </c>
      <c r="L2484" s="6">
        <f>HYPERLINK("https://fin.land.naver.com/articles/2651053830", "매물Link")</f>
        <v/>
      </c>
      <c r="M2484" s="6">
        <f>HYPERLINK("https://map.naver.com/p/search/장군면 평기리 214", "지도Link")</f>
        <v/>
      </c>
      <c r="N2484" s="6">
        <f>HYPERLINK("http://www.eum.go.kr/web/ar/lu/luLandDet.jsp?pnu=3611035022102140000&amp;isNoScr=script&amp;mode=search", "토지이음")</f>
        <v/>
      </c>
      <c r="O2484" s="3" t="inlineStr">
        <is>
          <t>담뜰</t>
        </is>
      </c>
      <c r="P2484" s="4" t="n">
        <v>1</v>
      </c>
      <c r="Q2484" s="4" t="n">
        <v>219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214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30000</v>
      </c>
      <c r="G2485" s="4" t="n">
        <v>219</v>
      </c>
      <c r="H2485" s="4" t="n">
        <v>66</v>
      </c>
      <c r="I2485" s="5" t="n">
        <v>454.5</v>
      </c>
      <c r="J2485" s="5" t="n">
        <v>105.8</v>
      </c>
      <c r="K2485" s="3" t="inlineStr">
        <is>
          <t>장군면 평기리 2차선변 계획관리 토지, 신도시 인근, 장군면소재지, 건축</t>
        </is>
      </c>
      <c r="L2485" s="6">
        <f>HYPERLINK("https://fin.land.naver.com/articles/2654029661", "매물Link")</f>
        <v/>
      </c>
      <c r="M2485" s="6">
        <f>HYPERLINK("https://map.naver.com/p/search/장군면 평기리 214",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스카이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320000</v>
      </c>
      <c r="G2486" s="4" t="n">
        <v>2358</v>
      </c>
      <c r="H2486" s="4" t="n">
        <v>713</v>
      </c>
      <c r="I2486" s="5" t="n">
        <v>448.8</v>
      </c>
      <c r="J2486" s="5" t="n">
        <v>107.9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HYPERLINK("https://fin.land.naver.com/articles/2654029786", "매물Link")</f>
        <v/>
      </c>
      <c r="M2486" s="6">
        <f>HYPERLINK("https://map.naver.com/p/search/장군면 평기리 214-1", "지도Link")</f>
        <v/>
      </c>
      <c r="N2486" s="6">
        <f>HYPERLINK("http://www.eum.go.kr/web/ar/lu/luLandDet.jsp?pnu=3611035022102140001&amp;isNoScr=script&amp;mode=search",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662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소로각지</t>
        </is>
      </c>
    </row>
    <row r="2487">
      <c r="A2487" s="3" t="inlineStr">
        <is>
          <t>장군면 평기리 217-4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월세</t>
        </is>
      </c>
      <c r="F2489" s="4" t="n">
        <v>3000</v>
      </c>
      <c r="G2489" s="4" t="n">
        <v>687</v>
      </c>
      <c r="H2489" s="4" t="n">
        <v>208</v>
      </c>
      <c r="I2489" s="5" t="n">
        <v>0.5</v>
      </c>
      <c r="J2489" s="5" t="n">
        <v>82</v>
      </c>
      <c r="K2489" s="3" t="inlineStr">
        <is>
          <t>2차선변 진출입 용이, 하천부지 추가사용가능</t>
        </is>
      </c>
      <c r="L2489" s="6">
        <f>HYPERLINK("https://fin.land.naver.com/articles/2652408710", "매물Link")</f>
        <v/>
      </c>
      <c r="M2489" s="6">
        <f>HYPERLINK("https://map.naver.com/p/search/장군면 평기리 22", "지도Link")</f>
        <v/>
      </c>
      <c r="N2489" s="6">
        <f>HYPERLINK("http://www.eum.go.kr/web/ar/lu/luLandDet.jsp?pnu=3611035022100220000&amp;isNoScr=script&amp;mode=search",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608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평기리 22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72500</v>
      </c>
      <c r="G2490" s="4" t="n">
        <v>687</v>
      </c>
      <c r="H2490" s="4" t="n">
        <v>208</v>
      </c>
      <c r="I2490" s="5" t="n">
        <v>348.6</v>
      </c>
      <c r="J2490" s="5" t="n">
        <v>82</v>
      </c>
      <c r="K2490" s="3" t="inlineStr">
        <is>
          <t>2차선변 진출입 용이,성장계획구역</t>
        </is>
      </c>
      <c r="L2490" s="6">
        <f>HYPERLINK("https://fin.land.naver.com/articles/2652408343", "매물Link")</f>
        <v/>
      </c>
      <c r="M2490" s="6">
        <f>HYPERLINK("https://map.naver.com/p/search/장군면 평기리 22", "지도Link")</f>
        <v/>
      </c>
      <c r="N2490" s="6">
        <f>HYPERLINK("http://www.eum.go.kr/web/ar/lu/luLandDet.jsp?pnu=3611035022100220000&amp;isNoScr=script&amp;mode=search", "토지이음")</f>
        <v/>
      </c>
      <c r="O2490" s="3" t="inlineStr">
        <is>
          <t>세종공주제일</t>
        </is>
      </c>
      <c r="P2490" s="4" t="n">
        <v>1</v>
      </c>
      <c r="Q2490" s="4" t="n">
        <v>608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평기리 220-3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42000</v>
      </c>
      <c r="G2491" s="4" t="n">
        <v>2020</v>
      </c>
      <c r="H2491" s="4" t="n">
        <v>611</v>
      </c>
      <c r="I2491" s="5" t="n">
        <v>68.7</v>
      </c>
      <c r="J2491" s="5" t="n">
        <v>56.8</v>
      </c>
      <c r="K2491" s="3" t="inlineStr">
        <is>
          <t>지적도상 구거에 접해있어 도로 개설 등 활용성 있는 계획관리 저렴 토지</t>
        </is>
      </c>
      <c r="L2491" s="6">
        <f>HYPERLINK("https://fin.land.naver.com/articles/2653568897", "매물Link")</f>
        <v/>
      </c>
      <c r="M2491" s="6">
        <f>HYPERLINK("https://map.naver.com/p/search/장군면 평기리 220-3", "지도Link")</f>
        <v/>
      </c>
      <c r="N2491" s="6">
        <f>HYPERLINK("http://www.eum.go.kr/web/ar/lu/luLandDet.jsp?pnu=3611035022102200003&amp;isNoScr=script&amp;mode=search",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2020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맹지</t>
        </is>
      </c>
    </row>
    <row r="2492">
      <c r="A2492" s="3" t="inlineStr">
        <is>
          <t>장군면 평기리 220-7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769000</v>
      </c>
      <c r="G2492" s="4" t="n">
        <v>10171</v>
      </c>
      <c r="H2492" s="4" t="n">
        <v>3077</v>
      </c>
      <c r="I2492" s="5" t="n">
        <v>249.9</v>
      </c>
      <c r="J2492" s="5" t="n">
        <v>71.7</v>
      </c>
      <c r="K2492" s="3" t="inlineStr">
        <is>
          <t>도로접 계획관리지역 조망권뷰 최상 다목적용도 가능,투자용 추천</t>
        </is>
      </c>
      <c r="L2492" s="6">
        <f>HYPERLINK("https://fin.land.naver.com/articles/2653220707", "매물Link")</f>
        <v/>
      </c>
      <c r="M2492" s="6">
        <f>HYPERLINK("https://map.naver.com/p/search/장군면 평기리 220-7", "지도Link")</f>
        <v/>
      </c>
      <c r="N2492" s="6">
        <f>HYPERLINK("http://www.eum.go.kr/web/ar/lu/luLandDet.jsp?pnu=3611035022102200007&amp;isNoScr=script&amp;mode=search", "토지이음")</f>
        <v/>
      </c>
      <c r="O2492" s="3" t="inlineStr">
        <is>
          <t>고운맘</t>
        </is>
      </c>
      <c r="P2492" s="4" t="n">
        <v>1</v>
      </c>
      <c r="Q2492" s="4" t="n">
        <v>10171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평기리 227-2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116300</v>
      </c>
      <c r="G2493" s="4" t="n">
        <v>2255</v>
      </c>
      <c r="H2493" s="4" t="n">
        <v>682</v>
      </c>
      <c r="I2493" s="5" t="n">
        <v>170.5</v>
      </c>
      <c r="J2493" s="5" t="n">
        <v>62</v>
      </c>
      <c r="K2493" s="3" t="inlineStr">
        <is>
          <t>장군면 귀한 계획관리 토지</t>
        </is>
      </c>
      <c r="L2493" s="6">
        <f>HYPERLINK("https://fin.land.naver.com/articles/2652261452", "매물Link")</f>
        <v/>
      </c>
      <c r="M2493" s="6">
        <f>HYPERLINK("https://map.naver.com/p/search/장군면 평기리 227-2", "지도Link")</f>
        <v/>
      </c>
      <c r="N2493" s="6">
        <f>HYPERLINK("http://www.eum.go.kr/web/ar/lu/luLandDet.jsp?pnu=3611035022102270002&amp;isNoScr=script&amp;mode=search",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2255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평기리 288-36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72000</v>
      </c>
      <c r="G2500" s="4" t="n">
        <v>1320</v>
      </c>
      <c r="H2500" s="4" t="n">
        <v>399</v>
      </c>
      <c r="I2500" s="5" t="n">
        <v>180.5</v>
      </c>
      <c r="J2500" s="5" t="n">
        <v>73.59999999999999</v>
      </c>
      <c r="K2500" s="3" t="inlineStr">
        <is>
          <t>과수원과 대지 2필지입니다. 전원주택, 세컨하우스로 좋습니다</t>
        </is>
      </c>
      <c r="L2500" s="6">
        <f>HYPERLINK("https://fin.land.naver.com/articles/2652101499", "매물Link")</f>
        <v/>
      </c>
      <c r="M2500" s="6">
        <f>HYPERLINK("https://map.naver.com/p/search/장군면 평기리 39", "지도Link")</f>
        <v/>
      </c>
      <c r="N2500" s="6">
        <f>HYPERLINK("http://www.eum.go.kr/web/ar/lu/luLandDet.jsp?pnu=3611035022100390000&amp;isNoScr=script&amp;mode=search", "토지이음")</f>
        <v/>
      </c>
      <c r="O2500" s="3" t="inlineStr">
        <is>
          <t>미스터홈즈강남지사</t>
        </is>
      </c>
      <c r="P2500" s="4" t="n">
        <v>1</v>
      </c>
      <c r="Q2500" s="4" t="n">
        <v>610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세로한면(불)</t>
        </is>
      </c>
    </row>
    <row r="2501">
      <c r="A2501" s="3" t="inlineStr">
        <is>
          <t>장군면 평기리 39-6</t>
        </is>
      </c>
      <c r="B2501" s="3" t="inlineStr">
        <is>
          <t>계획관리지역</t>
        </is>
      </c>
      <c r="C2501" s="3" t="inlineStr">
        <is>
          <t>과수원</t>
        </is>
      </c>
      <c r="D2501" s="3" t="inlineStr">
        <is>
          <t>과수원</t>
        </is>
      </c>
      <c r="E2501" s="3" t="inlineStr">
        <is>
          <t>매매</t>
        </is>
      </c>
      <c r="F2501" s="4" t="n">
        <v>36000</v>
      </c>
      <c r="G2501" s="4" t="n">
        <v>710</v>
      </c>
      <c r="H2501" s="4" t="n">
        <v>215</v>
      </c>
      <c r="I2501" s="5" t="n">
        <v>167.4</v>
      </c>
      <c r="J2501" s="5" t="n">
        <v>52.9</v>
      </c>
      <c r="K2501" s="3" t="inlineStr">
        <is>
          <t>nan</t>
        </is>
      </c>
      <c r="L2501" s="6">
        <f>HYPERLINK("https://fin.land.naver.com/articles/2653858376", "매물Link")</f>
        <v/>
      </c>
      <c r="M2501" s="6">
        <f>HYPERLINK("https://map.naver.com/p/search/장군면 평기리 39-6", "지도Link")</f>
        <v/>
      </c>
      <c r="N2501" s="6">
        <f>HYPERLINK("http://www.eum.go.kr/web/ar/lu/luLandDet.jsp?pnu=3611035022100390006&amp;isNoScr=script&amp;mode=search", "토지이음")</f>
        <v/>
      </c>
      <c r="O2501" s="3" t="inlineStr">
        <is>
          <t>돈방석</t>
        </is>
      </c>
      <c r="P2501" s="4" t="n">
        <v>1</v>
      </c>
      <c r="Q2501" s="4" t="n">
        <v>710</v>
      </c>
      <c r="R2501" s="3" t="inlineStr">
        <is>
          <t>지정되지않음</t>
        </is>
      </c>
      <c r="S2501" s="3" t="inlineStr">
        <is>
          <t>과수원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세로한면(불)</t>
        </is>
      </c>
    </row>
    <row r="2502">
      <c r="A2502" s="3" t="inlineStr">
        <is>
          <t>장군면 평기리 산35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5" t="n">
        <v>119.7</v>
      </c>
      <c r="K2520" s="3" t="inlineStr">
        <is>
          <t>급매 좋은가격,  귀한 계획관리 ,  투자가치높은토지 , 위치굿,대로변</t>
        </is>
      </c>
      <c r="L2520" s="6">
        <f>HYPERLINK("https://fin.land.naver.com/articles/2652357798", "매물Link")</f>
        <v/>
      </c>
      <c r="M2520" s="6">
        <f>HYPERLINK("https://map.naver.com/p/search/장군면 하봉리 37-20",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세종특별시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5" t="n">
        <v>119.7</v>
      </c>
      <c r="K2521" s="3" t="inlineStr">
        <is>
          <t>서세종IC인근.4차선포장도로변.계획관리지역.광고효과최고.단독음식점및물류</t>
        </is>
      </c>
      <c r="L2521" s="6">
        <f>HYPERLINK("https://fin.land.naver.com/articles/2656100117", "매물Link")</f>
        <v/>
      </c>
      <c r="M2521" s="6">
        <f>HYPERLINK("https://map.naver.com/p/search/장군면 하봉리 37-20",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돈방석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1576</v>
      </c>
      <c r="H2530" s="4" t="n">
        <v>477</v>
      </c>
      <c r="I2530" s="5" t="n">
        <v>140.5</v>
      </c>
      <c r="J2530" s="5" t="n">
        <v>52</v>
      </c>
      <c r="K2530" s="3" t="inlineStr">
        <is>
          <t>2차선 도로접,세종IC 인접, 세종 행복도심과 공주 송선동현지구 중심입</t>
        </is>
      </c>
      <c r="L2530" s="6">
        <f>HYPERLINK("https://fin.land.naver.com/articles/2654927929", "매물Link")</f>
        <v/>
      </c>
      <c r="M2530" s="6">
        <f>HYPERLINK("https://map.naver.com/p/search/장군면 하봉리 481-4",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세종신한</t>
        </is>
      </c>
      <c r="P2530" s="4" t="n">
        <v>10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66700</v>
      </c>
      <c r="G2531" s="4" t="n">
        <v>1576</v>
      </c>
      <c r="H2531" s="4" t="n">
        <v>477</v>
      </c>
      <c r="I2531" s="5" t="n">
        <v>139.8</v>
      </c>
      <c r="J2531" s="5" t="n">
        <v>52</v>
      </c>
      <c r="K2531" s="3" t="inlineStr">
        <is>
          <t>메타세쿼이아 숲 조성, 계획관리지역, 서세종IC 차량 약 5분</t>
        </is>
      </c>
      <c r="L2531" s="6">
        <f>HYPERLINK("https://fin.land.naver.com/articles/2654291684", "매물Link")</f>
        <v/>
      </c>
      <c r="M2531" s="6">
        <f>HYPERLINK("https://map.naver.com/p/search/장군면 하봉리 481-4",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세종소담황금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5" t="n">
        <v>52</v>
      </c>
      <c r="K2532" s="3" t="inlineStr">
        <is>
          <t>서세종IC 인근 도로접한 계획관리지역 성장관리계획구역 알토란 토지</t>
        </is>
      </c>
      <c r="L2532" s="6">
        <f>HYPERLINK("https://fin.land.naver.com/articles/2654370217", "매물Link")</f>
        <v/>
      </c>
      <c r="M2532" s="6">
        <f>HYPERLINK("https://map.naver.com/p/search/장군면 하봉리 481-4",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62000</v>
      </c>
      <c r="G2533" s="4" t="n">
        <v>1576</v>
      </c>
      <c r="H2533" s="4" t="n">
        <v>477</v>
      </c>
      <c r="I2533" s="5" t="n">
        <v>130</v>
      </c>
      <c r="J2533" s="5" t="n">
        <v>52</v>
      </c>
      <c r="K2533" s="3" t="inlineStr">
        <is>
          <t>세종 장군면 하봉리 계획관리 농지 매매</t>
        </is>
      </c>
      <c r="L2533" s="6">
        <f>HYPERLINK("https://fin.land.naver.com/articles/2654258525", "매물Link")</f>
        <v/>
      </c>
      <c r="M2533" s="6">
        <f>HYPERLINK("https://map.naver.com/p/search/장군면 하봉리 481-4",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세종몽땅</t>
        </is>
      </c>
      <c r="P2533" s="4" t="n">
        <v>1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5" t="n">
        <v>52</v>
      </c>
      <c r="K2534" s="3" t="inlineStr">
        <is>
          <t>농지영농부담 없는곳 주변호재 투자최적</t>
        </is>
      </c>
      <c r="L2534" s="6">
        <f>HYPERLINK("https://fin.land.naver.com/articles/2653904494", "매물Link")</f>
        <v/>
      </c>
      <c r="M2534" s="6">
        <f>HYPERLINK("https://map.naver.com/p/search/장군면 하봉리 481-4",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신두정리치</t>
        </is>
      </c>
      <c r="P2534" s="4" t="n">
        <v>2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5" t="n">
        <v>53.9</v>
      </c>
      <c r="K2558" s="3" t="inlineStr">
        <is>
          <t>전동역과 전동산업단지에 근접하고 2차선도로에 접한 창고,상가 등 최상</t>
        </is>
      </c>
      <c r="L2558" s="6">
        <f>HYPERLINK("https://fin.land.naver.com/articles/2654228214", "매물Link")</f>
        <v/>
      </c>
      <c r="M2558" s="6">
        <f>HYPERLINK("https://map.naver.com/p/search/전동면 노장리 661-8",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온누리</t>
        </is>
      </c>
      <c r="P2558" s="4" t="n">
        <v>2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5" t="n">
        <v>53.9</v>
      </c>
      <c r="K2559" s="3" t="inlineStr">
        <is>
          <t>도로접, 연접.분할매도 가능, 투자가치상승</t>
        </is>
      </c>
      <c r="L2559" s="6">
        <f>HYPERLINK("https://fin.land.naver.com/articles/2652384856", "매물Link")</f>
        <v/>
      </c>
      <c r="M2559" s="6">
        <f>HYPERLINK("https://map.naver.com/p/search/전동면 노장리 661-8",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큰길</t>
        </is>
      </c>
      <c r="P2559" s="4" t="n">
        <v>1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5" t="n">
        <v>16.9</v>
      </c>
      <c r="K2588" s="3" t="inlineStr">
        <is>
          <t>보덕리</t>
        </is>
      </c>
      <c r="L2588" s="6">
        <f>HYPERLINK("https://fin.land.naver.com/articles/2653765438", "매물Link")</f>
        <v/>
      </c>
      <c r="M2588" s="6">
        <f>HYPERLINK("https://map.naver.com/p/search/전동면 보덕리 383-13",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대원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5" t="n">
        <v>16.9</v>
      </c>
      <c r="K2589" s="3" t="inlineStr">
        <is>
          <t>급매 복토해서 과수등 나무식재중입니다</t>
        </is>
      </c>
      <c r="L2589" s="6">
        <f>HYPERLINK("https://fin.land.naver.com/articles/2652043426", "매물Link")</f>
        <v/>
      </c>
      <c r="M2589" s="6">
        <f>HYPERLINK("https://map.naver.com/p/search/전동면 보덕리 383-13",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45000</v>
      </c>
      <c r="G2649" s="4" t="n">
        <v>2109</v>
      </c>
      <c r="H2649" s="4" t="n">
        <v>638</v>
      </c>
      <c r="I2649" s="5" t="n">
        <v>70.5</v>
      </c>
      <c r="J2649" s="5" t="n">
        <v>18.3</v>
      </c>
      <c r="K2649" s="3" t="inlineStr">
        <is>
          <t>도로따라 긴토지 매매</t>
        </is>
      </c>
      <c r="L2649" s="6">
        <f>HYPERLINK("https://fin.land.naver.com/articles/2653195490", "매물Link")</f>
        <v/>
      </c>
      <c r="M2649" s="6">
        <f>HYPERLINK("https://map.naver.com/p/search/전동면 심중리 391",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THE행복</t>
        </is>
      </c>
      <c r="P2649" s="4" t="n">
        <v>2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44600</v>
      </c>
      <c r="G2650" s="4" t="n">
        <v>2110</v>
      </c>
      <c r="H2650" s="4" t="n">
        <v>638</v>
      </c>
      <c r="I2650" s="5" t="n">
        <v>69.90000000000001</v>
      </c>
      <c r="J2650" s="5" t="n">
        <v>18.3</v>
      </c>
      <c r="K2650" s="3" t="inlineStr">
        <is>
          <t>계획관리 답,현재과수원,농막있음.대토추천</t>
        </is>
      </c>
      <c r="L2650" s="6">
        <f>HYPERLINK("https://fin.land.naver.com/articles/2651385415", "매물Link")</f>
        <v/>
      </c>
      <c r="M2650" s="6">
        <f>HYPERLINK("https://map.naver.com/p/search/전동면 심중리 391",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신안무소</t>
        </is>
      </c>
      <c r="P2650" s="4" t="n">
        <v>1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저렴한토지 매매 계획관리지역</t>
        </is>
      </c>
      <c r="L2653" s="6">
        <f>HYPERLINK("https://fin.land.naver.com/articles/2654661329", "매물Link")</f>
        <v/>
      </c>
      <c r="M2653" s="6">
        <f>HYPERLINK("https://map.naver.com/p/search/전동면 심중리 407-1",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세종부부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5" t="n">
        <v>23</v>
      </c>
      <c r="K2654" s="3" t="inlineStr">
        <is>
          <t>세종 심중리   관리하기 좋은 농지</t>
        </is>
      </c>
      <c r="L2654" s="6">
        <f>HYPERLINK("https://fin.land.naver.com/articles/2654214850", "매물Link")</f>
        <v/>
      </c>
      <c r="M2654" s="6">
        <f>HYPERLINK("https://map.naver.com/p/search/전동면 심중리 407-1",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세종몽땅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급매 계획관리토지,개발,주말농장 등</t>
        </is>
      </c>
      <c r="L2655" s="6">
        <f>HYPERLINK("https://fin.land.naver.com/articles/2655032773", "매물Link")</f>
        <v/>
      </c>
      <c r="M2655" s="6">
        <f>HYPERLINK("https://map.naver.com/p/search/전동면 심중리 407-1",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세종대박</t>
        </is>
      </c>
      <c r="P2655" s="4" t="n">
        <v>2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급매,2면 도로접 계획관리지역,산조망권 뷰,다용도 사용 가능,투자용 추천</t>
        </is>
      </c>
      <c r="L2656" s="6">
        <f>HYPERLINK("https://fin.land.naver.com/articles/2653336516", "매물Link")</f>
        <v/>
      </c>
      <c r="M2656" s="6">
        <f>HYPERLINK("https://map.naver.com/p/search/전동면 심중리 407-1",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가격조율가능,세종벤처밸리 일반산업단지 인접, 연기IC예정지 근접</t>
        </is>
      </c>
      <c r="L2663" s="6">
        <f>HYPERLINK("https://fin.land.naver.com/articles/2651463700", "매물Link")</f>
        <v/>
      </c>
      <c r="M2663" s="6">
        <f>HYPERLINK("https://map.naver.com/p/search/전동면 청람리 216-6",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담뜰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도로접 막힘없는 조망권뷰 최상,가족 및 종중묘자리,가격조정가능</t>
        </is>
      </c>
      <c r="L2664" s="6">
        <f>HYPERLINK("https://fin.land.naver.com/articles/2651450198", "매물Link")</f>
        <v/>
      </c>
      <c r="M2664" s="6">
        <f>HYPERLINK("https://map.naver.com/p/search/전동면 청람리 216-6",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고운맘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농지 매수를 검토하는 실수요자 세종 인근 토지 보유를 원하는 장기 보유형</t>
        </is>
      </c>
      <c r="L2670" s="6">
        <f>HYPERLINK("https://fin.land.naver.com/articles/2651605340", "매물Link")</f>
        <v/>
      </c>
      <c r="M2670" s="6">
        <f>HYPERLINK("https://map.naver.com/p/search/전동면 청람리 459",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생산관리지역성장관리계획구역</t>
        </is>
      </c>
      <c r="L2671" s="6">
        <f>HYPERLINK("https://fin.land.naver.com/articles/2655617228", "매물Link")</f>
        <v/>
      </c>
      <c r="M2671" s="6">
        <f>HYPERLINK("https://map.naver.com/p/search/전동면 청람리 459",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560000</v>
      </c>
      <c r="G2708" s="4" t="n">
        <v>53517</v>
      </c>
      <c r="H2708" s="4" t="n">
        <v>16189</v>
      </c>
      <c r="I2708" s="5" t="n">
        <v>34.6</v>
      </c>
      <c r="J2708" s="5" t="n">
        <v>4</v>
      </c>
      <c r="K2708" s="3" t="inlineStr">
        <is>
          <t>공장, 창고, 다용도, 2차선 접함.</t>
        </is>
      </c>
      <c r="L2708" s="6">
        <f>HYPERLINK("https://fin.land.naver.com/articles/2655311353", "매물Link")</f>
        <v/>
      </c>
      <c r="M2708" s="6">
        <f>HYPERLINK("https://map.naver.com/p/search/전의면 관정리 산66",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천안대성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567000</v>
      </c>
      <c r="G2709" s="4" t="n">
        <v>53517</v>
      </c>
      <c r="H2709" s="4" t="n">
        <v>16189</v>
      </c>
      <c r="I2709" s="5" t="n">
        <v>35</v>
      </c>
      <c r="J2709" s="5" t="n">
        <v>4</v>
      </c>
      <c r="K2709" s="3" t="inlineStr">
        <is>
          <t>도로접한 토지 추천</t>
        </is>
      </c>
      <c r="L2709" s="6">
        <f>HYPERLINK("https://fin.land.naver.com/articles/2652928166", "매물Link")</f>
        <v/>
      </c>
      <c r="M2709" s="6">
        <f>HYPERLINK("https://map.naver.com/p/search/전의면 관정리 산66",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국제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급매,현재 밭으로 사용중이며,현황도로 ,가격 조율해 볼게요</t>
        </is>
      </c>
      <c r="L2725" s="6">
        <f>HYPERLINK("https://fin.land.naver.com/articles/2651664285", "매물Link")</f>
        <v/>
      </c>
      <c r="M2725" s="6">
        <f>HYPERLINK("https://map.naver.com/p/search/전의면 다방리 239",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나릿재OK</t>
        </is>
      </c>
      <c r="P2725" s="4" t="n">
        <v>1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투자가치 좋은 자경지, 생산관리 농지, 가축사육 가능</t>
        </is>
      </c>
      <c r="L2726" s="6">
        <f>HYPERLINK("https://fin.land.naver.com/articles/2655565007", "매물Link")</f>
        <v/>
      </c>
      <c r="M2726" s="6">
        <f>HYPERLINK("https://map.naver.com/p/search/전의면 다방리 239",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OK세종</t>
        </is>
      </c>
      <c r="P2726" s="4" t="n">
        <v>4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HYPERLINK("https://fin.land.naver.com/articles/2653785975", "매물Link")</f>
        <v/>
      </c>
      <c r="M2744" s="6">
        <f>HYPERLINK("https://map.naver.com/p/search/전의면 달전리 산105",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HYPERLINK("https://fin.land.naver.com/articles/2651533289", "매물Link")</f>
        <v/>
      </c>
      <c r="M2745" s="6">
        <f>HYPERLINK("https://map.naver.com/p/search/전의면 달전리 산105",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108500</v>
      </c>
      <c r="G2749" s="4" t="n">
        <v>3077</v>
      </c>
      <c r="H2749" s="4" t="n">
        <v>931</v>
      </c>
      <c r="I2749" s="5" t="n">
        <v>116.5</v>
      </c>
      <c r="J2749" s="5" t="n">
        <v>56</v>
      </c>
      <c r="K2749" s="3" t="inlineStr">
        <is>
          <t>토지 매매 동교리 전의산단 배후지역 개발호재 많은곳</t>
        </is>
      </c>
      <c r="L2749" s="6">
        <f>HYPERLINK("https://fin.land.naver.com/articles/2652406475", "매물Link")</f>
        <v/>
      </c>
      <c r="M2749" s="6">
        <f>HYPERLINK("https://map.naver.com/p/search/전의면 동교리 124",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대</t>
        </is>
      </c>
      <c r="E2750" s="3" t="inlineStr">
        <is>
          <t>매매</t>
        </is>
      </c>
      <c r="F2750" s="4" t="n">
        <v>108500</v>
      </c>
      <c r="G2750" s="4" t="n">
        <v>3261</v>
      </c>
      <c r="H2750" s="4" t="n">
        <v>986</v>
      </c>
      <c r="I2750" s="5" t="n">
        <v>110</v>
      </c>
      <c r="J2750" s="5" t="n">
        <v>56</v>
      </c>
      <c r="K2750" s="3" t="inlineStr">
        <is>
          <t>전의면 동교리 자연녹지 토지, 전의역 및 면소재지 인근</t>
        </is>
      </c>
      <c r="L2750" s="6">
        <f>HYPERLINK("https://fin.land.naver.com/articles/2654022408", "매물Link")</f>
        <v/>
      </c>
      <c r="M2750" s="6">
        <f>HYPERLINK("https://map.naver.com/p/search/전의면 동교리 124",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스카이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5" t="n">
        <v>46.6</v>
      </c>
      <c r="K2801" s="3" t="inlineStr">
        <is>
          <t>세종시 2차선도로  계획관리 토지  시세대비 급 매매  가격조율</t>
        </is>
      </c>
      <c r="L2801" s="6">
        <f>HYPERLINK("https://fin.land.naver.com/articles/2650927977", "매물Link")</f>
        <v/>
      </c>
      <c r="M2801" s="6">
        <f>HYPERLINK("https://map.naver.com/p/search/전의면 양곡리 381-2",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연서으뜸</t>
        </is>
      </c>
      <c r="P2801" s="4" t="n">
        <v>2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5" t="n">
        <v>46.6</v>
      </c>
      <c r="K2802" s="3" t="inlineStr">
        <is>
          <t>도로변 각지로 계획관리지역 개발 등 다양업 추천</t>
        </is>
      </c>
      <c r="L2802" s="6">
        <f>HYPERLINK("https://fin.land.naver.com/articles/2655257474", "매물Link")</f>
        <v/>
      </c>
      <c r="M2802" s="6">
        <f>HYPERLINK("https://map.naver.com/p/search/전의면 양곡리 381-2",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이서방</t>
        </is>
      </c>
      <c r="P2802" s="4" t="n">
        <v>1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1058</v>
      </c>
      <c r="H2803" s="4" t="n">
        <v>320</v>
      </c>
      <c r="I2803" s="5" t="n">
        <v>93.8</v>
      </c>
      <c r="J2803" s="5" t="n">
        <v>23.4</v>
      </c>
      <c r="K2803" s="3" t="inlineStr">
        <is>
          <t>도시 인접 생산관리 농지. 주택지로도 좋아요</t>
        </is>
      </c>
      <c r="L2803" s="6">
        <f>HYPERLINK("https://fin.land.naver.com/articles/2651151465", "매물Link")</f>
        <v/>
      </c>
      <c r="M2803" s="6">
        <f>HYPERLINK("https://map.naver.com/p/search/전의면 양곡리 40-5",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미스터홈즈강남지사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1057</v>
      </c>
      <c r="H2804" s="4" t="n">
        <v>320</v>
      </c>
      <c r="I2804" s="5" t="n">
        <v>93.8</v>
      </c>
      <c r="J2804" s="5" t="n">
        <v>23.4</v>
      </c>
      <c r="K2804" s="3" t="inlineStr">
        <is>
          <t>세종시 전의면 양곡리 농막과 유실수 포함 토지 매매</t>
        </is>
      </c>
      <c r="L2804" s="6">
        <f>HYPERLINK("https://fin.land.naver.com/articles/2652805726", "매물Link")</f>
        <v/>
      </c>
      <c r="M2804" s="6">
        <f>HYPERLINK("https://map.naver.com/p/search/전의면 양곡리 40-5",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뉴스카이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150000</v>
      </c>
      <c r="G2829" s="4" t="n">
        <v>2820</v>
      </c>
      <c r="H2829" s="4" t="n">
        <v>853</v>
      </c>
      <c r="I2829" s="5" t="n">
        <v>175.8</v>
      </c>
      <c r="J2829" s="5" t="n">
        <v>35.3</v>
      </c>
      <c r="K2829" s="3" t="inlineStr">
        <is>
          <t>신규주거단지 및 체육공원 바로 앞 계획관리 토지</t>
        </is>
      </c>
      <c r="L2829" s="6">
        <f>HYPERLINK("https://fin.land.naver.com/articles/2652028838", "매물Link")</f>
        <v/>
      </c>
      <c r="M2829" s="6">
        <f>HYPERLINK("https://map.naver.com/p/search/전의면 읍내리 11-2", "지도Link")</f>
        <v/>
      </c>
      <c r="N2829" s="6">
        <f>HYPERLINK("http://www.eum.go.kr/web/ar/lu/luLandDet.jsp?pnu=3611037021100110002&amp;isNoScr=script&amp;mode=search", "토지이음")</f>
        <v/>
      </c>
      <c r="O2829" s="3" t="inlineStr">
        <is>
          <t>미스터홈즈강남지사</t>
        </is>
      </c>
      <c r="P2829" s="4" t="n">
        <v>1</v>
      </c>
      <c r="Q2829" s="4" t="n">
        <v>2820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읍내리 11-20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25000</v>
      </c>
      <c r="G2830" s="4" t="n">
        <v>749</v>
      </c>
      <c r="H2830" s="4" t="n">
        <v>227</v>
      </c>
      <c r="I2830" s="5" t="n">
        <v>110.1</v>
      </c>
      <c r="J2830" s="5" t="n">
        <v>37.1</v>
      </c>
      <c r="K2830" s="3" t="inlineStr">
        <is>
          <t>nan</t>
        </is>
      </c>
      <c r="L2830" s="6">
        <f>HYPERLINK("https://fin.land.naver.com/articles/2654805353", "매물Link")</f>
        <v/>
      </c>
      <c r="M2830" s="6">
        <f>HYPERLINK("https://map.naver.com/p/search/전의면 읍내리 11-20", "지도Link")</f>
        <v/>
      </c>
      <c r="N2830" s="6">
        <f>HYPERLINK("http://www.eum.go.kr/web/ar/lu/luLandDet.jsp?pnu=3611037021100110020&amp;isNoScr=script&amp;mode=search", "토지이음")</f>
        <v/>
      </c>
      <c r="O2830" s="3" t="inlineStr">
        <is>
          <t>강아지풀</t>
        </is>
      </c>
      <c r="P2830" s="4" t="n">
        <v>1</v>
      </c>
      <c r="Q2830" s="4" t="n">
        <v>749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사다리형</t>
        </is>
      </c>
      <c r="V2830" s="3" t="inlineStr">
        <is>
          <t>맹지</t>
        </is>
      </c>
    </row>
    <row r="2831">
      <c r="A2831" s="3" t="inlineStr">
        <is>
          <t>전의면 읍내리 168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</t>
        </is>
      </c>
      <c r="B2833" s="3" t="inlineStr">
        <is>
          <t>계획관리지역</t>
        </is>
      </c>
      <c r="C2833" s="3" t="inlineStr">
        <is>
          <t>체육용지</t>
        </is>
      </c>
      <c r="D2833" s="3" t="inlineStr">
        <is>
          <t>임야</t>
        </is>
      </c>
      <c r="E2833" s="3" t="inlineStr">
        <is>
          <t>매매</t>
        </is>
      </c>
      <c r="F2833" s="4" t="n">
        <v>420000</v>
      </c>
      <c r="G2833" s="4" t="n">
        <v>23092</v>
      </c>
      <c r="H2833" s="4" t="n">
        <v>6985</v>
      </c>
      <c r="I2833" s="5" t="n">
        <v>60.1</v>
      </c>
      <c r="J2833" s="5" t="n">
        <v>51.1</v>
      </c>
      <c r="K2833" s="3" t="inlineStr">
        <is>
          <t>세종시 그린산업단지 인접토지 세종시에 얼마남지 않은 넓은면적에토지</t>
        </is>
      </c>
      <c r="L2833" s="6">
        <f>HYPERLINK("https://fin.land.naver.com/articles/2655490337", "매물Link")</f>
        <v/>
      </c>
      <c r="M2833" s="6">
        <f>HYPERLINK("https://map.naver.com/p/search/전의면 읍내리 27", "지도Link")</f>
        <v/>
      </c>
      <c r="N2833" s="6">
        <f>HYPERLINK("http://www.eum.go.kr/web/ar/lu/luLandDet.jsp?pnu=3611037021100270000&amp;isNoScr=script&amp;mode=search", "토지이음")</f>
        <v/>
      </c>
      <c r="O2833" s="3" t="inlineStr">
        <is>
          <t>효성해링턴오복</t>
        </is>
      </c>
      <c r="P2833" s="4" t="n">
        <v>1</v>
      </c>
      <c r="Q2833" s="4" t="n">
        <v>697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27-4</t>
        </is>
      </c>
      <c r="B2834" s="3" t="inlineStr">
        <is>
          <t>계획관리지역</t>
        </is>
      </c>
      <c r="C2834" s="3" t="inlineStr">
        <is>
          <t>종교용지</t>
        </is>
      </c>
      <c r="D2834" s="3" t="inlineStr">
        <is>
          <t>대</t>
        </is>
      </c>
      <c r="E2834" s="3" t="inlineStr">
        <is>
          <t>매매</t>
        </is>
      </c>
      <c r="F2834" s="4" t="n">
        <v>270000</v>
      </c>
      <c r="G2834" s="4" t="n">
        <v>23029</v>
      </c>
      <c r="H2834" s="4" t="n">
        <v>6966</v>
      </c>
      <c r="I2834" s="5" t="n">
        <v>38.8</v>
      </c>
      <c r="J2834" s="5" t="n">
        <v>51.1</v>
      </c>
      <c r="K2834" s="3" t="inlineStr">
        <is>
          <t>세종 스마트 산업단지 지원시설아파트단지, 단독, 상업시설 접함</t>
        </is>
      </c>
      <c r="L2834" s="6">
        <f>HYPERLINK("https://fin.land.naver.com/articles/2653353130", "매물Link")</f>
        <v/>
      </c>
      <c r="M2834" s="6">
        <f>HYPERLINK("https://map.naver.com/p/search/전의면 읍내리 27-4", "지도Link")</f>
        <v/>
      </c>
      <c r="N2834" s="6">
        <f>HYPERLINK("http://www.eum.go.kr/web/ar/lu/luLandDet.jsp?pnu=3611037021100270004&amp;isNoScr=script&amp;mode=search", "토지이음")</f>
        <v/>
      </c>
      <c r="O2834" s="3" t="inlineStr">
        <is>
          <t>황제</t>
        </is>
      </c>
      <c r="P2834" s="4" t="n">
        <v>1</v>
      </c>
      <c r="Q2834" s="4" t="n">
        <v>1954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5" t="n">
        <v>87</v>
      </c>
      <c r="K2840" s="3" t="inlineStr">
        <is>
          <t>초급매 3거리 코너각지의 공원 옆에 있는 대지로 상가주택부지로 좋은 대지</t>
        </is>
      </c>
      <c r="L2840" s="6">
        <f>HYPERLINK("https://fin.land.naver.com/articles/2652988780", "매물Link")</f>
        <v/>
      </c>
      <c r="M2840" s="6">
        <f>HYPERLINK("https://map.naver.com/p/search/전의면 읍내리 410",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스마일세종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5" t="n">
        <v>87</v>
      </c>
      <c r="K2841" s="3" t="inlineStr">
        <is>
          <t>전의 스마트그린산단 지역 일반 택지</t>
        </is>
      </c>
      <c r="L2841" s="6">
        <f>HYPERLINK("https://fin.land.naver.com/articles/2652621710", "매물Link")</f>
        <v/>
      </c>
      <c r="M2841" s="6">
        <f>HYPERLINK("https://map.naver.com/p/search/전의면 읍내리 410",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강나루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코너각지 식당, 근생업종가능 ,  소액으로 투자추천,산업단지 수요많음</t>
        </is>
      </c>
      <c r="L2843" s="6">
        <f>HYPERLINK("https://fin.land.naver.com/articles/2650761037", "매물Link")</f>
        <v/>
      </c>
      <c r="M2843" s="6">
        <f>HYPERLINK("https://map.naver.com/p/search/전의면 읍내리 476",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세종특별시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급매 세종스마트그린 지원단지내  상가 및 주택을 건축할 수 있는 택지</t>
        </is>
      </c>
      <c r="L2844" s="6">
        <f>HYPERLINK("https://fin.land.naver.com/articles/2654752809", "매물Link")</f>
        <v/>
      </c>
      <c r="M2844" s="6">
        <f>HYPERLINK("https://map.naver.com/p/search/전의면 읍내리 476",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스마일세종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급매, 분양가 이하 세종스마트그린 지원단지에 있는 택지로 상가 및 주택지</t>
        </is>
      </c>
      <c r="L2847" s="6">
        <f>HYPERLINK("https://fin.land.naver.com/articles/2650744165", "매물Link")</f>
        <v/>
      </c>
      <c r="M2847" s="6">
        <f>HYPERLINK("https://map.naver.com/p/search/전의면 읍내리 515",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스마일세종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산조망 카페 추천 , 근생가능 . 소액투자. 산업단지 풍부한 수요,</t>
        </is>
      </c>
      <c r="L2848" s="6">
        <f>HYPERLINK("https://fin.land.naver.com/articles/2652333092", "매물Link")</f>
        <v/>
      </c>
      <c r="M2848" s="6">
        <f>HYPERLINK("https://map.naver.com/p/search/전의면 읍내리 515",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세종특별시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186400</v>
      </c>
      <c r="G2862" s="4" t="n">
        <v>15410</v>
      </c>
      <c r="H2862" s="4" t="n">
        <v>4662</v>
      </c>
      <c r="I2862" s="5" t="n">
        <v>40</v>
      </c>
      <c r="J2862" s="5" t="n">
        <v>59.8</v>
      </c>
      <c r="K2862" s="3" t="inlineStr">
        <is>
          <t>오송역 10분대국가산단 배후, 완경사 대형토지</t>
        </is>
      </c>
      <c r="L2862" s="6">
        <f>HYPERLINK("https://fin.land.naver.com/articles/2653296345", "매물Link")</f>
        <v/>
      </c>
      <c r="M2862" s="6">
        <f>HYPERLINK("https://map.naver.com/p/search/조치원읍 번암리 2-4",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세종소담황금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180000</v>
      </c>
      <c r="G2863" s="4" t="n">
        <v>15025</v>
      </c>
      <c r="H2863" s="4" t="n">
        <v>4545</v>
      </c>
      <c r="I2863" s="5" t="n">
        <v>39.6</v>
      </c>
      <c r="J2863" s="5" t="n">
        <v>59.8</v>
      </c>
      <c r="K2863" s="3" t="inlineStr">
        <is>
          <t>도로접근선 우수 여러용도 활용가능</t>
        </is>
      </c>
      <c r="L2863" s="6">
        <f>HYPERLINK("https://fin.land.naver.com/articles/2650788390", "매물Link")</f>
        <v/>
      </c>
      <c r="M2863" s="6">
        <f>HYPERLINK("https://map.naver.com/p/search/조치원읍 번암리 2-4",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신두정리치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186000</v>
      </c>
      <c r="G2864" s="4" t="n">
        <v>15410</v>
      </c>
      <c r="H2864" s="4" t="n">
        <v>4662</v>
      </c>
      <c r="I2864" s="5" t="n">
        <v>39.9</v>
      </c>
      <c r="J2864" s="5" t="n">
        <v>59.8</v>
      </c>
      <c r="K2864" s="3" t="inlineStr">
        <is>
          <t>급매, 번암리 산업시설,공장다수,향후 활용가능성 높은토지</t>
        </is>
      </c>
      <c r="L2864" s="6">
        <f>HYPERLINK("https://fin.land.naver.com/articles/2651070894", "매물Link")</f>
        <v/>
      </c>
      <c r="M2864" s="6">
        <f>HYPERLINK("https://map.naver.com/p/search/조치원읍 번암리 2-4",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다옴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375000</v>
      </c>
      <c r="G2879" s="4" t="n">
        <v>828</v>
      </c>
      <c r="H2879" s="4" t="n">
        <v>250</v>
      </c>
      <c r="I2879" s="5" t="n">
        <v>1500</v>
      </c>
      <c r="J2879" s="5" t="n">
        <v>274.4</v>
      </c>
      <c r="K2879" s="3" t="inlineStr">
        <is>
          <t>조치원 서북부지구 준주거 대지 매매</t>
        </is>
      </c>
      <c r="L2879" s="6">
        <f>HYPERLINK("https://fin.land.naver.com/articles/2655625037", "매물Link")</f>
        <v/>
      </c>
      <c r="M2879" s="6">
        <f>HYPERLINK("https://map.naver.com/p/search/조치원읍 봉산리 393",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세종몽땅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450000</v>
      </c>
      <c r="G2880" s="4" t="n">
        <v>828</v>
      </c>
      <c r="H2880" s="4" t="n">
        <v>250</v>
      </c>
      <c r="I2880" s="5" t="n">
        <v>1800</v>
      </c>
      <c r="J2880" s="5" t="n">
        <v>274.4</v>
      </c>
      <c r="K2880" s="3" t="inlineStr">
        <is>
          <t>조치원 서북부지구 아파트 앞 중심상권 토지</t>
        </is>
      </c>
      <c r="L2880" s="6">
        <f>HYPERLINK("https://fin.land.naver.com/articles/2650856619", "매물Link")</f>
        <v/>
      </c>
      <c r="M2880" s="6">
        <f>HYPERLINK("https://map.naver.com/p/search/조치원읍 봉산리 393",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세종대박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2종일반주거,2차선접 코너 나대지 급매,원룸신축 추천</t>
        </is>
      </c>
      <c r="L2885" s="6">
        <f>HYPERLINK("https://fin.land.naver.com/articles/2655068847", "매물Link")</f>
        <v/>
      </c>
      <c r="M2885" s="6">
        <f>HYPERLINK("https://map.naver.com/p/search/조치원읍 서창리 138-2",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광장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토지 매매</t>
        </is>
      </c>
      <c r="L2886" s="6">
        <f>HYPERLINK("https://fin.land.naver.com/articles/2654528622", "매물Link")</f>
        <v/>
      </c>
      <c r="M2886" s="6">
        <f>HYPERLINK("https://map.naver.com/p/search/조치원읍 서창리 138-2",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김준희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2921</v>
      </c>
      <c r="H2899" s="4" t="n">
        <v>884</v>
      </c>
      <c r="I2899" s="5" t="n">
        <v>203.6</v>
      </c>
      <c r="J2899" s="5" t="n">
        <v>59.7</v>
      </c>
      <c r="K2899" s="3" t="inlineStr">
        <is>
          <t>3필지 일괄매매</t>
        </is>
      </c>
      <c r="L2899" s="6">
        <f>HYPERLINK("https://fin.land.naver.com/articles/2652420151", "매물Link")</f>
        <v/>
      </c>
      <c r="M2899" s="6">
        <f>HYPERLINK("https://map.naver.com/p/search/조치원읍 서창리 93-20",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오송좋은날</t>
        </is>
      </c>
      <c r="P2899" s="4" t="n">
        <v>1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150000</v>
      </c>
      <c r="G2900" s="4" t="n">
        <v>2921</v>
      </c>
      <c r="H2900" s="4" t="n">
        <v>884</v>
      </c>
      <c r="I2900" s="5" t="n">
        <v>169.7</v>
      </c>
      <c r="J2900" s="5" t="n">
        <v>59.7</v>
      </c>
      <c r="K2900" s="3" t="inlineStr">
        <is>
          <t>서창리 도시지역 자연녹지지역으로 자동차 정비소, 요양원으로 적합한 토지</t>
        </is>
      </c>
      <c r="L2900" s="6">
        <f>HYPERLINK("https://fin.land.naver.com/articles/2655815905", "매물Link")</f>
        <v/>
      </c>
      <c r="M2900" s="6">
        <f>HYPERLINK("https://map.naver.com/p/search/조치원읍 서창리 93-20",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스마일세종</t>
        </is>
      </c>
      <c r="P2900" s="4" t="n">
        <v>3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자연녹지 토지, 3면도로 접, 아파트개발지 옆, 근생시설 등</t>
        </is>
      </c>
      <c r="L2911" s="6">
        <f>HYPERLINK("https://fin.land.naver.com/articles/2654029011", "매물Link")</f>
        <v/>
      </c>
      <c r="M2911" s="6">
        <f>HYPERLINK("https://map.naver.com/p/search/조치원읍 신안리 436-4",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스카이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이편한세상 아파트 초인접, 3면 포장도로 접한 음식점,커피숍</t>
        </is>
      </c>
      <c r="L2912" s="6">
        <f>HYPERLINK("https://fin.land.naver.com/articles/2650955165", "매물Link")</f>
        <v/>
      </c>
      <c r="M2912" s="6">
        <f>HYPERLINK("https://map.naver.com/p/search/조치원읍 신안리 436-4",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세종나라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 토지매매, 사거리 코너 입지</t>
        </is>
      </c>
      <c r="L2959" s="6">
        <f>HYPERLINK("https://fin.land.naver.com/articles/2654229358", "매물Link")</f>
        <v/>
      </c>
      <c r="M2959" s="6">
        <f>HYPERLINK("https://map.naver.com/p/search/집현동 1226",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명진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단독주택, 사거리 코너 입지</t>
        </is>
      </c>
      <c r="L2960" s="6">
        <f>HYPERLINK("https://fin.land.naver.com/articles/2652843192", "매물Link")</f>
        <v/>
      </c>
      <c r="M2960" s="6">
        <f>HYPERLINK("https://map.naver.com/p/search/집현동 1226",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세종무지개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최고위치 코너각지 공원뷰 삼성천뷰</t>
        </is>
      </c>
      <c r="L2964" s="6">
        <f>HYPERLINK("https://fin.land.naver.com/articles/2655194330", "매물Link")</f>
        <v/>
      </c>
      <c r="M2964" s="6">
        <f>HYPERLINK("https://map.naver.com/p/search/집현동 1244",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세종스타</t>
        </is>
      </c>
      <c r="P2964" s="4" t="n">
        <v>2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코너각지 위치한 토지매매, 공원과 삼성천 뷰 가능</t>
        </is>
      </c>
      <c r="L2965" s="6">
        <f>HYPERLINK("https://fin.land.naver.com/articles/2655487522", "매물Link")</f>
        <v/>
      </c>
      <c r="M2965" s="6">
        <f>HYPERLINK("https://map.naver.com/p/search/집현동 1244",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세종무지개</t>
        </is>
      </c>
      <c r="P2965" s="4" t="n">
        <v>1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41500</v>
      </c>
      <c r="G2977" s="4" t="n">
        <v>277</v>
      </c>
      <c r="H2977" s="4" t="n">
        <v>84</v>
      </c>
      <c r="I2977" s="5" t="n">
        <v>494</v>
      </c>
      <c r="J2977" s="5" t="n">
        <v>314.9</v>
      </c>
      <c r="K2977" s="3" t="inlineStr">
        <is>
          <t>급매, 84.1p, 삼거리 코너, 상가와 공원 인근</t>
        </is>
      </c>
      <c r="L2977" s="6">
        <f>HYPERLINK("https://fin.land.naver.com/articles/2654218385", "매물Link")</f>
        <v/>
      </c>
      <c r="M2977" s="6">
        <f>HYPERLINK("https://map.naver.com/p/search/한솔동 1000",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명진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40500</v>
      </c>
      <c r="G2978" s="4" t="n">
        <v>277</v>
      </c>
      <c r="H2978" s="4" t="n">
        <v>84</v>
      </c>
      <c r="I2978" s="5" t="n">
        <v>482.1</v>
      </c>
      <c r="J2978" s="5" t="n">
        <v>314.9</v>
      </c>
      <c r="K2978" s="3" t="inlineStr">
        <is>
          <t>채광좋음 상권가깝고 뒤로 보행로접함</t>
        </is>
      </c>
      <c r="L2978" s="6">
        <f>HYPERLINK("https://fin.land.naver.com/articles/2655187154", "매물Link")</f>
        <v/>
      </c>
      <c r="M2978" s="6">
        <f>HYPERLINK("https://map.naver.com/p/search/한솔동 1000",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세종스타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단독주택 토지, 학군인접</t>
        </is>
      </c>
      <c r="L2981" s="6">
        <f>HYPERLINK("https://fin.land.naver.com/articles/2652841375", "매물Link")</f>
        <v/>
      </c>
      <c r="M2981" s="6">
        <f>HYPERLINK("https://map.naver.com/p/search/한솔동 1006",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총 119.7p, 대형면적 단독주택토지, 한솔초.중.고 인접</t>
        </is>
      </c>
      <c r="L2982" s="6">
        <f>HYPERLINK("https://fin.land.naver.com/articles/2654225978", "매물Link")</f>
        <v/>
      </c>
      <c r="M2982" s="6">
        <f>HYPERLINK("https://map.naver.com/p/search/한솔동 1006",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대형 평수 I 풍부한 생활 인프라와 쾌적성을 모두 갖춘 프리미엄 택지</t>
        </is>
      </c>
      <c r="L2983" s="6">
        <f>HYPERLINK("https://fin.land.naver.com/articles/2655916171", "매물Link")</f>
        <v/>
      </c>
      <c r="M2983" s="6">
        <f>HYPERLINK("https://map.naver.com/p/search/한솔동 1006",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세종신한</t>
        </is>
      </c>
      <c r="P2983" s="4" t="n">
        <v>2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근린공원인근, 조율가능</t>
        </is>
      </c>
      <c r="L2989" s="6">
        <f>HYPERLINK("https://fin.land.naver.com/articles/2652839380", "매물Link")</f>
        <v/>
      </c>
      <c r="M2989" s="6">
        <f>HYPERLINK("https://map.naver.com/p/search/한솔동 1080",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세종무지개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한솔동 전원주택지, 위치좋은 토지</t>
        </is>
      </c>
      <c r="L2990" s="6">
        <f>HYPERLINK("https://fin.land.naver.com/articles/2654927736", "매물Link")</f>
        <v/>
      </c>
      <c r="M2990" s="6">
        <f>HYPERLINK("https://map.naver.com/p/search/한솔동 1080",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명진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305</v>
      </c>
      <c r="H2993" s="4" t="n">
        <v>92</v>
      </c>
      <c r="I2993" s="5" t="n">
        <v>923.9</v>
      </c>
      <c r="J2993" s="5" t="n">
        <v>377.2</v>
      </c>
      <c r="K2993" s="3" t="inlineStr">
        <is>
          <t>nan</t>
        </is>
      </c>
      <c r="L2993" s="6">
        <f>HYPERLINK("https://fin.land.naver.com/articles/2655007481", "매물Link")</f>
        <v/>
      </c>
      <c r="M2993" s="6">
        <f>HYPERLINK("https://map.naver.com/p/search/한솔동 1087",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디아트성심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303</v>
      </c>
      <c r="H2994" s="4" t="n">
        <v>92</v>
      </c>
      <c r="I2994" s="5" t="n">
        <v>923.9</v>
      </c>
      <c r="J2994" s="5" t="n">
        <v>377.2</v>
      </c>
      <c r="K2994" s="3" t="inlineStr">
        <is>
          <t>한솔동, 단독주택지 토지매매</t>
        </is>
      </c>
      <c r="L2994" s="6">
        <f>HYPERLINK("https://fin.land.naver.com/articles/2655854029", "매물Link")</f>
        <v/>
      </c>
      <c r="M2994" s="6">
        <f>HYPERLINK("https://map.naver.com/p/search/한솔동 1087",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명진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95.4p, 삼거리코너 맞은편, 새뜸1단지 앞 단독주택 토지</t>
        </is>
      </c>
      <c r="L2995" s="6">
        <f>HYPERLINK("https://fin.land.naver.com/articles/2654927138", "매물Link")</f>
        <v/>
      </c>
      <c r="M2995" s="6">
        <f>HYPERLINK("https://map.naver.com/p/search/한솔동 1098",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명진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조건 파격조율가능 도심속전원 시내 시외 진출입편리 이곳은 엘도라도입니다</t>
        </is>
      </c>
      <c r="L2996" s="6">
        <f>HYPERLINK("https://fin.land.naver.com/articles/2654203210", "매물Link")</f>
        <v/>
      </c>
      <c r="M2996" s="6">
        <f>HYPERLINK("https://map.naver.com/p/search/한솔동 1098",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세종시삼성래미안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nan</t>
        </is>
      </c>
      <c r="L3001" s="6">
        <f>HYPERLINK("https://fin.land.naver.com/articles/2655008691", "매물Link")</f>
        <v/>
      </c>
      <c r="M3001" s="6">
        <f>HYPERLINK("https://map.naver.com/p/search/한솔동 1175",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디아트성심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총 123.4p, 새뜸1단지 맞은편</t>
        </is>
      </c>
      <c r="L3002" s="6">
        <f>HYPERLINK("https://fin.land.naver.com/articles/2654232425", "매물Link")</f>
        <v/>
      </c>
      <c r="M3002" s="6">
        <f>HYPERLINK("https://map.naver.com/p/search/한솔동 1175",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명진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네모 반듯한 예쁜 토지 매매, 입지 굿</t>
        </is>
      </c>
      <c r="L3009" s="6">
        <f>HYPERLINK("https://fin.land.naver.com/articles/2650893847", "매물Link")</f>
        <v/>
      </c>
      <c r="M3009" s="6">
        <f>HYPERLINK("https://map.naver.com/p/search/한솔동 1207",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총 99.8p, 조율가능, 네모반듯한 남향 예쁜 토지</t>
        </is>
      </c>
      <c r="L3010" s="6">
        <f>HYPERLINK("https://fin.land.naver.com/articles/2651947606", "매물Link")</f>
        <v/>
      </c>
      <c r="M3010" s="6">
        <f>HYPERLINK("https://map.naver.com/p/search/한솔동 1207",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인기지역 D2 땅모양좋음 조율가능</t>
        </is>
      </c>
      <c r="L3011" s="6">
        <f>HYPERLINK("https://fin.land.naver.com/articles/2650653609", "매물Link")</f>
        <v/>
      </c>
      <c r="M3011" s="6">
        <f>HYPERLINK("https://map.naver.com/p/search/한솔동 1207",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세종시 한솔동 도심속 전원주택부지 매매</t>
        </is>
      </c>
      <c r="L3014" s="6">
        <f>HYPERLINK("https://fin.land.naver.com/articles/2651763249", "매물Link")</f>
        <v/>
      </c>
      <c r="M3014" s="6">
        <f>HYPERLINK("https://map.naver.com/p/search/한솔동 865",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전원</t>
        </is>
      </c>
      <c r="P3014" s="4" t="n">
        <v>2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총 107.1p, 한솔동 단독주택지</t>
        </is>
      </c>
      <c r="L3015" s="6">
        <f>HYPERLINK("https://fin.land.naver.com/articles/2653682654", "매물Link")</f>
        <v/>
      </c>
      <c r="M3015" s="6">
        <f>HYPERLINK("https://map.naver.com/p/search/한솔동 865",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해밀동 가격 좋은 단독주택 매매, 공원인근</t>
        </is>
      </c>
      <c r="L3033" s="6">
        <f>HYPERLINK("https://fin.land.naver.com/articles/2653569861", "매물Link")</f>
        <v/>
      </c>
      <c r="M3033" s="6">
        <f>HYPERLINK("https://map.naver.com/p/search/해밀동 777",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남향 원수산조망 뒷쪽 보행로접</t>
        </is>
      </c>
      <c r="L3034" s="6">
        <f>HYPERLINK("https://fin.land.naver.com/articles/2653837563", "매물Link")</f>
        <v/>
      </c>
      <c r="M3034" s="6">
        <f>HYPERLINK("https://map.naver.com/p/search/해밀동 777",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</t>
        </is>
      </c>
      <c r="B3036" s="3" t="inlineStr">
        <is>
          <t>개발제한구역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19.3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660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완경사</t>
        </is>
      </c>
      <c r="U3036" s="3" t="inlineStr">
        <is>
          <t>부정형</t>
        </is>
      </c>
      <c r="V3036" s="3" t="inlineStr">
        <is>
          <t>세로한면(불)</t>
        </is>
      </c>
    </row>
    <row r="3037">
      <c r="A3037" s="3" t="inlineStr">
        <is>
          <t>현도면 노산리 136</t>
        </is>
      </c>
      <c r="B3037" s="3" t="inlineStr">
        <is>
          <t>개발제한구역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9.1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1498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완경사</t>
        </is>
      </c>
      <c r="U3037" s="3" t="inlineStr">
        <is>
          <t>부정형</t>
        </is>
      </c>
      <c r="V3037" s="3" t="inlineStr">
        <is>
          <t>세로한면(불)</t>
        </is>
      </c>
    </row>
    <row r="3038">
      <c r="A3038" s="3" t="inlineStr">
        <is>
          <t>현도면 노산리 2</t>
        </is>
      </c>
      <c r="B3038" s="3" t="inlineStr">
        <is>
          <t>개발제한구역</t>
        </is>
      </c>
      <c r="C3038" s="3" t="inlineStr">
        <is>
          <t>답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21.4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762</v>
      </c>
      <c r="R3038" s="3" t="inlineStr">
        <is>
          <t>지정되지않음</t>
        </is>
      </c>
      <c r="S3038" s="3" t="inlineStr">
        <is>
          <t>전</t>
        </is>
      </c>
      <c r="T3038" s="3" t="inlineStr">
        <is>
          <t>완경사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현도면 노산리 224-2</t>
        </is>
      </c>
      <c r="B3039" s="3" t="inlineStr">
        <is>
          <t>개발제한구역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15.2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873</v>
      </c>
      <c r="R3039" s="3" t="inlineStr">
        <is>
          <t>지정되지않음</t>
        </is>
      </c>
      <c r="S3039" s="3" t="inlineStr">
        <is>
          <t>답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맹지</t>
        </is>
      </c>
    </row>
    <row r="3040">
      <c r="A3040" s="3" t="inlineStr">
        <is>
          <t>현도면 노산리 293</t>
        </is>
      </c>
      <c r="B3040" s="3" t="inlineStr">
        <is>
          <t>개발제한구역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21000</v>
      </c>
      <c r="G3040" s="4" t="n">
        <v>1805</v>
      </c>
      <c r="H3040" s="4" t="n">
        <v>546</v>
      </c>
      <c r="I3040" s="5" t="n">
        <v>38.5</v>
      </c>
      <c r="J3040" s="5" t="n">
        <v>18.1</v>
      </c>
      <c r="K3040" s="3" t="inlineStr">
        <is>
          <t>양면도로 접 해가 잘드는 네모 반듯한 토지 주말농장 농지원부용 투자 등</t>
        </is>
      </c>
      <c r="L3040" s="6">
        <f>HYPERLINK("https://fin.land.naver.com/articles/2651942681", "매물Link")</f>
        <v/>
      </c>
      <c r="M3040" s="6">
        <f>HYPERLINK("https://map.naver.com/p/search/현도면 노산리 293", "지도Link")</f>
        <v/>
      </c>
      <c r="N3040" s="6">
        <f>HYPERLINK("http://www.eum.go.kr/web/ar/lu/luLandDet.jsp?pnu=4311232030102930000&amp;isNoScr=script&amp;mode=search", "토지이음")</f>
        <v/>
      </c>
      <c r="O3040" s="3" t="inlineStr">
        <is>
          <t>대전토지로무소</t>
        </is>
      </c>
      <c r="P3040" s="4" t="n">
        <v>1</v>
      </c>
      <c r="Q3040" s="4" t="n">
        <v>1805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세로한면(가)</t>
        </is>
      </c>
    </row>
    <row r="3041">
      <c r="A3041" s="3" t="inlineStr">
        <is>
          <t>현도면 노산리 293-1</t>
        </is>
      </c>
      <c r="B3041" s="3" t="inlineStr">
        <is>
          <t>개발제한구역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14000</v>
      </c>
      <c r="G3041" s="4" t="n">
        <v>1136</v>
      </c>
      <c r="H3041" s="4" t="n">
        <v>344</v>
      </c>
      <c r="I3041" s="5" t="n">
        <v>40.7</v>
      </c>
      <c r="J3041" s="5" t="n">
        <v>18.1</v>
      </c>
      <c r="K3041" s="3" t="inlineStr">
        <is>
          <t>도로에 접한 농지, 물 사용하기 편한 농지</t>
        </is>
      </c>
      <c r="L3041" s="6">
        <f>HYPERLINK("https://fin.land.naver.com/articles/2656127199", "매물Link")</f>
        <v/>
      </c>
      <c r="M3041" s="6">
        <f>HYPERLINK("https://map.naver.com/p/search/현도면 노산리 293-1",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복돼지</t>
        </is>
      </c>
      <c r="P3041" s="4" t="n">
        <v>1</v>
      </c>
      <c r="Q3041" s="4" t="n">
        <v>1136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세로한면(가)</t>
        </is>
      </c>
    </row>
    <row r="3042">
      <c r="A3042" s="3" t="inlineStr">
        <is>
          <t>현도면 노산리 293-1</t>
        </is>
      </c>
      <c r="B3042" s="3" t="inlineStr">
        <is>
          <t>개발제한구역</t>
        </is>
      </c>
      <c r="C3042" s="3" t="inlineStr">
        <is>
          <t>답</t>
        </is>
      </c>
      <c r="D3042" s="3" t="inlineStr">
        <is>
          <t>답</t>
        </is>
      </c>
      <c r="E3042" s="3" t="inlineStr">
        <is>
          <t>매매</t>
        </is>
      </c>
      <c r="F3042" s="4" t="n">
        <v>14500</v>
      </c>
      <c r="G3042" s="4" t="n">
        <v>1136</v>
      </c>
      <c r="H3042" s="4" t="n">
        <v>344</v>
      </c>
      <c r="I3042" s="5" t="n">
        <v>42.2</v>
      </c>
      <c r="J3042" s="5" t="n">
        <v>18.1</v>
      </c>
      <c r="K3042" s="3" t="inlineStr">
        <is>
          <t>서원구 현도면 답 매매 진입 도로 있음</t>
        </is>
      </c>
      <c r="L3042" s="6">
        <f>HYPERLINK("https://fin.land.naver.com/articles/2655611258", "매물Link")</f>
        <v/>
      </c>
      <c r="M3042" s="6">
        <f>HYPERLINK("https://map.naver.com/p/search/현도면 노산리 293-1", "지도Link")</f>
        <v/>
      </c>
      <c r="N3042" s="6">
        <f>HYPERLINK("http://www.eum.go.kr/web/ar/lu/luLandDet.jsp?pnu=4311232030102930001&amp;isNoScr=script&amp;mode=search", "토지이음")</f>
        <v/>
      </c>
      <c r="O3042" s="3" t="inlineStr">
        <is>
          <t>365사무소</t>
        </is>
      </c>
      <c r="P3042" s="4" t="n">
        <v>1</v>
      </c>
      <c r="Q3042" s="4" t="n">
        <v>1136</v>
      </c>
      <c r="R3042" s="3" t="inlineStr">
        <is>
          <t>지정되지않음</t>
        </is>
      </c>
      <c r="S3042" s="3" t="inlineStr">
        <is>
          <t>답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세로한면(가)</t>
        </is>
      </c>
    </row>
    <row r="3043">
      <c r="A3043" s="3" t="inlineStr">
        <is>
          <t>현도면 노산리 423</t>
        </is>
      </c>
      <c r="B3043" s="3" t="inlineStr">
        <is>
          <t>개발제한구역</t>
        </is>
      </c>
      <c r="C3043" s="3" t="inlineStr">
        <is>
          <t>답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17.1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2195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사다리형</t>
        </is>
      </c>
      <c r="V3043" s="3" t="inlineStr">
        <is>
          <t>세로한면(불)</t>
        </is>
      </c>
    </row>
    <row r="3044">
      <c r="A3044" s="3" t="inlineStr">
        <is>
          <t>현도면 노산리 498</t>
        </is>
      </c>
      <c r="B3044" s="3" t="inlineStr">
        <is>
          <t>개발제한구역</t>
        </is>
      </c>
      <c r="C3044" s="3" t="inlineStr">
        <is>
          <t>답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19.2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3022</v>
      </c>
      <c r="R3044" s="3" t="inlineStr">
        <is>
          <t>지정되지않음</t>
        </is>
      </c>
      <c r="S3044" s="3" t="inlineStr">
        <is>
          <t>답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세로한면(가)</t>
        </is>
      </c>
    </row>
    <row r="3045">
      <c r="A3045" s="3" t="inlineStr">
        <is>
          <t>현도면 노산리 531</t>
        </is>
      </c>
      <c r="B3045" s="3" t="inlineStr">
        <is>
          <t>개발제한구역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19.2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1389</v>
      </c>
      <c r="R3045" s="3" t="inlineStr">
        <is>
          <t>지정되지않음</t>
        </is>
      </c>
      <c r="S3045" s="3" t="inlineStr">
        <is>
          <t>답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세로한면(가)</t>
        </is>
      </c>
    </row>
    <row r="3046">
      <c r="A3046" s="3" t="inlineStr">
        <is>
          <t>현도면 노산리 547</t>
        </is>
      </c>
      <c r="B3046" s="3" t="inlineStr">
        <is>
          <t>개발제한구역</t>
        </is>
      </c>
      <c r="C3046" s="3" t="inlineStr">
        <is>
          <t>답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19.2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1272</v>
      </c>
      <c r="R3046" s="3" t="inlineStr">
        <is>
          <t>지정되지않음</t>
        </is>
      </c>
      <c r="S3046" s="3" t="inlineStr">
        <is>
          <t>답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세로한면(가)</t>
        </is>
      </c>
    </row>
    <row r="3047">
      <c r="A3047" s="3" t="inlineStr">
        <is>
          <t>현도면 노산리 600</t>
        </is>
      </c>
      <c r="B3047" s="3" t="inlineStr">
        <is>
          <t>개발제한구역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20.6</v>
      </c>
      <c r="K3047" s="3" t="inlineStr">
        <is>
          <t>햇볕이 잘들고 공기가 좋은 농지로 현재 전으로 사용, 신탄진에서 10분</t>
        </is>
      </c>
      <c r="L3047" s="6">
        <f>HYPERLINK("https://fin.land.naver.com/articles/2654904918", "매물Link")</f>
        <v/>
      </c>
      <c r="M3047" s="6">
        <f>HYPERLINK("https://map.naver.com/p/search/현도면 노산리 600",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대전토지로무소</t>
        </is>
      </c>
      <c r="P3047" s="4" t="n">
        <v>1</v>
      </c>
      <c r="Q3047" s="4" t="n">
        <v>2960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세로한면(가)</t>
        </is>
      </c>
    </row>
    <row r="3048">
      <c r="A3048" s="3" t="inlineStr">
        <is>
          <t>현도면 노산리 600</t>
        </is>
      </c>
      <c r="B3048" s="3" t="inlineStr">
        <is>
          <t>개발제한구역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20.6</v>
      </c>
      <c r="K3048" s="3" t="inlineStr">
        <is>
          <t>노산리 도로가 농지 매매, 신탄진지역 차로 10분 거리</t>
        </is>
      </c>
      <c r="L3048" s="6">
        <f>HYPERLINK("https://fin.land.naver.com/articles/2655015775", "매물Link")</f>
        <v/>
      </c>
      <c r="M3048" s="6">
        <f>HYPERLINK("https://map.naver.com/p/search/현도면 노산리 600",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복돼지</t>
        </is>
      </c>
      <c r="P3048" s="4" t="n">
        <v>1</v>
      </c>
      <c r="Q3048" s="4" t="n">
        <v>2960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세로한면(가)</t>
        </is>
      </c>
    </row>
    <row r="3049">
      <c r="A3049" s="3" t="inlineStr">
        <is>
          <t>현도면 노산리 65-3</t>
        </is>
      </c>
      <c r="B3049" s="3" t="inlineStr">
        <is>
          <t>자연녹지지역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50.3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350</v>
      </c>
      <c r="R3049" s="3" t="inlineStr">
        <is>
          <t>지정되지않음</t>
        </is>
      </c>
      <c r="S3049" s="3" t="inlineStr">
        <is>
          <t>단독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세로한면(가)</t>
        </is>
      </c>
    </row>
    <row r="3050">
      <c r="A3050" s="3" t="inlineStr">
        <is>
          <t>현도면 노산리 693-8</t>
        </is>
      </c>
      <c r="B3050" s="3" t="inlineStr">
        <is>
          <t>제1종일반주거지역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66.2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261</v>
      </c>
      <c r="R3050" s="3" t="inlineStr">
        <is>
          <t>지정되지않음</t>
        </is>
      </c>
      <c r="S3050" s="3" t="inlineStr">
        <is>
          <t>단독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세로한면(가)</t>
        </is>
      </c>
    </row>
    <row r="3051">
      <c r="A3051" s="3" t="inlineStr">
        <is>
          <t>현도면 달계리 173</t>
        </is>
      </c>
      <c r="B3051" s="3" t="inlineStr">
        <is>
          <t>개발제한구역</t>
        </is>
      </c>
      <c r="C3051" s="3" t="inlineStr">
        <is>
          <t>답</t>
        </is>
      </c>
      <c r="D3051" s="3" t="inlineStr">
        <is>
          <t>답</t>
        </is>
      </c>
      <c r="E3051" s="3" t="inlineStr">
        <is>
          <t>매매</t>
        </is>
      </c>
      <c r="F3051" s="4" t="n">
        <v>25200</v>
      </c>
      <c r="G3051" s="4" t="n">
        <v>2080</v>
      </c>
      <c r="H3051" s="4" t="n">
        <v>629</v>
      </c>
      <c r="I3051" s="5" t="n">
        <v>40.1</v>
      </c>
      <c r="J3051" s="5" t="n">
        <v>13.2</v>
      </c>
      <c r="K3051" s="3" t="inlineStr">
        <is>
          <t>도로인접, 코너각지, 지형이 좋은 토지</t>
        </is>
      </c>
      <c r="L3051" s="6">
        <f>HYPERLINK("https://fin.land.naver.com/articles/2651028521", "매물Link")</f>
        <v/>
      </c>
      <c r="M3051" s="6">
        <f>HYPERLINK("https://map.naver.com/p/search/현도면 달계리 173",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대지</t>
        </is>
      </c>
      <c r="P3051" s="4" t="n">
        <v>2</v>
      </c>
      <c r="Q3051" s="4" t="n">
        <v>2080</v>
      </c>
      <c r="R3051" s="3" t="inlineStr">
        <is>
          <t>지정되지않음</t>
        </is>
      </c>
      <c r="S3051" s="3" t="inlineStr">
        <is>
          <t>답</t>
        </is>
      </c>
      <c r="T3051" s="3" t="inlineStr">
        <is>
          <t>완경사</t>
        </is>
      </c>
      <c r="U3051" s="3" t="inlineStr">
        <is>
          <t>부정형</t>
        </is>
      </c>
      <c r="V3051" s="3" t="inlineStr">
        <is>
          <t>세로한면(가)</t>
        </is>
      </c>
    </row>
    <row r="3052">
      <c r="A3052" s="3" t="inlineStr">
        <is>
          <t>현도면 달계리 173</t>
        </is>
      </c>
      <c r="B3052" s="3" t="inlineStr">
        <is>
          <t>개발제한구역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25000</v>
      </c>
      <c r="G3052" s="4" t="n">
        <v>2080</v>
      </c>
      <c r="H3052" s="4" t="n">
        <v>629</v>
      </c>
      <c r="I3052" s="5" t="n">
        <v>39.7</v>
      </c>
      <c r="J3052" s="5" t="n">
        <v>13.2</v>
      </c>
      <c r="K3052" s="3" t="inlineStr">
        <is>
          <t>컨테이너 있는 주말농장 코너각지 해가 잘 들고 도로접 접근성 좋음</t>
        </is>
      </c>
      <c r="L3052" s="6">
        <f>HYPERLINK("https://fin.land.naver.com/articles/2654968391", "매물Link")</f>
        <v/>
      </c>
      <c r="M3052" s="6">
        <f>HYPERLINK("https://map.naver.com/p/search/현도면 달계리 173",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대전토지로무소</t>
        </is>
      </c>
      <c r="P3052" s="4" t="n">
        <v>1</v>
      </c>
      <c r="Q3052" s="4" t="n">
        <v>2080</v>
      </c>
      <c r="R3052" s="3" t="inlineStr">
        <is>
          <t>지정되지않음</t>
        </is>
      </c>
      <c r="S3052" s="3" t="inlineStr">
        <is>
          <t>답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현도면 달계리 269-1</t>
        </is>
      </c>
      <c r="B3053" s="3" t="inlineStr">
        <is>
          <t>개발제한구역</t>
        </is>
      </c>
      <c r="C3053" s="3" t="inlineStr">
        <is>
          <t>임야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2.1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6851</v>
      </c>
      <c r="R3053" s="3" t="inlineStr">
        <is>
          <t>자연녹지지역</t>
        </is>
      </c>
      <c r="S3053" s="3" t="inlineStr">
        <is>
          <t>임야기타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현도면 달계리 589</t>
        </is>
      </c>
      <c r="B3054" s="3" t="inlineStr">
        <is>
          <t>제1종일반주거지역</t>
        </is>
      </c>
      <c r="C3054" s="3" t="inlineStr">
        <is>
          <t>답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75.2</v>
      </c>
      <c r="K3054" s="3" t="inlineStr">
        <is>
          <t>급 매매 즉시 건축 가능한 대로변 토지 매매, 광고 효과 및 노출 최고</t>
        </is>
      </c>
      <c r="L3054" s="6">
        <f>HYPERLINK("https://fin.land.naver.com/articles/2650686686", "매물Link")</f>
        <v/>
      </c>
      <c r="M3054" s="6">
        <f>HYPERLINK("https://map.naver.com/p/search/현도면 달계리 589",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대전토지로무소</t>
        </is>
      </c>
      <c r="P3054" s="4" t="n">
        <v>1</v>
      </c>
      <c r="Q3054" s="4" t="n">
        <v>5014.2</v>
      </c>
      <c r="R3054" s="3" t="inlineStr">
        <is>
          <t>지정되지않음</t>
        </is>
      </c>
      <c r="S3054" s="3" t="inlineStr">
        <is>
          <t>답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중로한면</t>
        </is>
      </c>
    </row>
    <row r="3055">
      <c r="A3055" s="3" t="inlineStr">
        <is>
          <t>현도면 달계리 589</t>
        </is>
      </c>
      <c r="B3055" s="3" t="inlineStr">
        <is>
          <t>제1종일반주거지역</t>
        </is>
      </c>
      <c r="C3055" s="3" t="inlineStr">
        <is>
          <t>답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75.2</v>
      </c>
      <c r="K3055" s="3" t="inlineStr">
        <is>
          <t>7차선 도로접, 최고의 입지, 제조업 및 근생용 토지 매매</t>
        </is>
      </c>
      <c r="L3055" s="6">
        <f>HYPERLINK("https://fin.land.naver.com/articles/2655232623", "매물Link")</f>
        <v/>
      </c>
      <c r="M3055" s="6">
        <f>HYPERLINK("https://map.naver.com/p/search/현도면 달계리 589",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금화랜드</t>
        </is>
      </c>
      <c r="P3055" s="4" t="n">
        <v>1</v>
      </c>
      <c r="Q3055" s="4" t="n">
        <v>5014.2</v>
      </c>
      <c r="R3055" s="3" t="inlineStr">
        <is>
          <t>지정되지않음</t>
        </is>
      </c>
      <c r="S3055" s="3" t="inlineStr">
        <is>
          <t>답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중로한면</t>
        </is>
      </c>
    </row>
    <row r="3056">
      <c r="A3056" s="3" t="inlineStr">
        <is>
          <t>현도면 달계리 67</t>
        </is>
      </c>
      <c r="B3056" s="3" t="inlineStr">
        <is>
          <t>개발제한구역</t>
        </is>
      </c>
      <c r="C3056" s="3" t="inlineStr">
        <is>
          <t>답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17.2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2914</v>
      </c>
      <c r="R3056" s="3" t="inlineStr">
        <is>
          <t>지정되지않음</t>
        </is>
      </c>
      <c r="S3056" s="3" t="inlineStr">
        <is>
          <t>답</t>
        </is>
      </c>
      <c r="T3056" s="3" t="inlineStr">
        <is>
          <t>완경사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현도면 달계리 산84-4</t>
        </is>
      </c>
      <c r="B3057" s="3" t="inlineStr">
        <is>
          <t>개발제한구역</t>
        </is>
      </c>
      <c r="C3057" s="3" t="inlineStr">
        <is>
          <t>임야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1.9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2562</v>
      </c>
      <c r="R3057" s="3" t="inlineStr">
        <is>
          <t>지정되지않음</t>
        </is>
      </c>
      <c r="S3057" s="3" t="inlineStr">
        <is>
          <t>자연림</t>
        </is>
      </c>
      <c r="T3057" s="3" t="inlineStr">
        <is>
          <t>완경사</t>
        </is>
      </c>
      <c r="U3057" s="3" t="inlineStr">
        <is>
          <t>부정형</t>
        </is>
      </c>
      <c r="V3057" s="3" t="inlineStr">
        <is>
          <t>세로한면(불)</t>
        </is>
      </c>
    </row>
    <row r="3058">
      <c r="A3058" s="3" t="inlineStr">
        <is>
          <t>현도면 매봉리 248-5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90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359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부정형</t>
        </is>
      </c>
      <c r="V3058" s="3" t="inlineStr">
        <is>
          <t>세로각지(가)</t>
        </is>
      </c>
    </row>
    <row r="3059">
      <c r="A3059" s="3" t="inlineStr">
        <is>
          <t>현도면 매봉리 269-1</t>
        </is>
      </c>
      <c r="B3059" s="3" t="inlineStr">
        <is>
          <t>제2종일반주거지역</t>
        </is>
      </c>
      <c r="C3059" s="3" t="inlineStr">
        <is>
          <t>창고용지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84.90000000000001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1479</v>
      </c>
      <c r="R3059" s="3" t="inlineStr">
        <is>
          <t>지정되지않음</t>
        </is>
      </c>
      <c r="S3059" s="3" t="inlineStr">
        <is>
          <t>공업기타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현도면 매봉리 269-1</t>
        </is>
      </c>
      <c r="B3060" s="3" t="inlineStr">
        <is>
          <t>제2종일반주거지역</t>
        </is>
      </c>
      <c r="C3060" s="3" t="inlineStr">
        <is>
          <t>창고용지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84.90000000000001</v>
      </c>
      <c r="K3060" s="3" t="inlineStr">
        <is>
          <t>즉시사용가능 4차선 대도로 광고 전시 효과 최상 회사 사옥  전시장 부지</t>
        </is>
      </c>
      <c r="L3060" s="6">
        <f>HYPERLINK("https://fin.land.naver.com/articles/2651939280", "매물Link")</f>
        <v/>
      </c>
      <c r="M3060" s="6">
        <f>HYPERLINK("https://map.naver.com/p/search/현도면 매봉리 269-1",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1479</v>
      </c>
      <c r="R3060" s="3" t="inlineStr">
        <is>
          <t>지정되지않음</t>
        </is>
      </c>
      <c r="S3060" s="3" t="inlineStr">
        <is>
          <t>공업기타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소로한면</t>
        </is>
      </c>
    </row>
    <row r="3061">
      <c r="A3061" s="3" t="inlineStr">
        <is>
          <t>현도면 매봉리 269-1</t>
        </is>
      </c>
      <c r="B3061" s="3" t="inlineStr">
        <is>
          <t>제2종일반주거지역</t>
        </is>
      </c>
      <c r="C3061" s="3" t="inlineStr">
        <is>
          <t>창고용지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5" t="n">
        <v>84.90000000000001</v>
      </c>
      <c r="K3061" s="3" t="inlineStr">
        <is>
          <t>신탄진IC,남청주IC 가깝고 6차선 대로변에 위치, 광고효과 최고</t>
        </is>
      </c>
      <c r="L3061" s="6">
        <f>HYPERLINK("https://fin.land.naver.com/articles/2654290590", "매물Link")</f>
        <v/>
      </c>
      <c r="M3061" s="6">
        <f>HYPERLINK("https://map.naver.com/p/search/현도면 매봉리 269-1",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(주)미르</t>
        </is>
      </c>
      <c r="P3061" s="4" t="n">
        <v>1</v>
      </c>
      <c r="Q3061" s="4" t="n">
        <v>1479</v>
      </c>
      <c r="R3061" s="3" t="inlineStr">
        <is>
          <t>지정되지않음</t>
        </is>
      </c>
      <c r="S3061" s="3" t="inlineStr">
        <is>
          <t>공업기타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현도면 매봉리 269-11</t>
        </is>
      </c>
      <c r="B3062" s="3" t="inlineStr">
        <is>
          <t>제2종일반주거지역</t>
        </is>
      </c>
      <c r="C3062" s="3" t="inlineStr">
        <is>
          <t>창고용지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95.2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1917</v>
      </c>
      <c r="R3062" s="3" t="inlineStr">
        <is>
          <t>지정되지않음</t>
        </is>
      </c>
      <c r="S3062" s="3" t="inlineStr">
        <is>
          <t>공업기타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현도면 매봉리 311</t>
        </is>
      </c>
      <c r="B3063" s="3" t="inlineStr">
        <is>
          <t>제1종일반주거지역</t>
        </is>
      </c>
      <c r="C3063" s="3" t="inlineStr">
        <is>
          <t>전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62.9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50</v>
      </c>
      <c r="R3063" s="3" t="inlineStr">
        <is>
          <t>지정되지않음</t>
        </is>
      </c>
      <c r="S3063" s="3" t="inlineStr">
        <is>
          <t>전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세로한면(가)</t>
        </is>
      </c>
    </row>
    <row r="3064">
      <c r="A3064" s="3" t="inlineStr">
        <is>
          <t>현도면 상삼리 117-1</t>
        </is>
      </c>
      <c r="B3064" s="3" t="inlineStr">
        <is>
          <t>계획관리지역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380000</v>
      </c>
      <c r="G3064" s="4" t="n">
        <v>10496</v>
      </c>
      <c r="H3064" s="4" t="n">
        <v>3175</v>
      </c>
      <c r="I3064" s="5" t="n">
        <v>119.7</v>
      </c>
      <c r="J3064" s="5" t="n">
        <v>21.9</v>
      </c>
      <c r="K3064" s="3" t="inlineStr">
        <is>
          <t>남청주IC 인접한 토지 매매입니다.</t>
        </is>
      </c>
      <c r="L3064" s="6">
        <f>HYPERLINK("https://fin.land.naver.com/articles/2654924234", "매물Link")</f>
        <v/>
      </c>
      <c r="M3064" s="6">
        <f>HYPERLINK("https://map.naver.com/p/search/현도면 상삼리 117-1",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테크노밸리  사무소</t>
        </is>
      </c>
      <c r="P3064" s="4" t="n">
        <v>1</v>
      </c>
      <c r="Q3064" s="4" t="n">
        <v>2251</v>
      </c>
      <c r="R3064" s="3" t="inlineStr">
        <is>
          <t>지정되지않음</t>
        </is>
      </c>
      <c r="S3064" s="3" t="inlineStr">
        <is>
          <t>답</t>
        </is>
      </c>
      <c r="T3064" s="3" t="inlineStr">
        <is>
          <t>완경사</t>
        </is>
      </c>
      <c r="U3064" s="3" t="inlineStr">
        <is>
          <t>부정형</t>
        </is>
      </c>
      <c r="V3064" s="3" t="inlineStr">
        <is>
          <t>세로한면(가)</t>
        </is>
      </c>
    </row>
    <row r="3065">
      <c r="A3065" s="3" t="inlineStr">
        <is>
          <t>현도면 상삼리 117-1</t>
        </is>
      </c>
      <c r="B3065" s="3" t="inlineStr">
        <is>
          <t>계획관리지역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381000</v>
      </c>
      <c r="G3065" s="4" t="n">
        <v>10495</v>
      </c>
      <c r="H3065" s="4" t="n">
        <v>3175</v>
      </c>
      <c r="I3065" s="5" t="n">
        <v>120</v>
      </c>
      <c r="J3065" s="5" t="n">
        <v>21.9</v>
      </c>
      <c r="K3065" s="3" t="inlineStr">
        <is>
          <t>청주IC 인근 입니다  공장부지 창고부지 주차장 부지 넓고 좋습니다</t>
        </is>
      </c>
      <c r="L3065" s="6">
        <f>HYPERLINK("https://fin.land.naver.com/articles/2654596838", "매물Link")</f>
        <v/>
      </c>
      <c r="M3065" s="6">
        <f>HYPERLINK("https://map.naver.com/p/search/현도면 상삼리 117-1",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동일스위트대표</t>
        </is>
      </c>
      <c r="P3065" s="4" t="n">
        <v>3</v>
      </c>
      <c r="Q3065" s="4" t="n">
        <v>2251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완경사</t>
        </is>
      </c>
      <c r="U3065" s="3" t="inlineStr">
        <is>
          <t>부정형</t>
        </is>
      </c>
      <c r="V3065" s="3" t="inlineStr">
        <is>
          <t>세로한면(가)</t>
        </is>
      </c>
    </row>
    <row r="3066">
      <c r="A3066" s="3" t="inlineStr">
        <is>
          <t>현도면 상삼리 117-1</t>
        </is>
      </c>
      <c r="B3066" s="3" t="inlineStr">
        <is>
          <t>계획관리지역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317500</v>
      </c>
      <c r="G3066" s="4" t="n">
        <v>10496</v>
      </c>
      <c r="H3066" s="4" t="n">
        <v>3175</v>
      </c>
      <c r="I3066" s="5" t="n">
        <v>100</v>
      </c>
      <c r="J3066" s="5" t="n">
        <v>21.9</v>
      </c>
      <c r="K3066" s="3" t="inlineStr">
        <is>
          <t>남청주IC 2km 계획관리 2차선도로접, 공장물류창고 신축 최적지</t>
        </is>
      </c>
      <c r="L3066" s="6">
        <f>HYPERLINK("https://fin.land.naver.com/articles/2654089309", "매물Link")</f>
        <v/>
      </c>
      <c r="M3066" s="6">
        <f>HYPERLINK("https://map.naver.com/p/search/현도면 상삼리 117-1",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신탄진다온</t>
        </is>
      </c>
      <c r="P3066" s="4" t="n">
        <v>1</v>
      </c>
      <c r="Q3066" s="4" t="n">
        <v>2251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완경사</t>
        </is>
      </c>
      <c r="U3066" s="3" t="inlineStr">
        <is>
          <t>부정형</t>
        </is>
      </c>
      <c r="V3066" s="3" t="inlineStr">
        <is>
          <t>세로한면(가)</t>
        </is>
      </c>
    </row>
    <row r="3067">
      <c r="A3067" s="3" t="inlineStr">
        <is>
          <t>현도면 상삼리 117-1</t>
        </is>
      </c>
      <c r="B3067" s="3" t="inlineStr">
        <is>
          <t>계획관리지역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412750</v>
      </c>
      <c r="G3067" s="4" t="n">
        <v>10495</v>
      </c>
      <c r="H3067" s="4" t="n">
        <v>3175</v>
      </c>
      <c r="I3067" s="5" t="n">
        <v>130</v>
      </c>
      <c r="J3067" s="5" t="n">
        <v>21.9</v>
      </c>
      <c r="K3067" s="3" t="inlineStr">
        <is>
          <t>nan</t>
        </is>
      </c>
      <c r="L3067" s="6">
        <f>HYPERLINK("https://fin.land.naver.com/articles/2655863274", "매물Link")</f>
        <v/>
      </c>
      <c r="M3067" s="6">
        <f>HYPERLINK("https://map.naver.com/p/search/현도면 상삼리 117-1",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청주합동</t>
        </is>
      </c>
      <c r="P3067" s="4" t="n">
        <v>3</v>
      </c>
      <c r="Q3067" s="4" t="n">
        <v>2251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세로한면(가)</t>
        </is>
      </c>
    </row>
    <row r="3068">
      <c r="A3068" s="3" t="inlineStr">
        <is>
          <t>현도면 상삼리 117-1</t>
        </is>
      </c>
      <c r="B3068" s="3" t="inlineStr">
        <is>
          <t>계획관리지역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21.9</v>
      </c>
      <c r="K3068" s="3" t="inlineStr">
        <is>
          <t>남청주IC인근 2차선 도로접한 계획관리지역. 공장,물류창고 추천.</t>
        </is>
      </c>
      <c r="L3068" s="6">
        <f>HYPERLINK("https://fin.land.naver.com/articles/2653047094", "매물Link")</f>
        <v/>
      </c>
      <c r="M3068" s="6">
        <f>HYPERLINK("https://map.naver.com/p/search/현도면 상삼리 117-1",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세종대장</t>
        </is>
      </c>
      <c r="P3068" s="4" t="n">
        <v>1</v>
      </c>
      <c r="Q3068" s="4" t="n">
        <v>2251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완경사</t>
        </is>
      </c>
      <c r="U3068" s="3" t="inlineStr">
        <is>
          <t>부정형</t>
        </is>
      </c>
      <c r="V3068" s="3" t="inlineStr">
        <is>
          <t>세로한면(가)</t>
        </is>
      </c>
    </row>
    <row r="3069">
      <c r="A3069" s="3" t="inlineStr">
        <is>
          <t>현도면 상삼리 122</t>
        </is>
      </c>
      <c r="B3069" s="3" t="inlineStr">
        <is>
          <t>계획관리지역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380000</v>
      </c>
      <c r="G3069" s="4" t="n">
        <v>10496</v>
      </c>
      <c r="H3069" s="4" t="n">
        <v>3175</v>
      </c>
      <c r="I3069" s="5" t="n">
        <v>119.7</v>
      </c>
      <c r="J3069" s="5" t="n">
        <v>24.1</v>
      </c>
      <c r="K3069" s="3" t="inlineStr">
        <is>
          <t>즉시 건축 가능한  2차선 도로 접한 공장 및 창고 부지</t>
        </is>
      </c>
      <c r="L3069" s="6">
        <f>HYPERLINK("https://fin.land.naver.com/articles/2651916730", "매물Link")</f>
        <v/>
      </c>
      <c r="M3069" s="6">
        <f>HYPERLINK("https://map.naver.com/p/search/현도면 상삼리 122",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대전토지로무소</t>
        </is>
      </c>
      <c r="P3069" s="4" t="n">
        <v>1</v>
      </c>
      <c r="Q3069" s="4" t="n">
        <v>1718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완경사</t>
        </is>
      </c>
      <c r="U3069" s="3" t="inlineStr">
        <is>
          <t>부정형</t>
        </is>
      </c>
      <c r="V3069" s="3" t="inlineStr">
        <is>
          <t>소로한면</t>
        </is>
      </c>
    </row>
    <row r="3070">
      <c r="A3070" s="3" t="inlineStr">
        <is>
          <t>현도면 상삼리 122</t>
        </is>
      </c>
      <c r="B3070" s="3" t="inlineStr">
        <is>
          <t>계획관리지역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24.1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1718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소로한면</t>
        </is>
      </c>
    </row>
    <row r="3071">
      <c r="A3071" s="3" t="inlineStr">
        <is>
          <t>현도면 상삼리 122</t>
        </is>
      </c>
      <c r="B3071" s="3" t="inlineStr">
        <is>
          <t>계획관리지역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317000</v>
      </c>
      <c r="G3071" s="4" t="n">
        <v>10496</v>
      </c>
      <c r="H3071" s="4" t="n">
        <v>3175</v>
      </c>
      <c r="I3071" s="5" t="n">
        <v>99.8</v>
      </c>
      <c r="J3071" s="5" t="n">
        <v>24.1</v>
      </c>
      <c r="K3071" s="3" t="inlineStr">
        <is>
          <t>남청주IC 5분, 2차선 도로변 현도면 대형 공장부지, 물류창고부지 급매</t>
        </is>
      </c>
      <c r="L3071" s="6">
        <f>HYPERLINK("https://fin.land.naver.com/articles/2654665727", "매물Link")</f>
        <v/>
      </c>
      <c r="M3071" s="6">
        <f>HYPERLINK("https://map.naver.com/p/search/현도면 상삼리 122",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청담</t>
        </is>
      </c>
      <c r="P3071" s="4" t="n">
        <v>1</v>
      </c>
      <c r="Q3071" s="4" t="n">
        <v>1718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상삼리 122</t>
        </is>
      </c>
      <c r="B3072" s="3" t="inlineStr">
        <is>
          <t>계획관리지역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5" t="n">
        <v>24.1</v>
      </c>
      <c r="K3072" s="3" t="inlineStr">
        <is>
          <t>OK. 급매. 계획관리지역, 성장관리계획구역.</t>
        </is>
      </c>
      <c r="L3072" s="6">
        <f>HYPERLINK("https://fin.land.naver.com/articles/2654953572", "매물Link")</f>
        <v/>
      </c>
      <c r="M3072" s="6">
        <f>HYPERLINK("https://map.naver.com/p/search/현도면 상삼리 122",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OK</t>
        </is>
      </c>
      <c r="P3072" s="4" t="n">
        <v>1</v>
      </c>
      <c r="Q3072" s="4" t="n">
        <v>1718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완경사</t>
        </is>
      </c>
      <c r="U3072" s="3" t="inlineStr">
        <is>
          <t>부정형</t>
        </is>
      </c>
      <c r="V3072" s="3" t="inlineStr">
        <is>
          <t>소로한면</t>
        </is>
      </c>
    </row>
    <row r="3073">
      <c r="A3073" s="3" t="inlineStr">
        <is>
          <t>현도면 상삼리 141</t>
        </is>
      </c>
      <c r="B3073" s="3" t="inlineStr">
        <is>
          <t>계획관리지역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2648</v>
      </c>
      <c r="H3073" s="4" t="n">
        <v>801</v>
      </c>
      <c r="I3073" s="5" t="n">
        <v>124.8</v>
      </c>
      <c r="J3073" s="5" t="n">
        <v>42.7</v>
      </c>
      <c r="K3073" s="3" t="inlineStr">
        <is>
          <t>현재토지에  A동 단층주택 B동은 창고로 사용하고있음</t>
        </is>
      </c>
      <c r="L3073" s="6">
        <f>HYPERLINK("https://fin.land.naver.com/articles/2652036405", "매물Link")</f>
        <v/>
      </c>
      <c r="M3073" s="6">
        <f>HYPERLINK("https://map.naver.com/p/search/현도면 상삼리 141",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사랑방</t>
        </is>
      </c>
      <c r="P3073" s="4" t="n">
        <v>1</v>
      </c>
      <c r="Q3073" s="4" t="n">
        <v>2648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세로한면(가)</t>
        </is>
      </c>
    </row>
    <row r="3074">
      <c r="A3074" s="3" t="inlineStr">
        <is>
          <t>현도면 상삼리 141</t>
        </is>
      </c>
      <c r="B3074" s="3" t="inlineStr">
        <is>
          <t>계획관리지역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3101</v>
      </c>
      <c r="H3074" s="4" t="n">
        <v>938</v>
      </c>
      <c r="I3074" s="5" t="n">
        <v>106.6</v>
      </c>
      <c r="J3074" s="5" t="n">
        <v>42.7</v>
      </c>
      <c r="K3074" s="3" t="inlineStr">
        <is>
          <t>주변 시세보다 저렴한 공장 및 창고 부지</t>
        </is>
      </c>
      <c r="L3074" s="6">
        <f>HYPERLINK("https://fin.land.naver.com/articles/2655402899", "매물Link")</f>
        <v/>
      </c>
      <c r="M3074" s="6">
        <f>HYPERLINK("https://map.naver.com/p/search/현도면 상삼리 141",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대전토지로무소</t>
        </is>
      </c>
      <c r="P3074" s="4" t="n">
        <v>1</v>
      </c>
      <c r="Q3074" s="4" t="n">
        <v>2648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현도면 상삼리 195-1</t>
        </is>
      </c>
      <c r="B3075" s="3" t="inlineStr">
        <is>
          <t>계획관리지역</t>
        </is>
      </c>
      <c r="C3075" s="3" t="inlineStr">
        <is>
          <t>전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21.4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1530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현도면 상삼리 243</t>
        </is>
      </c>
      <c r="B3076" s="3" t="inlineStr">
        <is>
          <t>계획관리지역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38.5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893</v>
      </c>
      <c r="R3076" s="3" t="inlineStr">
        <is>
          <t>지정되지않음</t>
        </is>
      </c>
      <c r="S3076" s="3" t="inlineStr">
        <is>
          <t>단독</t>
        </is>
      </c>
      <c r="T3076" s="3" t="inlineStr">
        <is>
          <t>완경사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현도면 상삼리 256-4</t>
        </is>
      </c>
      <c r="B3077" s="3" t="inlineStr">
        <is>
          <t>계획관리지역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40.4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681</v>
      </c>
      <c r="R3077" s="3" t="inlineStr">
        <is>
          <t>지정되지않음</t>
        </is>
      </c>
      <c r="S3077" s="3" t="inlineStr">
        <is>
          <t>단독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세로한면(불)</t>
        </is>
      </c>
    </row>
    <row r="3078">
      <c r="A3078" s="3" t="inlineStr">
        <is>
          <t>현도면 상삼리 260-1</t>
        </is>
      </c>
      <c r="B3078" s="3" t="inlineStr">
        <is>
          <t>계획관리지역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38.8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3012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완경사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현도면 상삼리 293</t>
        </is>
      </c>
      <c r="B3079" s="3" t="inlineStr">
        <is>
          <t>계획관리지역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20.8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2446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부정형</t>
        </is>
      </c>
      <c r="V3079" s="3" t="inlineStr">
        <is>
          <t>세로한면(가)</t>
        </is>
      </c>
    </row>
    <row r="3080">
      <c r="A3080" s="3" t="inlineStr">
        <is>
          <t>현도면 시동리 126</t>
        </is>
      </c>
      <c r="B3080" s="3" t="inlineStr">
        <is>
          <t>개발제한구역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9.199999999999999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3117</v>
      </c>
      <c r="R3080" s="3" t="inlineStr">
        <is>
          <t>지정되지않음</t>
        </is>
      </c>
      <c r="S3080" s="3" t="inlineStr">
        <is>
          <t>답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현도면 시동리 218</t>
        </is>
      </c>
      <c r="B3081" s="3" t="inlineStr">
        <is>
          <t>생산관리지역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29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761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소로한면</t>
        </is>
      </c>
    </row>
    <row r="3082">
      <c r="A3082" s="3" t="inlineStr">
        <is>
          <t>현도면 시동리 297</t>
        </is>
      </c>
      <c r="B3082" s="3" t="inlineStr">
        <is>
          <t>개발제한구역</t>
        </is>
      </c>
      <c r="C3082" s="3" t="inlineStr">
        <is>
          <t>전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6.8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2142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세로한면(불)</t>
        </is>
      </c>
    </row>
    <row r="3083">
      <c r="A3083" s="3" t="inlineStr">
        <is>
          <t>현도면 양지리 230-8</t>
        </is>
      </c>
      <c r="B3083" s="3" t="inlineStr">
        <is>
          <t>제1종일반주거지역</t>
        </is>
      </c>
      <c r="C3083" s="3" t="inlineStr">
        <is>
          <t>전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39.4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1037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양지리 41-8</t>
        </is>
      </c>
      <c r="B3084" s="3" t="inlineStr">
        <is>
          <t>개발제한구역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100.5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797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완경사</t>
        </is>
      </c>
      <c r="U3084" s="3" t="inlineStr">
        <is>
          <t>가로장방</t>
        </is>
      </c>
      <c r="V3084" s="3" t="inlineStr">
        <is>
          <t>중로한면</t>
        </is>
      </c>
    </row>
    <row r="3085">
      <c r="A3085" s="3" t="inlineStr">
        <is>
          <t>현도면 우록리 109-3</t>
        </is>
      </c>
      <c r="B3085" s="3" t="inlineStr">
        <is>
          <t>계획관리지역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36.3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687</v>
      </c>
      <c r="R3085" s="3" t="inlineStr">
        <is>
          <t>지정되지않음</t>
        </is>
      </c>
      <c r="S3085" s="3" t="inlineStr">
        <is>
          <t>주거기타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현도면 우록리 109-5</t>
        </is>
      </c>
      <c r="B3086" s="3" t="inlineStr">
        <is>
          <t>계획관리지역</t>
        </is>
      </c>
      <c r="C3086" s="3" t="inlineStr">
        <is>
          <t>임야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4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1020</v>
      </c>
      <c r="R3086" s="3" t="inlineStr">
        <is>
          <t>지정되지않음</t>
        </is>
      </c>
      <c r="S3086" s="3" t="inlineStr">
        <is>
          <t>자연림</t>
        </is>
      </c>
      <c r="T3086" s="3" t="inlineStr">
        <is>
          <t>완경사</t>
        </is>
      </c>
      <c r="U3086" s="3" t="inlineStr">
        <is>
          <t>부정형</t>
        </is>
      </c>
      <c r="V3086" s="3" t="inlineStr">
        <is>
          <t>세로한면(가)</t>
        </is>
      </c>
    </row>
    <row r="3087">
      <c r="A3087" s="3" t="inlineStr">
        <is>
          <t>현도면 우록리 300</t>
        </is>
      </c>
      <c r="B3087" s="3" t="inlineStr">
        <is>
          <t>생산관리지역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18.3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1996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우록리 330</t>
        </is>
      </c>
      <c r="B3088" s="3" t="inlineStr">
        <is>
          <t>생산관리지역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35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564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세로한면(가)</t>
        </is>
      </c>
    </row>
    <row r="3089">
      <c r="A3089" s="3" t="inlineStr">
        <is>
          <t>현도면 우록리 478-2</t>
        </is>
      </c>
      <c r="B3089" s="3" t="inlineStr">
        <is>
          <t>계획관리지역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42.7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468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부정형</t>
        </is>
      </c>
      <c r="V3089" s="3" t="inlineStr">
        <is>
          <t>세로한면(가)</t>
        </is>
      </c>
    </row>
    <row r="3090">
      <c r="A3090" s="3" t="inlineStr">
        <is>
          <t>현도면 우록리 480-1</t>
        </is>
      </c>
      <c r="B3090" s="3" t="inlineStr">
        <is>
          <t>생산관리지역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33.6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407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평지</t>
        </is>
      </c>
      <c r="U3090" s="3" t="inlineStr">
        <is>
          <t>부정형</t>
        </is>
      </c>
      <c r="V3090" s="3" t="inlineStr">
        <is>
          <t>세로한면(가)</t>
        </is>
      </c>
    </row>
    <row r="3091">
      <c r="A3091" s="3" t="inlineStr">
        <is>
          <t>현도면 우록리 481</t>
        </is>
      </c>
      <c r="B3091" s="3" t="inlineStr">
        <is>
          <t>생산관리지역</t>
        </is>
      </c>
      <c r="C3091" s="3" t="inlineStr">
        <is>
          <t>답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33.6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929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우록리 604-1</t>
        </is>
      </c>
      <c r="B3092" s="3" t="inlineStr">
        <is>
          <t>생산관리지역</t>
        </is>
      </c>
      <c r="C3092" s="3" t="inlineStr">
        <is>
          <t>답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22.1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1574</v>
      </c>
      <c r="R3092" s="3" t="inlineStr">
        <is>
          <t>계획관리지역</t>
        </is>
      </c>
      <c r="S3092" s="3" t="inlineStr">
        <is>
          <t>답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세로한면(가)</t>
        </is>
      </c>
    </row>
    <row r="3093">
      <c r="A3093" s="3" t="inlineStr">
        <is>
          <t>현도면 우록리 89</t>
        </is>
      </c>
      <c r="B3093" s="3" t="inlineStr">
        <is>
          <t>보전관리지역</t>
        </is>
      </c>
      <c r="C3093" s="3" t="inlineStr">
        <is>
          <t>전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7.7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1064</v>
      </c>
      <c r="R3093" s="3" t="inlineStr">
        <is>
          <t>지정되지않음</t>
        </is>
      </c>
      <c r="S3093" s="3" t="inlineStr">
        <is>
          <t>전</t>
        </is>
      </c>
      <c r="T3093" s="3" t="inlineStr">
        <is>
          <t>급경사</t>
        </is>
      </c>
      <c r="U3093" s="3" t="inlineStr">
        <is>
          <t>부정형</t>
        </is>
      </c>
      <c r="V3093" s="3" t="inlineStr">
        <is>
          <t>맹지</t>
        </is>
      </c>
    </row>
    <row r="3094">
      <c r="A3094" s="3" t="inlineStr">
        <is>
          <t>현도면 죽암리 184-16</t>
        </is>
      </c>
      <c r="B3094" s="3" t="inlineStr">
        <is>
          <t>계획관리지역</t>
        </is>
      </c>
      <c r="C3094" s="3" t="inlineStr">
        <is>
          <t>임야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2.4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230</v>
      </c>
      <c r="R3094" s="3" t="inlineStr">
        <is>
          <t>지정되지않음</t>
        </is>
      </c>
      <c r="S3094" s="3" t="inlineStr">
        <is>
          <t>자연림</t>
        </is>
      </c>
      <c r="T3094" s="3" t="inlineStr">
        <is>
          <t>완경사</t>
        </is>
      </c>
      <c r="U3094" s="3" t="inlineStr">
        <is>
          <t>사다리형</t>
        </is>
      </c>
      <c r="V3094" s="3" t="inlineStr">
        <is>
          <t>맹지</t>
        </is>
      </c>
    </row>
    <row r="3095">
      <c r="A3095" s="3" t="inlineStr">
        <is>
          <t>현도면 죽암리 184-16</t>
        </is>
      </c>
      <c r="B3095" s="3" t="inlineStr">
        <is>
          <t>계획관리지역</t>
        </is>
      </c>
      <c r="C3095" s="3" t="inlineStr">
        <is>
          <t>임야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2.4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230</v>
      </c>
      <c r="R3095" s="3" t="inlineStr">
        <is>
          <t>지정되지않음</t>
        </is>
      </c>
      <c r="S3095" s="3" t="inlineStr">
        <is>
          <t>자연림</t>
        </is>
      </c>
      <c r="T3095" s="3" t="inlineStr">
        <is>
          <t>완경사</t>
        </is>
      </c>
      <c r="U3095" s="3" t="inlineStr">
        <is>
          <t>사다리형</t>
        </is>
      </c>
      <c r="V3095" s="3" t="inlineStr">
        <is>
          <t>맹지</t>
        </is>
      </c>
    </row>
    <row r="3096">
      <c r="A3096" s="3" t="inlineStr">
        <is>
          <t>현도면 죽암리 184-9</t>
        </is>
      </c>
      <c r="B3096" s="3" t="inlineStr">
        <is>
          <t>계획관리지역</t>
        </is>
      </c>
      <c r="C3096" s="3" t="inlineStr">
        <is>
          <t>잡종지</t>
        </is>
      </c>
      <c r="D3096" s="3" t="inlineStr">
        <is>
          <t>잡종지</t>
        </is>
      </c>
      <c r="E3096" s="3" t="inlineStr">
        <is>
          <t>월세</t>
        </is>
      </c>
      <c r="F3096" s="4" t="n">
        <v>10000</v>
      </c>
      <c r="G3096" s="4" t="n">
        <v>6744</v>
      </c>
      <c r="H3096" s="4" t="n">
        <v>2040</v>
      </c>
      <c r="I3096" s="5" t="n">
        <v>0.4</v>
      </c>
      <c r="J3096" s="5" t="n">
        <v>63</v>
      </c>
      <c r="K3096" s="3" t="inlineStr">
        <is>
          <t>즉시사용가능한 나대지 야적장 화물자동차매매상사, 공장 및 창고 부지</t>
        </is>
      </c>
      <c r="L3096" s="6">
        <f>HYPERLINK("https://fin.land.naver.com/articles/2654969454", "매물Link")</f>
        <v/>
      </c>
      <c r="M3096" s="6">
        <f>HYPERLINK("https://map.naver.com/p/search/현도면 죽암리 184-9",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대전토지로무소</t>
        </is>
      </c>
      <c r="P3096" s="4" t="n">
        <v>1</v>
      </c>
      <c r="Q3096" s="4" t="n">
        <v>6514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완경사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현도면 죽암리 184-9</t>
        </is>
      </c>
      <c r="B3097" s="3" t="inlineStr">
        <is>
          <t>계획관리지역</t>
        </is>
      </c>
      <c r="C3097" s="3" t="inlineStr">
        <is>
          <t>잡종지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5" t="n">
        <v>63</v>
      </c>
      <c r="K3097" s="3" t="inlineStr">
        <is>
          <t>OK. 급매. 계획관리지역, 성장관리계획구역.</t>
        </is>
      </c>
      <c r="L3097" s="6">
        <f>HYPERLINK("https://fin.land.naver.com/articles/2654953187", "매물Link")</f>
        <v/>
      </c>
      <c r="M3097" s="6">
        <f>HYPERLINK("https://map.naver.com/p/search/현도면 죽암리 184-9",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OK</t>
        </is>
      </c>
      <c r="P3097" s="4" t="n">
        <v>1</v>
      </c>
      <c r="Q3097" s="4" t="n">
        <v>6514</v>
      </c>
      <c r="R3097" s="3" t="inlineStr">
        <is>
          <t>지정되지않음</t>
        </is>
      </c>
      <c r="S3097" s="3" t="inlineStr">
        <is>
          <t>공업기타</t>
        </is>
      </c>
      <c r="T3097" s="3" t="inlineStr">
        <is>
          <t>완경사</t>
        </is>
      </c>
      <c r="U3097" s="3" t="inlineStr">
        <is>
          <t>사다리형</t>
        </is>
      </c>
      <c r="V3097" s="3" t="inlineStr">
        <is>
          <t>소로한면</t>
        </is>
      </c>
    </row>
    <row r="3098">
      <c r="A3098" s="3" t="inlineStr">
        <is>
          <t>현도면 죽암리 184-9</t>
        </is>
      </c>
      <c r="B3098" s="3" t="inlineStr">
        <is>
          <t>계획관리지역</t>
        </is>
      </c>
      <c r="C3098" s="3" t="inlineStr">
        <is>
          <t>잡종지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265000</v>
      </c>
      <c r="G3098" s="4" t="n">
        <v>6744</v>
      </c>
      <c r="H3098" s="4" t="n">
        <v>2040</v>
      </c>
      <c r="I3098" s="5" t="n">
        <v>129.9</v>
      </c>
      <c r="J3098" s="5" t="n">
        <v>63</v>
      </c>
      <c r="K3098" s="3" t="inlineStr">
        <is>
          <t>남청주 IC인접한 토지 매매입니다.</t>
        </is>
      </c>
      <c r="L3098" s="6">
        <f>HYPERLINK("https://fin.land.naver.com/articles/2650812953", "매물Link")</f>
        <v/>
      </c>
      <c r="M3098" s="6">
        <f>HYPERLINK("https://map.naver.com/p/search/현도면 죽암리 184-9",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6514</v>
      </c>
      <c r="R3098" s="3" t="inlineStr">
        <is>
          <t>지정되지않음</t>
        </is>
      </c>
      <c r="S3098" s="3" t="inlineStr">
        <is>
          <t>공업기타</t>
        </is>
      </c>
      <c r="T3098" s="3" t="inlineStr">
        <is>
          <t>완경사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현도면 죽암리 184-9</t>
        </is>
      </c>
      <c r="B3099" s="3" t="inlineStr">
        <is>
          <t>계획관리지역</t>
        </is>
      </c>
      <c r="C3099" s="3" t="inlineStr">
        <is>
          <t>잡종지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223000</v>
      </c>
      <c r="G3099" s="4" t="n">
        <v>6744</v>
      </c>
      <c r="H3099" s="4" t="n">
        <v>2040</v>
      </c>
      <c r="I3099" s="5" t="n">
        <v>109.3</v>
      </c>
      <c r="J3099" s="5" t="n">
        <v>63</v>
      </c>
      <c r="K3099" s="3" t="inlineStr">
        <is>
          <t>즉시사용가능 재활용부지  화물자동차매매상사, 공장부지 , 창고 부지</t>
        </is>
      </c>
      <c r="L3099" s="6">
        <f>HYPERLINK("https://fin.land.naver.com/articles/2655486888", "매물Link")</f>
        <v/>
      </c>
      <c r="M3099" s="6">
        <f>HYPERLINK("https://map.naver.com/p/search/현도면 죽암리 184-9",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대전토지로무소</t>
        </is>
      </c>
      <c r="P3099" s="4" t="n">
        <v>1</v>
      </c>
      <c r="Q3099" s="4" t="n">
        <v>6514</v>
      </c>
      <c r="R3099" s="3" t="inlineStr">
        <is>
          <t>지정되지않음</t>
        </is>
      </c>
      <c r="S3099" s="3" t="inlineStr">
        <is>
          <t>공업기타</t>
        </is>
      </c>
      <c r="T3099" s="3" t="inlineStr">
        <is>
          <t>완경사</t>
        </is>
      </c>
      <c r="U3099" s="3" t="inlineStr">
        <is>
          <t>사다리형</t>
        </is>
      </c>
      <c r="V3099" s="3" t="inlineStr">
        <is>
          <t>소로한면</t>
        </is>
      </c>
    </row>
    <row r="3100">
      <c r="A3100" s="3" t="inlineStr">
        <is>
          <t>현도면 죽암리 184-9</t>
        </is>
      </c>
      <c r="B3100" s="3" t="inlineStr">
        <is>
          <t>계획관리지역</t>
        </is>
      </c>
      <c r="C3100" s="3" t="inlineStr">
        <is>
          <t>잡종지</t>
        </is>
      </c>
      <c r="D3100" s="3" t="inlineStr">
        <is>
          <t>임야</t>
        </is>
      </c>
      <c r="E3100" s="3" t="inlineStr">
        <is>
          <t>매매</t>
        </is>
      </c>
      <c r="F3100" s="4" t="n">
        <v>275400</v>
      </c>
      <c r="G3100" s="4" t="n">
        <v>6743</v>
      </c>
      <c r="H3100" s="4" t="n">
        <v>2040</v>
      </c>
      <c r="I3100" s="5" t="n">
        <v>135</v>
      </c>
      <c r="J3100" s="5" t="n">
        <v>63</v>
      </c>
      <c r="K3100" s="3" t="inlineStr">
        <is>
          <t>nan</t>
        </is>
      </c>
      <c r="L3100" s="6">
        <f>HYPERLINK("https://fin.land.naver.com/articles/2655425181", "매물Link")</f>
        <v/>
      </c>
      <c r="M3100" s="6">
        <f>HYPERLINK("https://map.naver.com/p/search/현도면 죽암리 184-9",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6514</v>
      </c>
      <c r="R3100" s="3" t="inlineStr">
        <is>
          <t>지정되지않음</t>
        </is>
      </c>
      <c r="S3100" s="3" t="inlineStr">
        <is>
          <t>공업기타</t>
        </is>
      </c>
      <c r="T3100" s="3" t="inlineStr">
        <is>
          <t>완경사</t>
        </is>
      </c>
      <c r="U3100" s="3" t="inlineStr">
        <is>
          <t>사다리형</t>
        </is>
      </c>
      <c r="V3100" s="3" t="inlineStr">
        <is>
          <t>소로한면</t>
        </is>
      </c>
    </row>
    <row r="3101">
      <c r="A3101" s="3" t="inlineStr">
        <is>
          <t>현도면 죽암리 184-9</t>
        </is>
      </c>
      <c r="B3101" s="3" t="inlineStr">
        <is>
          <t>계획관리지역</t>
        </is>
      </c>
      <c r="C3101" s="3" t="inlineStr">
        <is>
          <t>잡종지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6514</v>
      </c>
      <c r="H3101" s="4" t="n">
        <v>1970</v>
      </c>
      <c r="I3101" s="5" t="n">
        <v>0.4</v>
      </c>
      <c r="J3101" s="5" t="n">
        <v>63</v>
      </c>
      <c r="K3101" s="3" t="inlineStr">
        <is>
          <t>남청주IC에서 5분거리, 현제 화물자동차 매매상사, 즉시입주가능</t>
        </is>
      </c>
      <c r="L3101" s="6">
        <f>HYPERLINK("https://fin.land.naver.com/articles/2652777346", "매물Link")</f>
        <v/>
      </c>
      <c r="M3101" s="6">
        <f>HYPERLINK("https://map.naver.com/p/search/현도면 죽암리 184-9",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금화랜드</t>
        </is>
      </c>
      <c r="P3101" s="4" t="n">
        <v>1</v>
      </c>
      <c r="Q3101" s="4" t="n">
        <v>6514</v>
      </c>
      <c r="R3101" s="3" t="inlineStr">
        <is>
          <t>지정되지않음</t>
        </is>
      </c>
      <c r="S3101" s="3" t="inlineStr">
        <is>
          <t>공업기타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소로한면</t>
        </is>
      </c>
    </row>
    <row r="3102">
      <c r="A3102" s="3" t="inlineStr">
        <is>
          <t>현도면 죽암리 184-9</t>
        </is>
      </c>
      <c r="B3102" s="3" t="inlineStr">
        <is>
          <t>계획관리지역</t>
        </is>
      </c>
      <c r="C3102" s="3" t="inlineStr">
        <is>
          <t>잡종지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265000</v>
      </c>
      <c r="G3102" s="4" t="n">
        <v>6743</v>
      </c>
      <c r="H3102" s="4" t="n">
        <v>2040</v>
      </c>
      <c r="I3102" s="5" t="n">
        <v>129.9</v>
      </c>
      <c r="J3102" s="5" t="n">
        <v>63</v>
      </c>
      <c r="K3102" s="3" t="inlineStr">
        <is>
          <t>IC인근  공장부지 창고부지 좋습니다</t>
        </is>
      </c>
      <c r="L3102" s="6">
        <f>HYPERLINK("https://fin.land.naver.com/articles/2655409542", "매물Link")</f>
        <v/>
      </c>
      <c r="M3102" s="6">
        <f>HYPERLINK("https://map.naver.com/p/search/현도면 죽암리 184-9",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동일스위트대표</t>
        </is>
      </c>
      <c r="P3102" s="4" t="n">
        <v>4</v>
      </c>
      <c r="Q3102" s="4" t="n">
        <v>6514</v>
      </c>
      <c r="R3102" s="3" t="inlineStr">
        <is>
          <t>지정되지않음</t>
        </is>
      </c>
      <c r="S3102" s="3" t="inlineStr">
        <is>
          <t>공업기타</t>
        </is>
      </c>
      <c r="T3102" s="3" t="inlineStr">
        <is>
          <t>완경사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현도면 죽전리 356-3</t>
        </is>
      </c>
      <c r="B3103" s="3" t="inlineStr">
        <is>
          <t>계획관리지역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52800</v>
      </c>
      <c r="G3103" s="4" t="n">
        <v>919</v>
      </c>
      <c r="H3103" s="4" t="n">
        <v>278</v>
      </c>
      <c r="I3103" s="5" t="n">
        <v>189.9</v>
      </c>
      <c r="J3103" s="5" t="n">
        <v>31.7</v>
      </c>
      <c r="K3103" s="3" t="inlineStr">
        <is>
          <t>도로에 접한 농지 매매</t>
        </is>
      </c>
      <c r="L3103" s="6">
        <f>HYPERLINK("https://fin.land.naver.com/articles/2655015930", "매물Link")</f>
        <v/>
      </c>
      <c r="M3103" s="6">
        <f>HYPERLINK("https://map.naver.com/p/search/현도면 죽전리 356-3",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복돼지</t>
        </is>
      </c>
      <c r="P3103" s="4" t="n">
        <v>1</v>
      </c>
      <c r="Q3103" s="4" t="n">
        <v>919</v>
      </c>
      <c r="R3103" s="3" t="inlineStr">
        <is>
          <t>지정되지않음</t>
        </is>
      </c>
      <c r="S3103" s="3" t="inlineStr">
        <is>
          <t>전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죽전리 356-3</t>
        </is>
      </c>
      <c r="B3104" s="3" t="inlineStr">
        <is>
          <t>계획관리지역</t>
        </is>
      </c>
      <c r="C3104" s="3" t="inlineStr">
        <is>
          <t>전</t>
        </is>
      </c>
      <c r="D3104" s="3" t="inlineStr">
        <is>
          <t>전</t>
        </is>
      </c>
      <c r="E3104" s="3" t="inlineStr">
        <is>
          <t>매매</t>
        </is>
      </c>
      <c r="F3104" s="4" t="n">
        <v>52000</v>
      </c>
      <c r="G3104" s="4" t="n">
        <v>919</v>
      </c>
      <c r="H3104" s="4" t="n">
        <v>278</v>
      </c>
      <c r="I3104" s="5" t="n">
        <v>187.1</v>
      </c>
      <c r="J3104" s="5" t="n">
        <v>31.7</v>
      </c>
      <c r="K3104" s="3" t="inlineStr">
        <is>
          <t>전면이 넓은 토지로 공장부지, 창고부지, 야적장 등 용도다양함</t>
        </is>
      </c>
      <c r="L3104" s="6">
        <f>HYPERLINK("https://fin.land.naver.com/articles/2655487390", "매물Link")</f>
        <v/>
      </c>
      <c r="M3104" s="6">
        <f>HYPERLINK("https://map.naver.com/p/search/현도면 죽전리 356-3",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대전토지로무소</t>
        </is>
      </c>
      <c r="P3104" s="4" t="n">
        <v>1</v>
      </c>
      <c r="Q3104" s="4" t="n">
        <v>919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죽전리 594-3</t>
        </is>
      </c>
      <c r="B3105" s="3" t="inlineStr">
        <is>
          <t>계획관리지역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31.6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984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세로한면(불)</t>
        </is>
      </c>
    </row>
    <row r="3106">
      <c r="A3106" s="3" t="inlineStr">
        <is>
          <t>현도면 중삼리 165</t>
        </is>
      </c>
      <c r="B3106" s="3" t="inlineStr">
        <is>
          <t>계획관리지역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20.1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1071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완경사</t>
        </is>
      </c>
      <c r="U3106" s="3" t="inlineStr">
        <is>
          <t>사다리형</t>
        </is>
      </c>
      <c r="V3106" s="3" t="inlineStr">
        <is>
          <t>맹지</t>
        </is>
      </c>
    </row>
    <row r="3107">
      <c r="A3107" s="3" t="inlineStr">
        <is>
          <t>현도면 중삼리 297-12</t>
        </is>
      </c>
      <c r="B3107" s="3" t="inlineStr">
        <is>
          <t>계획관리지역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48.9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2167</v>
      </c>
      <c r="R3107" s="3" t="inlineStr">
        <is>
          <t>지정되지않음</t>
        </is>
      </c>
      <c r="S3107" s="3" t="inlineStr">
        <is>
          <t>공업기타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세로한면(가)</t>
        </is>
      </c>
    </row>
    <row r="3108">
      <c r="A3108" s="3" t="inlineStr">
        <is>
          <t>현도면 중삼리 347</t>
        </is>
      </c>
      <c r="B3108" s="3" t="inlineStr">
        <is>
          <t>계획관리지역</t>
        </is>
      </c>
      <c r="C3108" s="3" t="inlineStr">
        <is>
          <t>전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20.9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321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맹지</t>
        </is>
      </c>
    </row>
    <row r="3109">
      <c r="A3109" s="3" t="inlineStr">
        <is>
          <t>현도면 중삼리 351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22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565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세로한면(불)</t>
        </is>
      </c>
    </row>
    <row r="3110">
      <c r="A3110" s="3" t="inlineStr">
        <is>
          <t>현도면 중삼리 351</t>
        </is>
      </c>
      <c r="B3110" s="3" t="inlineStr">
        <is>
          <t>계획관리지역</t>
        </is>
      </c>
      <c r="C3110" s="3" t="inlineStr">
        <is>
          <t>전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22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565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중삼리 357</t>
        </is>
      </c>
      <c r="B3111" s="3" t="inlineStr">
        <is>
          <t>계획관리지역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22.9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605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맹지</t>
        </is>
      </c>
    </row>
    <row r="3112">
      <c r="A3112" s="3" t="inlineStr">
        <is>
          <t>현도면 중삼리 4-3</t>
        </is>
      </c>
      <c r="B3112" s="3" t="inlineStr">
        <is>
          <t>계획관리지역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26.3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1775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현도면 중삼리 산20-33</t>
        </is>
      </c>
      <c r="B3113" s="3" t="inlineStr">
        <is>
          <t>계획관리지역</t>
        </is>
      </c>
      <c r="C3113" s="3" t="inlineStr">
        <is>
          <t>임야</t>
        </is>
      </c>
      <c r="D3113" s="3" t="inlineStr">
        <is>
          <t>임야</t>
        </is>
      </c>
      <c r="E3113" s="3" t="inlineStr">
        <is>
          <t>매매</t>
        </is>
      </c>
      <c r="F3113" s="4" t="n">
        <v>387000</v>
      </c>
      <c r="G3113" s="4" t="n">
        <v>12790</v>
      </c>
      <c r="H3113" s="4" t="n">
        <v>3869</v>
      </c>
      <c r="I3113" s="5" t="n">
        <v>100</v>
      </c>
      <c r="J3113" s="5" t="n">
        <v>5.8</v>
      </c>
      <c r="K3113" s="3" t="inlineStr">
        <is>
          <t>8M도로접 공장허가득 남청주ic 5분거리</t>
        </is>
      </c>
      <c r="L3113" s="6">
        <f>HYPERLINK("https://fin.land.naver.com/articles/2653108400", "매물Link")</f>
        <v/>
      </c>
      <c r="M3113" s="6">
        <f>HYPERLINK("https://map.naver.com/p/search/현도면 중삼리 산20-33",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플러스태양</t>
        </is>
      </c>
      <c r="P3113" s="4" t="n">
        <v>1</v>
      </c>
      <c r="Q3113" s="4" t="n">
        <v>8838</v>
      </c>
      <c r="R3113" s="3" t="inlineStr">
        <is>
          <t>지정되지않음</t>
        </is>
      </c>
      <c r="S3113" s="3" t="inlineStr">
        <is>
          <t>자연림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맹지</t>
        </is>
      </c>
    </row>
    <row r="3114">
      <c r="A3114" s="3" t="inlineStr">
        <is>
          <t>현도면 중삼리 산20-33</t>
        </is>
      </c>
      <c r="B3114" s="3" t="inlineStr">
        <is>
          <t>계획관리지역</t>
        </is>
      </c>
      <c r="C3114" s="3" t="inlineStr">
        <is>
          <t>임야</t>
        </is>
      </c>
      <c r="D3114" s="3" t="inlineStr">
        <is>
          <t>전</t>
        </is>
      </c>
      <c r="E3114" s="3" t="inlineStr">
        <is>
          <t>매매</t>
        </is>
      </c>
      <c r="F3114" s="4" t="n">
        <v>387000</v>
      </c>
      <c r="G3114" s="4" t="n">
        <v>12188</v>
      </c>
      <c r="H3114" s="4" t="n">
        <v>3687</v>
      </c>
      <c r="I3114" s="5" t="n">
        <v>105</v>
      </c>
      <c r="J3114" s="5" t="n">
        <v>5.8</v>
      </c>
      <c r="K3114" s="3" t="inlineStr">
        <is>
          <t>공장부지.2차선도로접</t>
        </is>
      </c>
      <c r="L3114" s="6">
        <f>HYPERLINK("https://fin.land.naver.com/articles/2654974376", "매물Link")</f>
        <v/>
      </c>
      <c r="M3114" s="6">
        <f>HYPERLINK("https://map.naver.com/p/search/현도면 중삼리 산20-33",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세종로또</t>
        </is>
      </c>
      <c r="P3114" s="4" t="n">
        <v>1</v>
      </c>
      <c r="Q3114" s="4" t="n">
        <v>8838</v>
      </c>
      <c r="R3114" s="3" t="inlineStr">
        <is>
          <t>지정되지않음</t>
        </is>
      </c>
      <c r="S3114" s="3" t="inlineStr">
        <is>
          <t>자연림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중삼리 산6</t>
        </is>
      </c>
      <c r="B3115" s="3" t="inlineStr">
        <is>
          <t>계획관리지역</t>
        </is>
      </c>
      <c r="C3115" s="3" t="inlineStr">
        <is>
          <t>임야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6.4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6149</v>
      </c>
      <c r="R3115" s="3" t="inlineStr">
        <is>
          <t>지정되지않음</t>
        </is>
      </c>
      <c r="S3115" s="3" t="inlineStr">
        <is>
          <t>자연림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세로한면(가)</t>
        </is>
      </c>
    </row>
    <row r="3116">
      <c r="A3116" s="3" t="inlineStr">
        <is>
          <t>현도면 중삼리 산7-1</t>
        </is>
      </c>
      <c r="B3116" s="3" t="inlineStr">
        <is>
          <t>계획관리지역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39570</v>
      </c>
      <c r="H3116" s="4" t="n">
        <v>11970</v>
      </c>
      <c r="I3116" s="5" t="n">
        <v>125.3</v>
      </c>
      <c r="J3116" s="5" t="n">
        <v>6.4</v>
      </c>
      <c r="K3116" s="3" t="inlineStr">
        <is>
          <t>남청주ic 6분거리 물류창고허가득한 토지 매매</t>
        </is>
      </c>
      <c r="L3116" s="6">
        <f>HYPERLINK("https://fin.land.naver.com/articles/2654178584", "매물Link")</f>
        <v/>
      </c>
      <c r="M3116" s="6">
        <f>HYPERLINK("https://map.naver.com/p/search/현도면 중삼리 산7-1",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더원</t>
        </is>
      </c>
      <c r="P3116" s="4" t="n">
        <v>1</v>
      </c>
      <c r="Q3116" s="4" t="n">
        <v>34141</v>
      </c>
      <c r="R3116" s="3" t="inlineStr">
        <is>
          <t>지정되지않음</t>
        </is>
      </c>
      <c r="S3116" s="3" t="inlineStr">
        <is>
          <t>자연림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중삼리 산7-1</t>
        </is>
      </c>
      <c r="B3117" s="3" t="inlineStr">
        <is>
          <t>계획관리지역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34141</v>
      </c>
      <c r="H3117" s="4" t="n">
        <v>10328</v>
      </c>
      <c r="I3117" s="5" t="n">
        <v>145.2</v>
      </c>
      <c r="J3117" s="5" t="n">
        <v>6.4</v>
      </c>
      <c r="K3117" s="3" t="inlineStr">
        <is>
          <t>물류창고부지 허가득</t>
        </is>
      </c>
      <c r="L3117" s="6">
        <f>HYPERLINK("https://fin.land.naver.com/articles/2651895185", "매물Link")</f>
        <v/>
      </c>
      <c r="M3117" s="6">
        <f>HYPERLINK("https://map.naver.com/p/search/현도면 중삼리 산7-1",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케이투(k2)</t>
        </is>
      </c>
      <c r="P3117" s="4" t="n">
        <v>1</v>
      </c>
      <c r="Q3117" s="4" t="n">
        <v>34141</v>
      </c>
      <c r="R3117" s="3" t="inlineStr">
        <is>
          <t>지정되지않음</t>
        </is>
      </c>
      <c r="S3117" s="3" t="inlineStr">
        <is>
          <t>자연림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현도면 중삼리 산7-2</t>
        </is>
      </c>
      <c r="B3118" s="3" t="inlineStr">
        <is>
          <t>계획관리지역</t>
        </is>
      </c>
      <c r="C3118" s="3" t="inlineStr">
        <is>
          <t>임야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4.9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298</v>
      </c>
      <c r="R3118" s="3" t="inlineStr">
        <is>
          <t>지정되지않음</t>
        </is>
      </c>
      <c r="S3118" s="3" t="inlineStr">
        <is>
          <t>자연림</t>
        </is>
      </c>
      <c r="T3118" s="3" t="inlineStr">
        <is>
          <t>급경사</t>
        </is>
      </c>
      <c r="U3118" s="3" t="inlineStr">
        <is>
          <t>부정형</t>
        </is>
      </c>
      <c r="V3118" s="3" t="inlineStr">
        <is>
          <t>맹지</t>
        </is>
      </c>
    </row>
    <row r="3119">
      <c r="A3119" s="3" t="inlineStr">
        <is>
          <t>현도면 중삼리 산8-15</t>
        </is>
      </c>
      <c r="B3119" s="3" t="inlineStr">
        <is>
          <t>계획관리지역</t>
        </is>
      </c>
      <c r="C3119" s="3" t="inlineStr">
        <is>
          <t>임야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4.6</v>
      </c>
      <c r="K3119" s="3" t="inlineStr">
        <is>
          <t>토목공사완료된 공장부지</t>
        </is>
      </c>
      <c r="L3119" s="6">
        <f>HYPERLINK("https://fin.land.naver.com/articles/2655173810", "매물Link")</f>
        <v/>
      </c>
      <c r="M3119" s="6">
        <f>HYPERLINK("https://map.naver.com/p/search/현도면 중삼리 산8-15",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대전명품</t>
        </is>
      </c>
      <c r="P3119" s="4" t="n">
        <v>1</v>
      </c>
      <c r="Q3119" s="4" t="n">
        <v>12831</v>
      </c>
      <c r="R3119" s="3" t="inlineStr">
        <is>
          <t>지정되지않음</t>
        </is>
      </c>
      <c r="S3119" s="3" t="inlineStr">
        <is>
          <t>자연림</t>
        </is>
      </c>
      <c r="T3119" s="3" t="inlineStr">
        <is>
          <t>급경사</t>
        </is>
      </c>
      <c r="U3119" s="3" t="inlineStr">
        <is>
          <t>사다리형</t>
        </is>
      </c>
      <c r="V3119" s="3" t="inlineStr">
        <is>
          <t>맹지</t>
        </is>
      </c>
    </row>
    <row r="3120">
      <c r="A3120" s="3" t="inlineStr">
        <is>
          <t>현도면 중삼리 산8-15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4.6</v>
      </c>
      <c r="K3120" s="3" t="inlineStr">
        <is>
          <t>활용도 좋은 계획관리지역으로 토목 공사 완료된 넓은 토지</t>
        </is>
      </c>
      <c r="L3120" s="6">
        <f>HYPERLINK("https://fin.land.naver.com/articles/2654968921", "매물Link")</f>
        <v/>
      </c>
      <c r="M3120" s="6">
        <f>HYPERLINK("https://map.naver.com/p/search/현도면 중삼리 산8-15",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(주)미르</t>
        </is>
      </c>
      <c r="P3120" s="4" t="n">
        <v>1</v>
      </c>
      <c r="Q3120" s="4" t="n">
        <v>12831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급경사</t>
        </is>
      </c>
      <c r="U3120" s="3" t="inlineStr">
        <is>
          <t>사다리형</t>
        </is>
      </c>
      <c r="V3120" s="3" t="inlineStr">
        <is>
          <t>맹지</t>
        </is>
      </c>
    </row>
    <row r="3121">
      <c r="A3121" s="3" t="inlineStr">
        <is>
          <t>현도면 중삼리 산8-16</t>
        </is>
      </c>
      <c r="B3121" s="3" t="inlineStr">
        <is>
          <t>계획관리지역</t>
        </is>
      </c>
      <c r="C3121" s="3" t="inlineStr">
        <is>
          <t>임야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4.6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8470</v>
      </c>
      <c r="R3121" s="3" t="inlineStr">
        <is>
          <t>지정되지않음</t>
        </is>
      </c>
      <c r="S3121" s="3" t="inlineStr">
        <is>
          <t>자연림</t>
        </is>
      </c>
      <c r="T3121" s="3" t="inlineStr">
        <is>
          <t>급경사</t>
        </is>
      </c>
      <c r="U3121" s="3" t="inlineStr">
        <is>
          <t>부정형</t>
        </is>
      </c>
      <c r="V3121" s="3" t="inlineStr">
        <is>
          <t>맹지</t>
        </is>
      </c>
    </row>
    <row r="3122">
      <c r="A3122" s="3" t="inlineStr">
        <is>
          <t>현도면 중척리 398-1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22.3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1986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중척리 398-1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22.3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1986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세로한면(가)</t>
        </is>
      </c>
    </row>
    <row r="3124">
      <c r="A3124" s="3" t="inlineStr">
        <is>
          <t>현도면 중척리 462-44</t>
        </is>
      </c>
      <c r="B3124" s="3" t="inlineStr">
        <is>
          <t>개발제한구역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20.5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3647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세로한면(가)</t>
        </is>
      </c>
    </row>
    <row r="3125">
      <c r="A3125" s="3" t="inlineStr">
        <is>
          <t>현도면 중척리 462-9</t>
        </is>
      </c>
      <c r="B3125" s="3" t="inlineStr">
        <is>
          <t>개발제한구역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5" t="n">
        <v>20.5</v>
      </c>
      <c r="K3125" s="3" t="inlineStr">
        <is>
          <t>버스길에 접해 접근성 편리  투자 가치 있는 주말 농장  토지 매매</t>
        </is>
      </c>
      <c r="L3125" s="6">
        <f>HYPERLINK("https://fin.land.naver.com/articles/2654903350", "매물Link")</f>
        <v/>
      </c>
      <c r="M3125" s="6">
        <f>HYPERLINK("https://map.naver.com/p/search/현도면 중척리 462-9",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2000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세로한면(가)</t>
        </is>
      </c>
    </row>
    <row r="3126">
      <c r="A3126" s="3" t="inlineStr">
        <is>
          <t>현도면 중척리 462-9</t>
        </is>
      </c>
      <c r="B3126" s="3" t="inlineStr">
        <is>
          <t>개발제한구역</t>
        </is>
      </c>
      <c r="C3126" s="3" t="inlineStr">
        <is>
          <t>전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5" t="n">
        <v>20.5</v>
      </c>
      <c r="K3126" s="3" t="inlineStr">
        <is>
          <t>도로가, 직사각형 모양, 신탄진지역 차로 10분거리</t>
        </is>
      </c>
      <c r="L3126" s="6">
        <f>HYPERLINK("https://fin.land.naver.com/articles/2655015917", "매물Link")</f>
        <v/>
      </c>
      <c r="M3126" s="6">
        <f>HYPERLINK("https://map.naver.com/p/search/현도면 중척리 462-9",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2000</v>
      </c>
      <c r="R3126" s="3" t="inlineStr">
        <is>
          <t>지정되지않음</t>
        </is>
      </c>
      <c r="S3126" s="3" t="inlineStr">
        <is>
          <t>전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세로한면(가)</t>
        </is>
      </c>
    </row>
    <row r="3127">
      <c r="A3127" s="3" t="inlineStr">
        <is>
          <t>현도면 중척리 473-11</t>
        </is>
      </c>
      <c r="B3127" s="3" t="inlineStr">
        <is>
          <t>개발제한구역</t>
        </is>
      </c>
      <c r="C3127" s="3" t="inlineStr">
        <is>
          <t>임야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19.2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990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세로한면(가)</t>
        </is>
      </c>
    </row>
    <row r="3128">
      <c r="A3128" s="3" t="inlineStr">
        <is>
          <t>현도면 중척리 484-1</t>
        </is>
      </c>
      <c r="B3128" s="3" t="inlineStr">
        <is>
          <t>개발제한구역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20.1</v>
      </c>
      <c r="K3128" s="3" t="inlineStr">
        <is>
          <t>도로가 코너에 접한 토지, 비닐하우스 2동 설치됨</t>
        </is>
      </c>
      <c r="L3128" s="6">
        <f>HYPERLINK("https://fin.land.naver.com/articles/2655015888", "매물Link")</f>
        <v/>
      </c>
      <c r="M3128" s="6">
        <f>HYPERLINK("https://map.naver.com/p/search/현도면 중척리 484-1",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복돼지</t>
        </is>
      </c>
      <c r="P3128" s="4" t="n">
        <v>1</v>
      </c>
      <c r="Q3128" s="4" t="n">
        <v>836</v>
      </c>
      <c r="R3128" s="3" t="inlineStr">
        <is>
          <t>지정되지않음</t>
        </is>
      </c>
      <c r="S3128" s="3" t="inlineStr">
        <is>
          <t>전</t>
        </is>
      </c>
      <c r="T3128" s="3" t="inlineStr">
        <is>
          <t>평지</t>
        </is>
      </c>
      <c r="U3128" s="3" t="inlineStr">
        <is>
          <t>부정형</t>
        </is>
      </c>
      <c r="V3128" s="3" t="inlineStr">
        <is>
          <t>세로각지(가)</t>
        </is>
      </c>
    </row>
    <row r="3129">
      <c r="A3129" s="3" t="inlineStr">
        <is>
          <t>현도면 중척리 484-1</t>
        </is>
      </c>
      <c r="B3129" s="3" t="inlineStr">
        <is>
          <t>개발제한구역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20.1</v>
      </c>
      <c r="K3129" s="3" t="inlineStr">
        <is>
          <t>접근성 좋고 관정 전기 하우스 있는 주말 농장 용지, 자연 녹지 매매</t>
        </is>
      </c>
      <c r="L3129" s="6">
        <f>HYPERLINK("https://fin.land.naver.com/articles/2654906573", "매물Link")</f>
        <v/>
      </c>
      <c r="M3129" s="6">
        <f>HYPERLINK("https://map.naver.com/p/search/현도면 중척리 484-1",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836</v>
      </c>
      <c r="R3129" s="3" t="inlineStr">
        <is>
          <t>지정되지않음</t>
        </is>
      </c>
      <c r="S3129" s="3" t="inlineStr">
        <is>
          <t>전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세로각지(가)</t>
        </is>
      </c>
    </row>
    <row r="3130">
      <c r="A3130" s="3" t="inlineStr">
        <is>
          <t>현도면 하석리 124</t>
        </is>
      </c>
      <c r="B3130" s="3" t="inlineStr">
        <is>
          <t>개발제한구역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4.9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2612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세로한면(가)</t>
        </is>
      </c>
    </row>
    <row r="3131">
      <c r="A3131" s="3" t="inlineStr">
        <is>
          <t>현도면 하석리 21-4</t>
        </is>
      </c>
      <c r="B3131" s="3" t="inlineStr">
        <is>
          <t>개발제한구역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101</v>
      </c>
      <c r="K3131" s="3" t="inlineStr">
        <is>
          <t>아주귀한 대청댐 인접, 일반음식점 대형카페, 가든 , 아주저렴한 매물</t>
        </is>
      </c>
      <c r="L3131" s="6">
        <f>HYPERLINK("https://fin.land.naver.com/articles/2654927609", "매물Link")</f>
        <v/>
      </c>
      <c r="M3131" s="6">
        <f>HYPERLINK("https://map.naver.com/p/search/현도면 하석리 21-4",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대전토지로무소</t>
        </is>
      </c>
      <c r="P3131" s="4" t="n">
        <v>1</v>
      </c>
      <c r="Q3131" s="4" t="n">
        <v>567</v>
      </c>
      <c r="R3131" s="3" t="inlineStr">
        <is>
          <t>지정되지않음</t>
        </is>
      </c>
      <c r="S3131" s="3" t="inlineStr">
        <is>
          <t>상업용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현도면 하석리 21-4</t>
        </is>
      </c>
      <c r="B3132" s="3" t="inlineStr">
        <is>
          <t>개발제한구역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101</v>
      </c>
      <c r="K3132" s="3" t="inlineStr">
        <is>
          <t>현재 식당으로 성업중 주택 및 식당건물 두체포함일괄매도원함</t>
        </is>
      </c>
      <c r="L3132" s="6">
        <f>HYPERLINK("https://fin.land.naver.com/articles/2652660855", "매물Link")</f>
        <v/>
      </c>
      <c r="M3132" s="6">
        <f>HYPERLINK("https://map.naver.com/p/search/현도면 하석리 21-4",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신동아영화</t>
        </is>
      </c>
      <c r="P3132" s="4" t="n">
        <v>1</v>
      </c>
      <c r="Q3132" s="4" t="n">
        <v>567</v>
      </c>
      <c r="R3132" s="3" t="inlineStr">
        <is>
          <t>지정되지않음</t>
        </is>
      </c>
      <c r="S3132" s="3" t="inlineStr">
        <is>
          <t>상업용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현도면 하석리 471</t>
        </is>
      </c>
      <c r="B3133" s="3" t="inlineStr">
        <is>
          <t>개발제한구역</t>
        </is>
      </c>
      <c r="C3133" s="3" t="inlineStr">
        <is>
          <t>전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9.199999999999999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1174</v>
      </c>
      <c r="R3133" s="3" t="inlineStr">
        <is>
          <t>지정되지않음</t>
        </is>
      </c>
      <c r="S3133" s="3" t="inlineStr">
        <is>
          <t>전</t>
        </is>
      </c>
      <c r="T3133" s="3" t="inlineStr">
        <is>
          <t>완경사</t>
        </is>
      </c>
      <c r="U3133" s="3" t="inlineStr">
        <is>
          <t>부정형</t>
        </is>
      </c>
      <c r="V3133" s="3" t="inlineStr">
        <is>
          <t>맹지</t>
        </is>
      </c>
    </row>
    <row r="3134">
      <c r="A3134" s="3" t="inlineStr">
        <is>
          <t>현도면 하석리 560</t>
        </is>
      </c>
      <c r="B3134" s="3" t="inlineStr">
        <is>
          <t>개발제한구역</t>
        </is>
      </c>
      <c r="C3134" s="3" t="inlineStr">
        <is>
          <t>답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8.9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2398</v>
      </c>
      <c r="R3134" s="3" t="inlineStr">
        <is>
          <t>지정되지않음</t>
        </is>
      </c>
      <c r="S3134" s="3" t="inlineStr">
        <is>
          <t>답</t>
        </is>
      </c>
      <c r="T3134" s="3" t="inlineStr">
        <is>
          <t>완경사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하석리 660</t>
        </is>
      </c>
      <c r="B3135" s="3" t="inlineStr">
        <is>
          <t>개발제한구역</t>
        </is>
      </c>
      <c r="C3135" s="3" t="inlineStr">
        <is>
          <t>답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11.3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2038.1</v>
      </c>
      <c r="R3135" s="3" t="inlineStr">
        <is>
          <t>지정되지않음</t>
        </is>
      </c>
      <c r="S3135" s="3" t="inlineStr">
        <is>
          <t>답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세로한면(가)</t>
        </is>
      </c>
    </row>
    <row r="3136">
      <c r="A3136" s="3" t="inlineStr">
        <is>
          <t>현도면 하석리 산80</t>
        </is>
      </c>
      <c r="B3136" s="3" t="inlineStr">
        <is>
          <t>개발제한구역</t>
        </is>
      </c>
      <c r="C3136" s="3" t="inlineStr">
        <is>
          <t>임야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1.9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19438</v>
      </c>
      <c r="R3136" s="3" t="inlineStr">
        <is>
          <t>지정되지않음</t>
        </is>
      </c>
      <c r="S3136" s="3" t="inlineStr">
        <is>
          <t>자연림</t>
        </is>
      </c>
      <c r="T3136" s="3" t="inlineStr">
        <is>
          <t>완경사</t>
        </is>
      </c>
      <c r="U3136" s="3" t="inlineStr">
        <is>
          <t>부정형</t>
        </is>
      </c>
      <c r="V3136" s="3" t="inlineStr">
        <is>
          <t>맹지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2026-10-19T06:42:28Z</dcterms:created>
  <dcterms:modified xsi:type="dcterms:W3CDTF">2026-10-19T06:42:44Z</dcterms:modified>
</cp:coreProperties>
</file>